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Report_400!$A$10:$I$47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306" i="14"/>
  <c r="D238" i="14"/>
  <c r="D237" i="14"/>
  <c r="D230" i="14"/>
  <c r="D229" i="14"/>
  <c r="D226" i="14"/>
  <c r="D227" i="14"/>
  <c r="D223" i="14"/>
  <c r="D204" i="14"/>
  <c r="D285" i="14"/>
  <c r="D203" i="14"/>
  <c r="D267" i="14"/>
  <c r="D198" i="14"/>
  <c r="D290" i="14"/>
  <c r="D191" i="14"/>
  <c r="D264" i="14"/>
  <c r="D189" i="14"/>
  <c r="D278" i="14"/>
  <c r="D188" i="14"/>
  <c r="D190" i="14"/>
  <c r="D180" i="14"/>
  <c r="D179" i="14"/>
  <c r="D181" i="14"/>
  <c r="D171" i="14"/>
  <c r="D172" i="14"/>
  <c r="D170" i="14"/>
  <c r="D165" i="14"/>
  <c r="D164" i="14"/>
  <c r="D158" i="14"/>
  <c r="D159" i="14"/>
  <c r="D155" i="14"/>
  <c r="D145" i="14"/>
  <c r="D144" i="14"/>
  <c r="D146" i="14"/>
  <c r="D136" i="14"/>
  <c r="D137" i="14"/>
  <c r="D135" i="14"/>
  <c r="D130" i="14"/>
  <c r="D129" i="14"/>
  <c r="D123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68" i="14"/>
  <c r="D59" i="14"/>
  <c r="D60" i="14"/>
  <c r="D61" i="14"/>
  <c r="D58" i="14"/>
  <c r="D53" i="14"/>
  <c r="D52" i="14"/>
  <c r="D47" i="14"/>
  <c r="D48" i="14"/>
  <c r="D90" i="14"/>
  <c r="D44" i="14"/>
  <c r="D36" i="14"/>
  <c r="D35" i="14"/>
  <c r="D37" i="14"/>
  <c r="D30" i="14"/>
  <c r="D31" i="14"/>
  <c r="D32" i="14"/>
  <c r="D29" i="14"/>
  <c r="D24" i="14"/>
  <c r="D23" i="14"/>
  <c r="D21" i="14"/>
  <c r="D49" i="14"/>
  <c r="D50" i="14"/>
  <c r="D20" i="14"/>
  <c r="D17" i="14"/>
  <c r="E97" i="19"/>
  <c r="D97" i="19"/>
  <c r="D98" i="19"/>
  <c r="C97" i="19"/>
  <c r="E96" i="19"/>
  <c r="E98" i="19"/>
  <c r="D96" i="19"/>
  <c r="C96" i="19"/>
  <c r="C98" i="19"/>
  <c r="E92" i="19"/>
  <c r="D92" i="19"/>
  <c r="D93" i="19"/>
  <c r="C92" i="19"/>
  <c r="E91" i="19"/>
  <c r="E93" i="19"/>
  <c r="D91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1" i="19"/>
  <c r="D83" i="19"/>
  <c r="D102" i="19"/>
  <c r="C83" i="19"/>
  <c r="C102" i="19"/>
  <c r="E76" i="19"/>
  <c r="E102" i="19"/>
  <c r="D76" i="19"/>
  <c r="C76" i="19"/>
  <c r="E75" i="19"/>
  <c r="D75" i="19"/>
  <c r="D101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C23" i="19"/>
  <c r="C46" i="19"/>
  <c r="C22" i="19"/>
  <c r="C45" i="19"/>
  <c r="E21" i="19"/>
  <c r="D21" i="19"/>
  <c r="C21" i="19"/>
  <c r="E12" i="19"/>
  <c r="E34" i="19"/>
  <c r="D12" i="19"/>
  <c r="D33" i="19"/>
  <c r="C12" i="19"/>
  <c r="C34" i="19"/>
  <c r="C33" i="19"/>
  <c r="D21" i="18"/>
  <c r="C21" i="18"/>
  <c r="E21" i="18"/>
  <c r="F21" i="18"/>
  <c r="D19" i="18"/>
  <c r="C19" i="18"/>
  <c r="E19" i="18"/>
  <c r="F19" i="18"/>
  <c r="E17" i="18"/>
  <c r="F17" i="18"/>
  <c r="E15" i="18"/>
  <c r="F15" i="18"/>
  <c r="D45" i="17"/>
  <c r="C45" i="17"/>
  <c r="E45" i="17"/>
  <c r="D44" i="17"/>
  <c r="C44" i="17"/>
  <c r="E44" i="17"/>
  <c r="D43" i="17"/>
  <c r="D46" i="17"/>
  <c r="C43" i="17"/>
  <c r="C46" i="17"/>
  <c r="D36" i="17"/>
  <c r="D40" i="17"/>
  <c r="C36" i="17"/>
  <c r="C40" i="17"/>
  <c r="E35" i="17"/>
  <c r="F35" i="17"/>
  <c r="E34" i="17"/>
  <c r="F34" i="17"/>
  <c r="E33" i="17"/>
  <c r="E36" i="17"/>
  <c r="F36" i="17"/>
  <c r="F30" i="17"/>
  <c r="E30" i="17"/>
  <c r="E29" i="17"/>
  <c r="F29" i="17"/>
  <c r="F28" i="17"/>
  <c r="E28" i="17"/>
  <c r="E27" i="17"/>
  <c r="F27" i="17"/>
  <c r="D25" i="17"/>
  <c r="D39" i="17"/>
  <c r="D41" i="17"/>
  <c r="C25" i="17"/>
  <c r="C39" i="17"/>
  <c r="E24" i="17"/>
  <c r="F24" i="17"/>
  <c r="E23" i="17"/>
  <c r="F23" i="17"/>
  <c r="E22" i="17"/>
  <c r="F22" i="17"/>
  <c r="D19" i="17"/>
  <c r="D20" i="17"/>
  <c r="C19" i="17"/>
  <c r="C20" i="17"/>
  <c r="E18" i="17"/>
  <c r="F18" i="17"/>
  <c r="D16" i="17"/>
  <c r="E16" i="17"/>
  <c r="F16" i="17"/>
  <c r="C16" i="17"/>
  <c r="F15" i="17"/>
  <c r="E15" i="17"/>
  <c r="E13" i="17"/>
  <c r="F13" i="17"/>
  <c r="F12" i="17"/>
  <c r="E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64" i="16"/>
  <c r="C36" i="16"/>
  <c r="C32" i="16"/>
  <c r="C33" i="16"/>
  <c r="C21" i="16"/>
  <c r="C37" i="16"/>
  <c r="C38" i="16"/>
  <c r="C127" i="16"/>
  <c r="C129" i="16"/>
  <c r="C133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C301" i="15"/>
  <c r="D293" i="15"/>
  <c r="E293" i="15"/>
  <c r="C293" i="15"/>
  <c r="D292" i="15"/>
  <c r="E292" i="15"/>
  <c r="C292" i="15"/>
  <c r="D291" i="15"/>
  <c r="C291" i="15"/>
  <c r="D290" i="15"/>
  <c r="C290" i="15"/>
  <c r="D288" i="15"/>
  <c r="E288" i="15"/>
  <c r="C288" i="15"/>
  <c r="D287" i="15"/>
  <c r="C287" i="15"/>
  <c r="D282" i="15"/>
  <c r="E282" i="15"/>
  <c r="C282" i="15"/>
  <c r="D281" i="15"/>
  <c r="E281" i="15"/>
  <c r="C281" i="15"/>
  <c r="D280" i="15"/>
  <c r="E280" i="15"/>
  <c r="C280" i="15"/>
  <c r="D279" i="15"/>
  <c r="E279" i="15"/>
  <c r="C279" i="15"/>
  <c r="D278" i="15"/>
  <c r="E278" i="15"/>
  <c r="C278" i="15"/>
  <c r="D277" i="15"/>
  <c r="E277" i="15"/>
  <c r="C277" i="15"/>
  <c r="D276" i="15"/>
  <c r="E276" i="15"/>
  <c r="C276" i="15"/>
  <c r="E270" i="15"/>
  <c r="E265" i="15"/>
  <c r="D265" i="15"/>
  <c r="D302" i="15"/>
  <c r="C265" i="15"/>
  <c r="C302" i="15"/>
  <c r="C303" i="15"/>
  <c r="C306" i="15"/>
  <c r="C310" i="15"/>
  <c r="D262" i="15"/>
  <c r="C262" i="15"/>
  <c r="D251" i="15"/>
  <c r="C251" i="15"/>
  <c r="D233" i="15"/>
  <c r="C233" i="15"/>
  <c r="D232" i="15"/>
  <c r="C232" i="15"/>
  <c r="E232" i="15"/>
  <c r="D231" i="15"/>
  <c r="E231" i="15"/>
  <c r="C231" i="15"/>
  <c r="D230" i="15"/>
  <c r="C230" i="15"/>
  <c r="D228" i="15"/>
  <c r="E228" i="15"/>
  <c r="C228" i="15"/>
  <c r="D227" i="15"/>
  <c r="E227" i="15"/>
  <c r="C227" i="15"/>
  <c r="D221" i="15"/>
  <c r="E221" i="15"/>
  <c r="C221" i="15"/>
  <c r="C245" i="15"/>
  <c r="D220" i="15"/>
  <c r="D244" i="15"/>
  <c r="E244" i="15"/>
  <c r="C220" i="15"/>
  <c r="C244" i="15"/>
  <c r="D219" i="15"/>
  <c r="C219" i="15"/>
  <c r="C243" i="15"/>
  <c r="C252" i="15"/>
  <c r="D218" i="15"/>
  <c r="D242" i="15"/>
  <c r="C218" i="15"/>
  <c r="D216" i="15"/>
  <c r="E216" i="15"/>
  <c r="C216" i="15"/>
  <c r="C240" i="15"/>
  <c r="D215" i="15"/>
  <c r="C215" i="15"/>
  <c r="C239" i="15"/>
  <c r="C210" i="15"/>
  <c r="C211" i="15"/>
  <c r="E209" i="15"/>
  <c r="E208" i="15"/>
  <c r="E207" i="15"/>
  <c r="E206" i="15"/>
  <c r="D205" i="15"/>
  <c r="E205" i="15"/>
  <c r="C205" i="15"/>
  <c r="C229" i="15"/>
  <c r="E204" i="15"/>
  <c r="E203" i="15"/>
  <c r="E197" i="15"/>
  <c r="E196" i="15"/>
  <c r="D195" i="15"/>
  <c r="C195" i="15"/>
  <c r="C260" i="15"/>
  <c r="E194" i="15"/>
  <c r="E193" i="15"/>
  <c r="E192" i="15"/>
  <c r="E191" i="15"/>
  <c r="E190" i="15"/>
  <c r="D189" i="15"/>
  <c r="D188" i="15"/>
  <c r="D261" i="15"/>
  <c r="E261" i="15"/>
  <c r="C188" i="15"/>
  <c r="C261" i="15"/>
  <c r="E186" i="15"/>
  <c r="E185" i="15"/>
  <c r="D179" i="15"/>
  <c r="C179" i="15"/>
  <c r="E179" i="15"/>
  <c r="D178" i="15"/>
  <c r="E178" i="15"/>
  <c r="C178" i="15"/>
  <c r="D177" i="15"/>
  <c r="C177" i="15"/>
  <c r="D176" i="15"/>
  <c r="C176" i="15"/>
  <c r="D174" i="15"/>
  <c r="C174" i="15"/>
  <c r="E174" i="15"/>
  <c r="D173" i="15"/>
  <c r="C173" i="15"/>
  <c r="D167" i="15"/>
  <c r="E167" i="15"/>
  <c r="C167" i="15"/>
  <c r="D166" i="15"/>
  <c r="E166" i="15"/>
  <c r="C166" i="15"/>
  <c r="D165" i="15"/>
  <c r="E165" i="15"/>
  <c r="C165" i="15"/>
  <c r="D164" i="15"/>
  <c r="C164" i="15"/>
  <c r="E164" i="15"/>
  <c r="D162" i="15"/>
  <c r="C162" i="15"/>
  <c r="D161" i="15"/>
  <c r="C161" i="15"/>
  <c r="E155" i="15"/>
  <c r="E154" i="15"/>
  <c r="E153" i="15"/>
  <c r="E152" i="15"/>
  <c r="D151" i="15"/>
  <c r="E151" i="15"/>
  <c r="C151" i="15"/>
  <c r="C156" i="15"/>
  <c r="C157" i="15"/>
  <c r="E150" i="15"/>
  <c r="E149" i="15"/>
  <c r="D144" i="15"/>
  <c r="E143" i="15"/>
  <c r="E142" i="15"/>
  <c r="E141" i="15"/>
  <c r="E140" i="15"/>
  <c r="D139" i="15"/>
  <c r="D175" i="15"/>
  <c r="C139" i="15"/>
  <c r="C144" i="15"/>
  <c r="E138" i="15"/>
  <c r="E137" i="15"/>
  <c r="D75" i="15"/>
  <c r="E75" i="15"/>
  <c r="C75" i="15"/>
  <c r="D74" i="15"/>
  <c r="E74" i="15"/>
  <c r="C74" i="15"/>
  <c r="D73" i="15"/>
  <c r="E73" i="15"/>
  <c r="C73" i="15"/>
  <c r="D72" i="15"/>
  <c r="E72" i="15"/>
  <c r="C72" i="15"/>
  <c r="D70" i="15"/>
  <c r="E70" i="15"/>
  <c r="C70" i="15"/>
  <c r="D69" i="15"/>
  <c r="E69" i="15"/>
  <c r="C69" i="15"/>
  <c r="E64" i="15"/>
  <c r="E63" i="15"/>
  <c r="E62" i="15"/>
  <c r="E61" i="15"/>
  <c r="D60" i="15"/>
  <c r="D71" i="15"/>
  <c r="C60" i="15"/>
  <c r="C289" i="15"/>
  <c r="E59" i="15"/>
  <c r="E58" i="15"/>
  <c r="D54" i="15"/>
  <c r="D55" i="15"/>
  <c r="C54" i="15"/>
  <c r="C234" i="15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E40" i="15"/>
  <c r="C40" i="15"/>
  <c r="D39" i="15"/>
  <c r="E39" i="15"/>
  <c r="C39" i="15"/>
  <c r="D38" i="15"/>
  <c r="E38" i="15"/>
  <c r="C38" i="15"/>
  <c r="C43" i="15"/>
  <c r="D37" i="15"/>
  <c r="E37" i="15"/>
  <c r="C37" i="15"/>
  <c r="D36" i="15"/>
  <c r="C36" i="15"/>
  <c r="D32" i="15"/>
  <c r="D33" i="15"/>
  <c r="C32" i="15"/>
  <c r="C33" i="15"/>
  <c r="E31" i="15"/>
  <c r="E30" i="15"/>
  <c r="E29" i="15"/>
  <c r="E28" i="15"/>
  <c r="E27" i="15"/>
  <c r="E26" i="15"/>
  <c r="E25" i="15"/>
  <c r="D21" i="15"/>
  <c r="D22" i="15"/>
  <c r="D284" i="15"/>
  <c r="C21" i="15"/>
  <c r="E20" i="15"/>
  <c r="E19" i="15"/>
  <c r="E18" i="15"/>
  <c r="E17" i="15"/>
  <c r="E16" i="15"/>
  <c r="E15" i="15"/>
  <c r="E14" i="15"/>
  <c r="F335" i="14"/>
  <c r="E335" i="14"/>
  <c r="F334" i="14"/>
  <c r="E334" i="14"/>
  <c r="F333" i="14"/>
  <c r="E333" i="14"/>
  <c r="F332" i="14"/>
  <c r="E332" i="14"/>
  <c r="F331" i="14"/>
  <c r="E331" i="14"/>
  <c r="E330" i="14"/>
  <c r="F330" i="14"/>
  <c r="F329" i="14"/>
  <c r="E329" i="14"/>
  <c r="F316" i="14"/>
  <c r="E316" i="14"/>
  <c r="F311" i="14"/>
  <c r="C311" i="14"/>
  <c r="E311" i="14"/>
  <c r="F308" i="14"/>
  <c r="E308" i="14"/>
  <c r="C307" i="14"/>
  <c r="E307" i="14"/>
  <c r="F307" i="14"/>
  <c r="C299" i="14"/>
  <c r="C298" i="14"/>
  <c r="F298" i="14"/>
  <c r="C297" i="14"/>
  <c r="C296" i="14"/>
  <c r="E296" i="14"/>
  <c r="C295" i="14"/>
  <c r="C294" i="14"/>
  <c r="E294" i="14"/>
  <c r="F294" i="14"/>
  <c r="C267" i="14"/>
  <c r="C250" i="14"/>
  <c r="F249" i="14"/>
  <c r="E249" i="14"/>
  <c r="E248" i="14"/>
  <c r="F248" i="14"/>
  <c r="F245" i="14"/>
  <c r="E245" i="14"/>
  <c r="E244" i="14"/>
  <c r="F244" i="14"/>
  <c r="F243" i="14"/>
  <c r="E243" i="14"/>
  <c r="C239" i="14"/>
  <c r="C238" i="14"/>
  <c r="C237" i="14"/>
  <c r="E237" i="14"/>
  <c r="F237" i="14"/>
  <c r="E234" i="14"/>
  <c r="F234" i="14"/>
  <c r="E233" i="14"/>
  <c r="F233" i="14"/>
  <c r="F230" i="14"/>
  <c r="C230" i="14"/>
  <c r="E230" i="14"/>
  <c r="E229" i="14"/>
  <c r="C229" i="14"/>
  <c r="E228" i="14"/>
  <c r="F228" i="14"/>
  <c r="C226" i="14"/>
  <c r="E225" i="14"/>
  <c r="F225" i="14"/>
  <c r="E224" i="14"/>
  <c r="F224" i="14"/>
  <c r="C223" i="14"/>
  <c r="E222" i="14"/>
  <c r="F222" i="14"/>
  <c r="E221" i="14"/>
  <c r="F221" i="14"/>
  <c r="C204" i="14"/>
  <c r="C203" i="14"/>
  <c r="C198" i="14"/>
  <c r="E198" i="14"/>
  <c r="C191" i="14"/>
  <c r="C189" i="14"/>
  <c r="C188" i="14"/>
  <c r="C180" i="14"/>
  <c r="F179" i="14"/>
  <c r="C179" i="14"/>
  <c r="E179" i="14"/>
  <c r="E171" i="14"/>
  <c r="C171" i="14"/>
  <c r="F171" i="14"/>
  <c r="C172" i="14"/>
  <c r="C173" i="14"/>
  <c r="F173" i="14"/>
  <c r="E170" i="14"/>
  <c r="C170" i="14"/>
  <c r="F170" i="14"/>
  <c r="F169" i="14"/>
  <c r="E169" i="14"/>
  <c r="F168" i="14"/>
  <c r="E168" i="14"/>
  <c r="C165" i="14"/>
  <c r="F165" i="14"/>
  <c r="C164" i="14"/>
  <c r="E164" i="14"/>
  <c r="F163" i="14"/>
  <c r="E163" i="14"/>
  <c r="C159" i="14"/>
  <c r="E159" i="14"/>
  <c r="F158" i="14"/>
  <c r="C158" i="14"/>
  <c r="F157" i="14"/>
  <c r="E157" i="14"/>
  <c r="F156" i="14"/>
  <c r="E156" i="14"/>
  <c r="C155" i="14"/>
  <c r="E155" i="14"/>
  <c r="F154" i="14"/>
  <c r="E154" i="14"/>
  <c r="F153" i="14"/>
  <c r="E153" i="14"/>
  <c r="C145" i="14"/>
  <c r="E145" i="14"/>
  <c r="F145" i="14"/>
  <c r="C144" i="14"/>
  <c r="E144" i="14"/>
  <c r="C136" i="14"/>
  <c r="C135" i="14"/>
  <c r="E135" i="14"/>
  <c r="E134" i="14"/>
  <c r="F134" i="14"/>
  <c r="E133" i="14"/>
  <c r="F133" i="14"/>
  <c r="C130" i="14"/>
  <c r="C129" i="14"/>
  <c r="E129" i="14"/>
  <c r="E128" i="14"/>
  <c r="F128" i="14"/>
  <c r="C124" i="14"/>
  <c r="C123" i="14"/>
  <c r="E123" i="14"/>
  <c r="F123" i="14"/>
  <c r="E122" i="14"/>
  <c r="F122" i="14"/>
  <c r="E121" i="14"/>
  <c r="F121" i="14"/>
  <c r="E120" i="14"/>
  <c r="C120" i="14"/>
  <c r="E119" i="14"/>
  <c r="F119" i="14"/>
  <c r="E118" i="14"/>
  <c r="F118" i="14"/>
  <c r="C110" i="14"/>
  <c r="C109" i="14"/>
  <c r="E109" i="14"/>
  <c r="C101" i="14"/>
  <c r="E101" i="14"/>
  <c r="F101" i="14"/>
  <c r="C100" i="14"/>
  <c r="E100" i="14"/>
  <c r="F100" i="14"/>
  <c r="E99" i="14"/>
  <c r="F99" i="14"/>
  <c r="F98" i="14"/>
  <c r="E98" i="14"/>
  <c r="E95" i="14"/>
  <c r="C95" i="14"/>
  <c r="F95" i="14"/>
  <c r="C94" i="14"/>
  <c r="E94" i="14"/>
  <c r="E93" i="14"/>
  <c r="F93" i="14"/>
  <c r="E88" i="14"/>
  <c r="C88" i="14"/>
  <c r="C89" i="14"/>
  <c r="E89" i="14"/>
  <c r="E87" i="14"/>
  <c r="F87" i="14"/>
  <c r="E86" i="14"/>
  <c r="F86" i="14"/>
  <c r="C85" i="14"/>
  <c r="E85" i="14"/>
  <c r="E84" i="14"/>
  <c r="F84" i="14"/>
  <c r="E83" i="14"/>
  <c r="F83" i="14"/>
  <c r="E76" i="14"/>
  <c r="C76" i="14"/>
  <c r="C77" i="14"/>
  <c r="F76" i="14"/>
  <c r="E74" i="14"/>
  <c r="F74" i="14"/>
  <c r="E73" i="14"/>
  <c r="F73" i="14"/>
  <c r="C67" i="14"/>
  <c r="E67" i="14"/>
  <c r="C66" i="14"/>
  <c r="E66" i="14"/>
  <c r="C59" i="14"/>
  <c r="C60" i="14"/>
  <c r="C58" i="14"/>
  <c r="E57" i="14"/>
  <c r="F57" i="14"/>
  <c r="E56" i="14"/>
  <c r="F56" i="14"/>
  <c r="C53" i="14"/>
  <c r="E53" i="14"/>
  <c r="C52" i="14"/>
  <c r="E52" i="14"/>
  <c r="E51" i="14"/>
  <c r="F51" i="14"/>
  <c r="C47" i="14"/>
  <c r="E46" i="14"/>
  <c r="F46" i="14"/>
  <c r="E45" i="14"/>
  <c r="F45" i="14"/>
  <c r="C44" i="14"/>
  <c r="E44" i="14"/>
  <c r="F44" i="14"/>
  <c r="E43" i="14"/>
  <c r="F43" i="14"/>
  <c r="E42" i="14"/>
  <c r="F42" i="14"/>
  <c r="C36" i="14"/>
  <c r="C35" i="14"/>
  <c r="C37" i="14"/>
  <c r="C30" i="14"/>
  <c r="C29" i="14"/>
  <c r="E28" i="14"/>
  <c r="F28" i="14"/>
  <c r="E27" i="14"/>
  <c r="F27" i="14"/>
  <c r="C24" i="14"/>
  <c r="E24" i="14"/>
  <c r="C23" i="14"/>
  <c r="E23" i="14"/>
  <c r="E22" i="14"/>
  <c r="F22" i="14"/>
  <c r="E20" i="14"/>
  <c r="C20" i="14"/>
  <c r="C21" i="14"/>
  <c r="F19" i="14"/>
  <c r="E19" i="14"/>
  <c r="E18" i="14"/>
  <c r="F18" i="14"/>
  <c r="C17" i="14"/>
  <c r="E17" i="14"/>
  <c r="E16" i="14"/>
  <c r="F16" i="14"/>
  <c r="E15" i="14"/>
  <c r="F15" i="14"/>
  <c r="D21" i="13"/>
  <c r="C21" i="13"/>
  <c r="E21" i="13"/>
  <c r="E20" i="13"/>
  <c r="F20" i="13"/>
  <c r="D17" i="13"/>
  <c r="E17" i="13"/>
  <c r="C17" i="13"/>
  <c r="E16" i="13"/>
  <c r="F16" i="13"/>
  <c r="D13" i="13"/>
  <c r="C13" i="13"/>
  <c r="E13" i="13"/>
  <c r="E12" i="13"/>
  <c r="F12" i="13"/>
  <c r="D99" i="12"/>
  <c r="E99" i="12"/>
  <c r="C99" i="12"/>
  <c r="E98" i="12"/>
  <c r="F98" i="12"/>
  <c r="E97" i="12"/>
  <c r="F97" i="12"/>
  <c r="E96" i="12"/>
  <c r="F96" i="12"/>
  <c r="D92" i="12"/>
  <c r="C92" i="12"/>
  <c r="E91" i="12"/>
  <c r="F91" i="12"/>
  <c r="E90" i="12"/>
  <c r="F90" i="12"/>
  <c r="F89" i="12"/>
  <c r="E89" i="12"/>
  <c r="E88" i="12"/>
  <c r="F88" i="12"/>
  <c r="E87" i="12"/>
  <c r="F87" i="12"/>
  <c r="D84" i="12"/>
  <c r="C84" i="12"/>
  <c r="E84" i="12"/>
  <c r="E83" i="12"/>
  <c r="F83" i="12"/>
  <c r="F82" i="12"/>
  <c r="E82" i="12"/>
  <c r="F81" i="12"/>
  <c r="E81" i="12"/>
  <c r="F80" i="12"/>
  <c r="E80" i="12"/>
  <c r="F79" i="12"/>
  <c r="E79" i="12"/>
  <c r="D75" i="12"/>
  <c r="C75" i="12"/>
  <c r="E74" i="12"/>
  <c r="F74" i="12"/>
  <c r="E73" i="12"/>
  <c r="F73" i="12"/>
  <c r="D70" i="12"/>
  <c r="E70" i="12"/>
  <c r="C70" i="12"/>
  <c r="E69" i="12"/>
  <c r="F69" i="12"/>
  <c r="E68" i="12"/>
  <c r="F68" i="12"/>
  <c r="D65" i="12"/>
  <c r="C65" i="12"/>
  <c r="E65" i="12"/>
  <c r="E64" i="12"/>
  <c r="F64" i="12"/>
  <c r="E63" i="12"/>
  <c r="F63" i="12"/>
  <c r="D60" i="12"/>
  <c r="C60" i="12"/>
  <c r="F60" i="12"/>
  <c r="F59" i="12"/>
  <c r="E59" i="12"/>
  <c r="F58" i="12"/>
  <c r="E58" i="12"/>
  <c r="E60" i="12"/>
  <c r="D55" i="12"/>
  <c r="E55" i="12"/>
  <c r="C55" i="12"/>
  <c r="F55" i="12"/>
  <c r="F54" i="12"/>
  <c r="E54" i="12"/>
  <c r="F53" i="12"/>
  <c r="E53" i="12"/>
  <c r="D50" i="12"/>
  <c r="E50" i="12"/>
  <c r="C50" i="12"/>
  <c r="F50" i="12"/>
  <c r="F49" i="12"/>
  <c r="E49" i="12"/>
  <c r="F48" i="12"/>
  <c r="E48" i="12"/>
  <c r="D45" i="12"/>
  <c r="C45" i="12"/>
  <c r="F45" i="12"/>
  <c r="F44" i="12"/>
  <c r="E44" i="12"/>
  <c r="F43" i="12"/>
  <c r="E43" i="12"/>
  <c r="D37" i="12"/>
  <c r="C37" i="12"/>
  <c r="F37" i="12"/>
  <c r="F36" i="12"/>
  <c r="E36" i="12"/>
  <c r="F35" i="12"/>
  <c r="E35" i="12"/>
  <c r="F34" i="12"/>
  <c r="E34" i="12"/>
  <c r="F33" i="12"/>
  <c r="E33" i="12"/>
  <c r="D30" i="12"/>
  <c r="E30" i="12"/>
  <c r="C30" i="12"/>
  <c r="F30" i="12"/>
  <c r="F29" i="12"/>
  <c r="E29" i="12"/>
  <c r="F28" i="12"/>
  <c r="E28" i="12"/>
  <c r="F27" i="12"/>
  <c r="E27" i="12"/>
  <c r="F26" i="12"/>
  <c r="E26" i="12"/>
  <c r="D23" i="12"/>
  <c r="E23" i="12"/>
  <c r="C23" i="12"/>
  <c r="F22" i="12"/>
  <c r="E22" i="12"/>
  <c r="E21" i="12"/>
  <c r="F21" i="12"/>
  <c r="E20" i="12"/>
  <c r="F20" i="12"/>
  <c r="E19" i="12"/>
  <c r="F19" i="12"/>
  <c r="D16" i="12"/>
  <c r="C16" i="12"/>
  <c r="E16" i="12"/>
  <c r="F15" i="12"/>
  <c r="E15" i="12"/>
  <c r="E14" i="12"/>
  <c r="F14" i="12"/>
  <c r="E13" i="12"/>
  <c r="F13" i="12"/>
  <c r="E12" i="12"/>
  <c r="F12" i="12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I17" i="11"/>
  <c r="F17" i="11"/>
  <c r="F31" i="11"/>
  <c r="H31" i="11"/>
  <c r="E17" i="11"/>
  <c r="E31" i="11"/>
  <c r="D17" i="11"/>
  <c r="D33" i="11"/>
  <c r="D36" i="11"/>
  <c r="D38" i="11"/>
  <c r="D40" i="11"/>
  <c r="C17" i="11"/>
  <c r="C31" i="1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/>
  <c r="E77" i="10"/>
  <c r="D78" i="10"/>
  <c r="D80" i="10"/>
  <c r="D77" i="10"/>
  <c r="C78" i="10"/>
  <c r="D75" i="10"/>
  <c r="E73" i="10"/>
  <c r="E75" i="10"/>
  <c r="D73" i="10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E50" i="10"/>
  <c r="D55" i="10"/>
  <c r="C55" i="10"/>
  <c r="E54" i="10"/>
  <c r="D54" i="10"/>
  <c r="C54" i="10"/>
  <c r="C50" i="10"/>
  <c r="E46" i="10"/>
  <c r="D46" i="10"/>
  <c r="D59" i="10"/>
  <c r="D61" i="10"/>
  <c r="D57" i="10"/>
  <c r="C46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D13" i="10"/>
  <c r="D25" i="10"/>
  <c r="D27" i="10"/>
  <c r="C13" i="10"/>
  <c r="D46" i="9"/>
  <c r="E46" i="9"/>
  <c r="C46" i="9"/>
  <c r="F46" i="9"/>
  <c r="F45" i="9"/>
  <c r="E45" i="9"/>
  <c r="F44" i="9"/>
  <c r="E44" i="9"/>
  <c r="D39" i="9"/>
  <c r="C39" i="9"/>
  <c r="E38" i="9"/>
  <c r="F38" i="9"/>
  <c r="F37" i="9"/>
  <c r="E37" i="9"/>
  <c r="E36" i="9"/>
  <c r="F36" i="9"/>
  <c r="D31" i="9"/>
  <c r="C31" i="9"/>
  <c r="E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E18" i="9"/>
  <c r="F18" i="9"/>
  <c r="E17" i="9"/>
  <c r="F17" i="9"/>
  <c r="D16" i="9"/>
  <c r="D19" i="9"/>
  <c r="D33" i="9"/>
  <c r="D41" i="9"/>
  <c r="D48" i="9"/>
  <c r="C16" i="9"/>
  <c r="C19" i="9"/>
  <c r="F15" i="9"/>
  <c r="E15" i="9"/>
  <c r="E14" i="9"/>
  <c r="F14" i="9"/>
  <c r="E13" i="9"/>
  <c r="F13" i="9"/>
  <c r="E12" i="9"/>
  <c r="F12" i="9"/>
  <c r="D73" i="8"/>
  <c r="E73" i="8"/>
  <c r="C73" i="8"/>
  <c r="E72" i="8"/>
  <c r="F72" i="8"/>
  <c r="E71" i="8"/>
  <c r="F71" i="8"/>
  <c r="E70" i="8"/>
  <c r="F70" i="8"/>
  <c r="F67" i="8"/>
  <c r="E67" i="8"/>
  <c r="E64" i="8"/>
  <c r="F64" i="8"/>
  <c r="E63" i="8"/>
  <c r="F63" i="8"/>
  <c r="E61" i="8"/>
  <c r="D61" i="8"/>
  <c r="D65" i="8"/>
  <c r="C61" i="8"/>
  <c r="E60" i="8"/>
  <c r="F60" i="8"/>
  <c r="E59" i="8"/>
  <c r="F59" i="8"/>
  <c r="D56" i="8"/>
  <c r="D75" i="8"/>
  <c r="C56" i="8"/>
  <c r="E55" i="8"/>
  <c r="F55" i="8"/>
  <c r="E54" i="8"/>
  <c r="F54" i="8"/>
  <c r="E53" i="8"/>
  <c r="F53" i="8"/>
  <c r="F52" i="8"/>
  <c r="E52" i="8"/>
  <c r="E51" i="8"/>
  <c r="F51" i="8"/>
  <c r="E50" i="8"/>
  <c r="F50" i="8"/>
  <c r="A50" i="8"/>
  <c r="A51" i="8"/>
  <c r="A52" i="8"/>
  <c r="A53" i="8"/>
  <c r="A54" i="8"/>
  <c r="A55" i="8"/>
  <c r="E49" i="8"/>
  <c r="F49" i="8"/>
  <c r="E40" i="8"/>
  <c r="F40" i="8"/>
  <c r="D38" i="8"/>
  <c r="D41" i="8"/>
  <c r="C38" i="8"/>
  <c r="E38" i="8"/>
  <c r="E37" i="8"/>
  <c r="F37" i="8"/>
  <c r="E36" i="8"/>
  <c r="F36" i="8"/>
  <c r="E33" i="8"/>
  <c r="F33" i="8"/>
  <c r="E32" i="8"/>
  <c r="F32" i="8"/>
  <c r="F31" i="8"/>
  <c r="E31" i="8"/>
  <c r="D29" i="8"/>
  <c r="E29" i="8"/>
  <c r="C29" i="8"/>
  <c r="E28" i="8"/>
  <c r="F28" i="8"/>
  <c r="E27" i="8"/>
  <c r="F27" i="8"/>
  <c r="E26" i="8"/>
  <c r="F26" i="8"/>
  <c r="E25" i="8"/>
  <c r="F25" i="8"/>
  <c r="D22" i="8"/>
  <c r="D43" i="8"/>
  <c r="C22" i="8"/>
  <c r="F21" i="8"/>
  <c r="E21" i="8"/>
  <c r="E20" i="8"/>
  <c r="F20" i="8"/>
  <c r="E19" i="8"/>
  <c r="F19" i="8"/>
  <c r="E18" i="8"/>
  <c r="F18" i="8"/>
  <c r="F17" i="8"/>
  <c r="E17" i="8"/>
  <c r="E16" i="8"/>
  <c r="F16" i="8"/>
  <c r="E15" i="8"/>
  <c r="F15" i="8"/>
  <c r="F14" i="8"/>
  <c r="E14" i="8"/>
  <c r="E13" i="8"/>
  <c r="F13" i="8"/>
  <c r="D120" i="7"/>
  <c r="C120" i="7"/>
  <c r="D119" i="7"/>
  <c r="E119" i="7"/>
  <c r="C119" i="7"/>
  <c r="D118" i="7"/>
  <c r="C118" i="7"/>
  <c r="E118" i="7"/>
  <c r="D117" i="7"/>
  <c r="E117" i="7"/>
  <c r="C117" i="7"/>
  <c r="D116" i="7"/>
  <c r="E116" i="7"/>
  <c r="C116" i="7"/>
  <c r="D115" i="7"/>
  <c r="E115" i="7"/>
  <c r="C115" i="7"/>
  <c r="D114" i="7"/>
  <c r="C114" i="7"/>
  <c r="E114" i="7"/>
  <c r="D113" i="7"/>
  <c r="D122" i="7"/>
  <c r="E122" i="7"/>
  <c r="C113" i="7"/>
  <c r="C122" i="7"/>
  <c r="D112" i="7"/>
  <c r="C112" i="7"/>
  <c r="D108" i="7"/>
  <c r="C108" i="7"/>
  <c r="E108" i="7"/>
  <c r="D107" i="7"/>
  <c r="E107" i="7"/>
  <c r="C107" i="7"/>
  <c r="E106" i="7"/>
  <c r="F106" i="7"/>
  <c r="F105" i="7"/>
  <c r="E105" i="7"/>
  <c r="E104" i="7"/>
  <c r="F104" i="7"/>
  <c r="E103" i="7"/>
  <c r="F103" i="7"/>
  <c r="E102" i="7"/>
  <c r="F102" i="7"/>
  <c r="E101" i="7"/>
  <c r="F101" i="7"/>
  <c r="E100" i="7"/>
  <c r="F100" i="7"/>
  <c r="F99" i="7"/>
  <c r="E99" i="7"/>
  <c r="E98" i="7"/>
  <c r="F98" i="7"/>
  <c r="D96" i="7"/>
  <c r="E96" i="7"/>
  <c r="F96" i="7"/>
  <c r="C96" i="7"/>
  <c r="D95" i="7"/>
  <c r="E95" i="7"/>
  <c r="F95" i="7"/>
  <c r="C95" i="7"/>
  <c r="F94" i="7"/>
  <c r="E94" i="7"/>
  <c r="E93" i="7"/>
  <c r="F93" i="7"/>
  <c r="E92" i="7"/>
  <c r="F92" i="7"/>
  <c r="E91" i="7"/>
  <c r="F91" i="7"/>
  <c r="E90" i="7"/>
  <c r="F90" i="7"/>
  <c r="E89" i="7"/>
  <c r="F89" i="7"/>
  <c r="F88" i="7"/>
  <c r="E88" i="7"/>
  <c r="E87" i="7"/>
  <c r="F87" i="7"/>
  <c r="F86" i="7"/>
  <c r="E86" i="7"/>
  <c r="D84" i="7"/>
  <c r="E84" i="7"/>
  <c r="C84" i="7"/>
  <c r="F84" i="7"/>
  <c r="D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D71" i="7"/>
  <c r="C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/>
  <c r="C60" i="7"/>
  <c r="F60" i="7"/>
  <c r="D59" i="7"/>
  <c r="C59" i="7"/>
  <c r="F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C48" i="7"/>
  <c r="F48" i="7"/>
  <c r="D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/>
  <c r="C36" i="7"/>
  <c r="D35" i="7"/>
  <c r="C35" i="7"/>
  <c r="E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F24" i="7"/>
  <c r="E24" i="7"/>
  <c r="D23" i="7"/>
  <c r="C23" i="7"/>
  <c r="F23" i="7"/>
  <c r="E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E206" i="6"/>
  <c r="C206" i="6"/>
  <c r="D205" i="6"/>
  <c r="E205" i="6"/>
  <c r="C205" i="6"/>
  <c r="D204" i="6"/>
  <c r="C204" i="6"/>
  <c r="E204" i="6"/>
  <c r="D203" i="6"/>
  <c r="E203" i="6"/>
  <c r="C203" i="6"/>
  <c r="D202" i="6"/>
  <c r="E202" i="6"/>
  <c r="C202" i="6"/>
  <c r="D201" i="6"/>
  <c r="C201" i="6"/>
  <c r="D200" i="6"/>
  <c r="C200" i="6"/>
  <c r="D199" i="6"/>
  <c r="D208" i="6"/>
  <c r="E208" i="6"/>
  <c r="C199" i="6"/>
  <c r="C208" i="6"/>
  <c r="D198" i="6"/>
  <c r="E198" i="6"/>
  <c r="C198" i="6"/>
  <c r="C207" i="6"/>
  <c r="D193" i="6"/>
  <c r="E193" i="6"/>
  <c r="C193" i="6"/>
  <c r="F193" i="6"/>
  <c r="D192" i="6"/>
  <c r="E192" i="6"/>
  <c r="C192" i="6"/>
  <c r="F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F180" i="6"/>
  <c r="D180" i="6"/>
  <c r="E180" i="6"/>
  <c r="C180" i="6"/>
  <c r="F179" i="6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4" i="6"/>
  <c r="D154" i="6"/>
  <c r="E154" i="6"/>
  <c r="C154" i="6"/>
  <c r="F153" i="6"/>
  <c r="D153" i="6"/>
  <c r="E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/>
  <c r="C141" i="6"/>
  <c r="D140" i="6"/>
  <c r="E140" i="6"/>
  <c r="C140" i="6"/>
  <c r="F139" i="6"/>
  <c r="E139" i="6"/>
  <c r="F138" i="6"/>
  <c r="E138" i="6"/>
  <c r="E137" i="6"/>
  <c r="F137" i="6"/>
  <c r="F136" i="6"/>
  <c r="E136" i="6"/>
  <c r="F135" i="6"/>
  <c r="E135" i="6"/>
  <c r="E134" i="6"/>
  <c r="F134" i="6"/>
  <c r="E133" i="6"/>
  <c r="F133" i="6"/>
  <c r="F132" i="6"/>
  <c r="E132" i="6"/>
  <c r="F131" i="6"/>
  <c r="E131" i="6"/>
  <c r="D128" i="6"/>
  <c r="E128" i="6"/>
  <c r="F128" i="6"/>
  <c r="C128" i="6"/>
  <c r="D127" i="6"/>
  <c r="E127" i="6"/>
  <c r="F127" i="6"/>
  <c r="C127" i="6"/>
  <c r="F126" i="6"/>
  <c r="E126" i="6"/>
  <c r="E125" i="6"/>
  <c r="F125" i="6"/>
  <c r="E124" i="6"/>
  <c r="F124" i="6"/>
  <c r="E123" i="6"/>
  <c r="F123" i="6"/>
  <c r="F122" i="6"/>
  <c r="E122" i="6"/>
  <c r="E121" i="6"/>
  <c r="F121" i="6"/>
  <c r="E120" i="6"/>
  <c r="F120" i="6"/>
  <c r="E119" i="6"/>
  <c r="F119" i="6"/>
  <c r="F118" i="6"/>
  <c r="E118" i="6"/>
  <c r="D115" i="6"/>
  <c r="E115" i="6"/>
  <c r="C115" i="6"/>
  <c r="D114" i="6"/>
  <c r="E114" i="6"/>
  <c r="C114" i="6"/>
  <c r="E113" i="6"/>
  <c r="F113" i="6"/>
  <c r="E112" i="6"/>
  <c r="F112" i="6"/>
  <c r="E111" i="6"/>
  <c r="F111" i="6"/>
  <c r="F110" i="6"/>
  <c r="E110" i="6"/>
  <c r="E109" i="6"/>
  <c r="F109" i="6"/>
  <c r="E108" i="6"/>
  <c r="F108" i="6"/>
  <c r="E107" i="6"/>
  <c r="F107" i="6"/>
  <c r="F106" i="6"/>
  <c r="E106" i="6"/>
  <c r="E105" i="6"/>
  <c r="F105" i="6"/>
  <c r="D102" i="6"/>
  <c r="E102" i="6"/>
  <c r="C102" i="6"/>
  <c r="D101" i="6"/>
  <c r="E101" i="6"/>
  <c r="C101" i="6"/>
  <c r="E100" i="6"/>
  <c r="F100" i="6"/>
  <c r="E99" i="6"/>
  <c r="F99" i="6"/>
  <c r="F98" i="6"/>
  <c r="E98" i="6"/>
  <c r="E97" i="6"/>
  <c r="F97" i="6"/>
  <c r="E96" i="6"/>
  <c r="F96" i="6"/>
  <c r="E95" i="6"/>
  <c r="F95" i="6"/>
  <c r="F94" i="6"/>
  <c r="E94" i="6"/>
  <c r="E93" i="6"/>
  <c r="F93" i="6"/>
  <c r="E92" i="6"/>
  <c r="F92" i="6"/>
  <c r="D89" i="6"/>
  <c r="C89" i="6"/>
  <c r="F89" i="6"/>
  <c r="D88" i="6"/>
  <c r="C88" i="6"/>
  <c r="F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E76" i="6"/>
  <c r="C76" i="6"/>
  <c r="D75" i="6"/>
  <c r="E75" i="6"/>
  <c r="C75" i="6"/>
  <c r="E74" i="6"/>
  <c r="F74" i="6"/>
  <c r="E73" i="6"/>
  <c r="F73" i="6"/>
  <c r="F72" i="6"/>
  <c r="E72" i="6"/>
  <c r="E71" i="6"/>
  <c r="F71" i="6"/>
  <c r="E70" i="6"/>
  <c r="F70" i="6"/>
  <c r="E69" i="6"/>
  <c r="F69" i="6"/>
  <c r="F68" i="6"/>
  <c r="E68" i="6"/>
  <c r="E67" i="6"/>
  <c r="F67" i="6"/>
  <c r="E66" i="6"/>
  <c r="F66" i="6"/>
  <c r="D63" i="6"/>
  <c r="C63" i="6"/>
  <c r="D62" i="6"/>
  <c r="C62" i="6"/>
  <c r="E61" i="6"/>
  <c r="F61" i="6"/>
  <c r="F60" i="6"/>
  <c r="E60" i="6"/>
  <c r="E59" i="6"/>
  <c r="F59" i="6"/>
  <c r="E58" i="6"/>
  <c r="F58" i="6"/>
  <c r="E57" i="6"/>
  <c r="F57" i="6"/>
  <c r="F56" i="6"/>
  <c r="E56" i="6"/>
  <c r="E55" i="6"/>
  <c r="F55" i="6"/>
  <c r="E54" i="6"/>
  <c r="F54" i="6"/>
  <c r="E53" i="6"/>
  <c r="F53" i="6"/>
  <c r="D50" i="6"/>
  <c r="E50" i="6"/>
  <c r="F50" i="6"/>
  <c r="C50" i="6"/>
  <c r="D49" i="6"/>
  <c r="E49" i="6"/>
  <c r="F49" i="6"/>
  <c r="C49" i="6"/>
  <c r="F48" i="6"/>
  <c r="E48" i="6"/>
  <c r="E47" i="6"/>
  <c r="F47" i="6"/>
  <c r="E46" i="6"/>
  <c r="F46" i="6"/>
  <c r="E45" i="6"/>
  <c r="F45" i="6"/>
  <c r="F44" i="6"/>
  <c r="E44" i="6"/>
  <c r="E43" i="6"/>
  <c r="F43" i="6"/>
  <c r="E42" i="6"/>
  <c r="F42" i="6"/>
  <c r="E41" i="6"/>
  <c r="F41" i="6"/>
  <c r="F40" i="6"/>
  <c r="E40" i="6"/>
  <c r="D37" i="6"/>
  <c r="E37" i="6"/>
  <c r="C37" i="6"/>
  <c r="D36" i="6"/>
  <c r="E36" i="6"/>
  <c r="C36" i="6"/>
  <c r="F35" i="6"/>
  <c r="E35" i="6"/>
  <c r="F34" i="6"/>
  <c r="E34" i="6"/>
  <c r="E33" i="6"/>
  <c r="F33" i="6"/>
  <c r="F32" i="6"/>
  <c r="E32" i="6"/>
  <c r="F31" i="6"/>
  <c r="E31" i="6"/>
  <c r="E30" i="6"/>
  <c r="F30" i="6"/>
  <c r="E29" i="6"/>
  <c r="F29" i="6"/>
  <c r="F28" i="6"/>
  <c r="E28" i="6"/>
  <c r="F27" i="6"/>
  <c r="E27" i="6"/>
  <c r="D24" i="6"/>
  <c r="E24" i="6"/>
  <c r="F24" i="6"/>
  <c r="C24" i="6"/>
  <c r="F23" i="6"/>
  <c r="D23" i="6"/>
  <c r="E23" i="6"/>
  <c r="C23" i="6"/>
  <c r="F22" i="6"/>
  <c r="E22" i="6"/>
  <c r="E21" i="6"/>
  <c r="F21" i="6"/>
  <c r="E20" i="6"/>
  <c r="F20" i="6"/>
  <c r="E19" i="6"/>
  <c r="F19" i="6"/>
  <c r="F18" i="6"/>
  <c r="E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D164" i="5"/>
  <c r="D160" i="5"/>
  <c r="D166" i="5"/>
  <c r="C164" i="5"/>
  <c r="C160" i="5"/>
  <c r="C166" i="5"/>
  <c r="E162" i="5"/>
  <c r="D162" i="5"/>
  <c r="C162" i="5"/>
  <c r="E161" i="5"/>
  <c r="D161" i="5"/>
  <c r="C161" i="5"/>
  <c r="E160" i="5"/>
  <c r="E166" i="5"/>
  <c r="E147" i="5"/>
  <c r="D147" i="5"/>
  <c r="D143" i="5"/>
  <c r="D149" i="5"/>
  <c r="C147" i="5"/>
  <c r="C143" i="5"/>
  <c r="C149" i="5"/>
  <c r="E145" i="5"/>
  <c r="D145" i="5"/>
  <c r="C145" i="5"/>
  <c r="E144" i="5"/>
  <c r="D144" i="5"/>
  <c r="C144" i="5"/>
  <c r="E143" i="5"/>
  <c r="E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E104" i="5"/>
  <c r="E102" i="5"/>
  <c r="D102" i="5"/>
  <c r="D104" i="5"/>
  <c r="C102" i="5"/>
  <c r="C104" i="5"/>
  <c r="E100" i="5"/>
  <c r="D100" i="5"/>
  <c r="C100" i="5"/>
  <c r="E95" i="5"/>
  <c r="D95" i="5"/>
  <c r="D94" i="5"/>
  <c r="C95" i="5"/>
  <c r="C94" i="5"/>
  <c r="E94" i="5"/>
  <c r="E89" i="5"/>
  <c r="D89" i="5"/>
  <c r="C89" i="5"/>
  <c r="E87" i="5"/>
  <c r="D87" i="5"/>
  <c r="C87" i="5"/>
  <c r="E84" i="5"/>
  <c r="D84" i="5"/>
  <c r="D79" i="5"/>
  <c r="C84" i="5"/>
  <c r="E83" i="5"/>
  <c r="D83" i="5"/>
  <c r="C83" i="5"/>
  <c r="E79" i="5"/>
  <c r="E75" i="5"/>
  <c r="E77" i="5"/>
  <c r="E71" i="5"/>
  <c r="D75" i="5"/>
  <c r="D88" i="5"/>
  <c r="D90" i="5"/>
  <c r="D86" i="5"/>
  <c r="C75" i="5"/>
  <c r="C77" i="5"/>
  <c r="C71" i="5"/>
  <c r="E74" i="5"/>
  <c r="D74" i="5"/>
  <c r="C74" i="5"/>
  <c r="E67" i="5"/>
  <c r="D67" i="5"/>
  <c r="C67" i="5"/>
  <c r="D49" i="5"/>
  <c r="D43" i="5"/>
  <c r="E38" i="5"/>
  <c r="E49" i="5"/>
  <c r="D38" i="5"/>
  <c r="D53" i="5"/>
  <c r="C38" i="5"/>
  <c r="C43" i="5"/>
  <c r="E34" i="5"/>
  <c r="E33" i="5"/>
  <c r="D33" i="5"/>
  <c r="D34" i="5"/>
  <c r="E26" i="5"/>
  <c r="D26" i="5"/>
  <c r="C26" i="5"/>
  <c r="E15" i="5"/>
  <c r="E17" i="5"/>
  <c r="E13" i="5"/>
  <c r="E25" i="5"/>
  <c r="E27" i="5"/>
  <c r="D13" i="5"/>
  <c r="D25" i="5"/>
  <c r="D27" i="5"/>
  <c r="C13" i="5"/>
  <c r="C15" i="5"/>
  <c r="F186" i="4"/>
  <c r="E186" i="4"/>
  <c r="D183" i="4"/>
  <c r="E183" i="4"/>
  <c r="F183" i="4"/>
  <c r="C183" i="4"/>
  <c r="F182" i="4"/>
  <c r="E182" i="4"/>
  <c r="F181" i="4"/>
  <c r="E181" i="4"/>
  <c r="F180" i="4"/>
  <c r="E180" i="4"/>
  <c r="E179" i="4"/>
  <c r="F179" i="4"/>
  <c r="F178" i="4"/>
  <c r="E178" i="4"/>
  <c r="F177" i="4"/>
  <c r="E177" i="4"/>
  <c r="F176" i="4"/>
  <c r="E176" i="4"/>
  <c r="F175" i="4"/>
  <c r="E175" i="4"/>
  <c r="F174" i="4"/>
  <c r="E174" i="4"/>
  <c r="F173" i="4"/>
  <c r="E173" i="4"/>
  <c r="F172" i="4"/>
  <c r="E172" i="4"/>
  <c r="E171" i="4"/>
  <c r="F171" i="4"/>
  <c r="F170" i="4"/>
  <c r="E170" i="4"/>
  <c r="D167" i="4"/>
  <c r="E167" i="4"/>
  <c r="F167" i="4"/>
  <c r="C167" i="4"/>
  <c r="E166" i="4"/>
  <c r="F166" i="4"/>
  <c r="F165" i="4"/>
  <c r="E165" i="4"/>
  <c r="E164" i="4"/>
  <c r="F164" i="4"/>
  <c r="F163" i="4"/>
  <c r="E163" i="4"/>
  <c r="F162" i="4"/>
  <c r="E162" i="4"/>
  <c r="F161" i="4"/>
  <c r="E161" i="4"/>
  <c r="E160" i="4"/>
  <c r="F160" i="4"/>
  <c r="F159" i="4"/>
  <c r="E159" i="4"/>
  <c r="F158" i="4"/>
  <c r="E158" i="4"/>
  <c r="E157" i="4"/>
  <c r="F157" i="4"/>
  <c r="E156" i="4"/>
  <c r="F156" i="4"/>
  <c r="E155" i="4"/>
  <c r="F155" i="4"/>
  <c r="F154" i="4"/>
  <c r="E154" i="4"/>
  <c r="F153" i="4"/>
  <c r="E153" i="4"/>
  <c r="E152" i="4"/>
  <c r="F152" i="4"/>
  <c r="F151" i="4"/>
  <c r="E151" i="4"/>
  <c r="F150" i="4"/>
  <c r="E150" i="4"/>
  <c r="F149" i="4"/>
  <c r="E149" i="4"/>
  <c r="E148" i="4"/>
  <c r="F148" i="4"/>
  <c r="F147" i="4"/>
  <c r="E147" i="4"/>
  <c r="E146" i="4"/>
  <c r="F146" i="4"/>
  <c r="E145" i="4"/>
  <c r="F145" i="4"/>
  <c r="E144" i="4"/>
  <c r="F144" i="4"/>
  <c r="F143" i="4"/>
  <c r="E143" i="4"/>
  <c r="E142" i="4"/>
  <c r="F142" i="4"/>
  <c r="E141" i="4"/>
  <c r="F141" i="4"/>
  <c r="E140" i="4"/>
  <c r="F140" i="4"/>
  <c r="F139" i="4"/>
  <c r="E139" i="4"/>
  <c r="E138" i="4"/>
  <c r="F138" i="4"/>
  <c r="E137" i="4"/>
  <c r="F137" i="4"/>
  <c r="E136" i="4"/>
  <c r="F136" i="4"/>
  <c r="E135" i="4"/>
  <c r="F135" i="4"/>
  <c r="E134" i="4"/>
  <c r="F134" i="4"/>
  <c r="E133" i="4"/>
  <c r="F133" i="4"/>
  <c r="D130" i="4"/>
  <c r="C130" i="4"/>
  <c r="F129" i="4"/>
  <c r="E129" i="4"/>
  <c r="E128" i="4"/>
  <c r="F128" i="4"/>
  <c r="E127" i="4"/>
  <c r="F127" i="4"/>
  <c r="E126" i="4"/>
  <c r="F126" i="4"/>
  <c r="F125" i="4"/>
  <c r="E125" i="4"/>
  <c r="E124" i="4"/>
  <c r="F124" i="4"/>
  <c r="D121" i="4"/>
  <c r="E121" i="4"/>
  <c r="C121" i="4"/>
  <c r="E120" i="4"/>
  <c r="F120" i="4"/>
  <c r="E119" i="4"/>
  <c r="F119" i="4"/>
  <c r="E118" i="4"/>
  <c r="F118" i="4"/>
  <c r="F117" i="4"/>
  <c r="E117" i="4"/>
  <c r="E116" i="4"/>
  <c r="F116" i="4"/>
  <c r="E115" i="4"/>
  <c r="F115" i="4"/>
  <c r="E114" i="4"/>
  <c r="F114" i="4"/>
  <c r="F113" i="4"/>
  <c r="E113" i="4"/>
  <c r="E112" i="4"/>
  <c r="F112" i="4"/>
  <c r="E111" i="4"/>
  <c r="F111" i="4"/>
  <c r="E110" i="4"/>
  <c r="F110" i="4"/>
  <c r="F109" i="4"/>
  <c r="E109" i="4"/>
  <c r="E108" i="4"/>
  <c r="F108" i="4"/>
  <c r="E107" i="4"/>
  <c r="F107" i="4"/>
  <c r="E106" i="4"/>
  <c r="F106" i="4"/>
  <c r="F105" i="4"/>
  <c r="E105" i="4"/>
  <c r="E104" i="4"/>
  <c r="F104" i="4"/>
  <c r="E103" i="4"/>
  <c r="F103" i="4"/>
  <c r="F93" i="4"/>
  <c r="E93" i="4"/>
  <c r="D90" i="4"/>
  <c r="E90" i="4"/>
  <c r="C90" i="4"/>
  <c r="F90" i="4"/>
  <c r="E89" i="4"/>
  <c r="F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E76" i="4"/>
  <c r="F76" i="4"/>
  <c r="F75" i="4"/>
  <c r="E75" i="4"/>
  <c r="E74" i="4"/>
  <c r="F74" i="4"/>
  <c r="E73" i="4"/>
  <c r="F73" i="4"/>
  <c r="E72" i="4"/>
  <c r="F72" i="4"/>
  <c r="F71" i="4"/>
  <c r="E71" i="4"/>
  <c r="E70" i="4"/>
  <c r="F70" i="4"/>
  <c r="E69" i="4"/>
  <c r="F69" i="4"/>
  <c r="E68" i="4"/>
  <c r="F68" i="4"/>
  <c r="F67" i="4"/>
  <c r="E67" i="4"/>
  <c r="E66" i="4"/>
  <c r="F66" i="4"/>
  <c r="E65" i="4"/>
  <c r="F65" i="4"/>
  <c r="E64" i="4"/>
  <c r="F64" i="4"/>
  <c r="F63" i="4"/>
  <c r="E63" i="4"/>
  <c r="E62" i="4"/>
  <c r="F62" i="4"/>
  <c r="D59" i="4"/>
  <c r="E59" i="4"/>
  <c r="C59" i="4"/>
  <c r="F59" i="4"/>
  <c r="E58" i="4"/>
  <c r="F58" i="4"/>
  <c r="E57" i="4"/>
  <c r="F57" i="4"/>
  <c r="F56" i="4"/>
  <c r="E56" i="4"/>
  <c r="E55" i="4"/>
  <c r="F55" i="4"/>
  <c r="E54" i="4"/>
  <c r="F54" i="4"/>
  <c r="E53" i="4"/>
  <c r="F53" i="4"/>
  <c r="F50" i="4"/>
  <c r="E50" i="4"/>
  <c r="E47" i="4"/>
  <c r="F47" i="4"/>
  <c r="E44" i="4"/>
  <c r="F44" i="4"/>
  <c r="D41" i="4"/>
  <c r="C41" i="4"/>
  <c r="F40" i="4"/>
  <c r="E40" i="4"/>
  <c r="E39" i="4"/>
  <c r="F39" i="4"/>
  <c r="E38" i="4"/>
  <c r="F38" i="4"/>
  <c r="D35" i="4"/>
  <c r="E35" i="4"/>
  <c r="F35" i="4"/>
  <c r="C35" i="4"/>
  <c r="F34" i="4"/>
  <c r="E34" i="4"/>
  <c r="E33" i="4"/>
  <c r="F33" i="4"/>
  <c r="D30" i="4"/>
  <c r="E30" i="4"/>
  <c r="C30" i="4"/>
  <c r="F30" i="4"/>
  <c r="F29" i="4"/>
  <c r="E29" i="4"/>
  <c r="E28" i="4"/>
  <c r="F28" i="4"/>
  <c r="F27" i="4"/>
  <c r="E27" i="4"/>
  <c r="D24" i="4"/>
  <c r="E24" i="4"/>
  <c r="F24" i="4"/>
  <c r="C24" i="4"/>
  <c r="E23" i="4"/>
  <c r="F23" i="4"/>
  <c r="E22" i="4"/>
  <c r="F22" i="4"/>
  <c r="E21" i="4"/>
  <c r="F21" i="4"/>
  <c r="D18" i="4"/>
  <c r="C18" i="4"/>
  <c r="E17" i="4"/>
  <c r="F17" i="4"/>
  <c r="E16" i="4"/>
  <c r="F16" i="4"/>
  <c r="E15" i="4"/>
  <c r="F15" i="4"/>
  <c r="D179" i="3"/>
  <c r="C179" i="3"/>
  <c r="E178" i="3"/>
  <c r="F178" i="3"/>
  <c r="F177" i="3"/>
  <c r="E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E166" i="3"/>
  <c r="C166" i="3"/>
  <c r="F166" i="3"/>
  <c r="E165" i="3"/>
  <c r="F165" i="3"/>
  <c r="F164" i="3"/>
  <c r="E164" i="3"/>
  <c r="E163" i="3"/>
  <c r="F163" i="3"/>
  <c r="E162" i="3"/>
  <c r="F162" i="3"/>
  <c r="E161" i="3"/>
  <c r="F161" i="3"/>
  <c r="E160" i="3"/>
  <c r="F160" i="3"/>
  <c r="E159" i="3"/>
  <c r="F159" i="3"/>
  <c r="E158" i="3"/>
  <c r="F158" i="3"/>
  <c r="E157" i="3"/>
  <c r="F157" i="3"/>
  <c r="E156" i="3"/>
  <c r="F156" i="3"/>
  <c r="E155" i="3"/>
  <c r="F155" i="3"/>
  <c r="D153" i="3"/>
  <c r="C153" i="3"/>
  <c r="E152" i="3"/>
  <c r="F152" i="3"/>
  <c r="F151" i="3"/>
  <c r="E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E137" i="3"/>
  <c r="C137" i="3"/>
  <c r="F137" i="3"/>
  <c r="F136" i="3"/>
  <c r="E136" i="3"/>
  <c r="F135" i="3"/>
  <c r="E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C124" i="3"/>
  <c r="F123" i="3"/>
  <c r="E123" i="3"/>
  <c r="F122" i="3"/>
  <c r="E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E114" i="3"/>
  <c r="F114" i="3"/>
  <c r="E113" i="3"/>
  <c r="F113" i="3"/>
  <c r="D111" i="3"/>
  <c r="C111" i="3"/>
  <c r="F110" i="3"/>
  <c r="E110" i="3"/>
  <c r="F109" i="3"/>
  <c r="E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E94" i="3"/>
  <c r="C94" i="3"/>
  <c r="F94" i="3"/>
  <c r="D93" i="3"/>
  <c r="C93" i="3"/>
  <c r="F93" i="3"/>
  <c r="D92" i="3"/>
  <c r="E92" i="3"/>
  <c r="F92" i="3"/>
  <c r="C92" i="3"/>
  <c r="D91" i="3"/>
  <c r="C91" i="3"/>
  <c r="D90" i="3"/>
  <c r="E90" i="3"/>
  <c r="C90" i="3"/>
  <c r="D89" i="3"/>
  <c r="C89" i="3"/>
  <c r="E89" i="3"/>
  <c r="F89" i="3"/>
  <c r="D88" i="3"/>
  <c r="E88" i="3"/>
  <c r="C88" i="3"/>
  <c r="D87" i="3"/>
  <c r="C87" i="3"/>
  <c r="D86" i="3"/>
  <c r="E86" i="3"/>
  <c r="F86" i="3"/>
  <c r="C86" i="3"/>
  <c r="D85" i="3"/>
  <c r="E85" i="3"/>
  <c r="F85" i="3"/>
  <c r="C85" i="3"/>
  <c r="C95" i="3"/>
  <c r="D84" i="3"/>
  <c r="D95" i="3"/>
  <c r="C84" i="3"/>
  <c r="D81" i="3"/>
  <c r="C81" i="3"/>
  <c r="F80" i="3"/>
  <c r="E80" i="3"/>
  <c r="F79" i="3"/>
  <c r="E79" i="3"/>
  <c r="E78" i="3"/>
  <c r="F78" i="3"/>
  <c r="F77" i="3"/>
  <c r="E77" i="3"/>
  <c r="E76" i="3"/>
  <c r="F76" i="3"/>
  <c r="E75" i="3"/>
  <c r="F75" i="3"/>
  <c r="E74" i="3"/>
  <c r="F74" i="3"/>
  <c r="F73" i="3"/>
  <c r="E73" i="3"/>
  <c r="E72" i="3"/>
  <c r="F72" i="3"/>
  <c r="E71" i="3"/>
  <c r="F71" i="3"/>
  <c r="E70" i="3"/>
  <c r="F70" i="3"/>
  <c r="D68" i="3"/>
  <c r="C68" i="3"/>
  <c r="E68" i="3"/>
  <c r="F68" i="3"/>
  <c r="F67" i="3"/>
  <c r="E67" i="3"/>
  <c r="F66" i="3"/>
  <c r="E66" i="3"/>
  <c r="F65" i="3"/>
  <c r="E65" i="3"/>
  <c r="E64" i="3"/>
  <c r="F64" i="3"/>
  <c r="E63" i="3"/>
  <c r="F63" i="3"/>
  <c r="E62" i="3"/>
  <c r="F62" i="3"/>
  <c r="F61" i="3"/>
  <c r="E61" i="3"/>
  <c r="E60" i="3"/>
  <c r="F60" i="3"/>
  <c r="E59" i="3"/>
  <c r="F59" i="3"/>
  <c r="E58" i="3"/>
  <c r="F58" i="3"/>
  <c r="F57" i="3"/>
  <c r="E57" i="3"/>
  <c r="D51" i="3"/>
  <c r="E51" i="3"/>
  <c r="C51" i="3"/>
  <c r="F51" i="3"/>
  <c r="D50" i="3"/>
  <c r="C50" i="3"/>
  <c r="F50" i="3"/>
  <c r="D49" i="3"/>
  <c r="E49" i="3"/>
  <c r="C49" i="3"/>
  <c r="D48" i="3"/>
  <c r="C48" i="3"/>
  <c r="E48" i="3"/>
  <c r="F48" i="3"/>
  <c r="D47" i="3"/>
  <c r="E47" i="3"/>
  <c r="C47" i="3"/>
  <c r="D46" i="3"/>
  <c r="C46" i="3"/>
  <c r="D45" i="3"/>
  <c r="E45" i="3"/>
  <c r="F45" i="3"/>
  <c r="C45" i="3"/>
  <c r="D44" i="3"/>
  <c r="E44" i="3"/>
  <c r="F44" i="3"/>
  <c r="C44" i="3"/>
  <c r="D43" i="3"/>
  <c r="E43" i="3"/>
  <c r="F43" i="3"/>
  <c r="C43" i="3"/>
  <c r="D42" i="3"/>
  <c r="C42" i="3"/>
  <c r="D41" i="3"/>
  <c r="D52" i="3"/>
  <c r="C41" i="3"/>
  <c r="D38" i="3"/>
  <c r="C38" i="3"/>
  <c r="E38" i="3"/>
  <c r="F38" i="3"/>
  <c r="F37" i="3"/>
  <c r="E37" i="3"/>
  <c r="F36" i="3"/>
  <c r="E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E25" i="3"/>
  <c r="F25" i="3"/>
  <c r="C25" i="3"/>
  <c r="F24" i="3"/>
  <c r="E24" i="3"/>
  <c r="F23" i="3"/>
  <c r="E23" i="3"/>
  <c r="E22" i="3"/>
  <c r="F22" i="3"/>
  <c r="E21" i="3"/>
  <c r="F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E46" i="2"/>
  <c r="C46" i="2"/>
  <c r="F46" i="2"/>
  <c r="F45" i="2"/>
  <c r="E45" i="2"/>
  <c r="F44" i="2"/>
  <c r="E44" i="2"/>
  <c r="D39" i="2"/>
  <c r="E39" i="2"/>
  <c r="F39" i="2"/>
  <c r="C39" i="2"/>
  <c r="E38" i="2"/>
  <c r="F38" i="2"/>
  <c r="F37" i="2"/>
  <c r="E37" i="2"/>
  <c r="E36" i="2"/>
  <c r="F36" i="2"/>
  <c r="D31" i="2"/>
  <c r="C31" i="2"/>
  <c r="E31" i="2"/>
  <c r="F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E18" i="2"/>
  <c r="F18" i="2"/>
  <c r="E17" i="2"/>
  <c r="F17" i="2"/>
  <c r="E16" i="2"/>
  <c r="D16" i="2"/>
  <c r="D19" i="2"/>
  <c r="C16" i="2"/>
  <c r="F16" i="2"/>
  <c r="F15" i="2"/>
  <c r="E15" i="2"/>
  <c r="E14" i="2"/>
  <c r="F14" i="2"/>
  <c r="E13" i="2"/>
  <c r="F13" i="2"/>
  <c r="E12" i="2"/>
  <c r="F12" i="2"/>
  <c r="D73" i="1"/>
  <c r="E73" i="1"/>
  <c r="F73" i="1"/>
  <c r="C73" i="1"/>
  <c r="E72" i="1"/>
  <c r="F72" i="1"/>
  <c r="E71" i="1"/>
  <c r="F71" i="1"/>
  <c r="E70" i="1"/>
  <c r="F70" i="1"/>
  <c r="F67" i="1"/>
  <c r="E67" i="1"/>
  <c r="E64" i="1"/>
  <c r="F64" i="1"/>
  <c r="E63" i="1"/>
  <c r="F63" i="1"/>
  <c r="D61" i="1"/>
  <c r="E61" i="1"/>
  <c r="C61" i="1"/>
  <c r="E60" i="1"/>
  <c r="F60" i="1"/>
  <c r="E59" i="1"/>
  <c r="F59" i="1"/>
  <c r="D56" i="1"/>
  <c r="C56" i="1"/>
  <c r="E55" i="1"/>
  <c r="F55" i="1"/>
  <c r="F54" i="1"/>
  <c r="E54" i="1"/>
  <c r="E53" i="1"/>
  <c r="F53" i="1"/>
  <c r="F52" i="1"/>
  <c r="E52" i="1"/>
  <c r="E51" i="1"/>
  <c r="F51" i="1"/>
  <c r="F50" i="1"/>
  <c r="E50" i="1"/>
  <c r="A50" i="1"/>
  <c r="A51" i="1"/>
  <c r="A52" i="1"/>
  <c r="A53" i="1"/>
  <c r="A54" i="1"/>
  <c r="A55" i="1"/>
  <c r="E49" i="1"/>
  <c r="F49" i="1"/>
  <c r="D41" i="1"/>
  <c r="E40" i="1"/>
  <c r="F40" i="1"/>
  <c r="D38" i="1"/>
  <c r="C38" i="1"/>
  <c r="C41" i="1"/>
  <c r="E37" i="1"/>
  <c r="F37" i="1"/>
  <c r="E36" i="1"/>
  <c r="F36" i="1"/>
  <c r="E33" i="1"/>
  <c r="F33" i="1"/>
  <c r="E32" i="1"/>
  <c r="F32" i="1"/>
  <c r="E31" i="1"/>
  <c r="F31" i="1"/>
  <c r="D29" i="1"/>
  <c r="C29" i="1"/>
  <c r="E28" i="1"/>
  <c r="F28" i="1"/>
  <c r="F27" i="1"/>
  <c r="E27" i="1"/>
  <c r="F26" i="1"/>
  <c r="E26" i="1"/>
  <c r="E25" i="1"/>
  <c r="F25" i="1"/>
  <c r="E22" i="1"/>
  <c r="D22" i="1"/>
  <c r="D43" i="1"/>
  <c r="C22" i="1"/>
  <c r="F22" i="1"/>
  <c r="F21" i="1"/>
  <c r="E21" i="1"/>
  <c r="E20" i="1"/>
  <c r="F20" i="1"/>
  <c r="E19" i="1"/>
  <c r="F19" i="1"/>
  <c r="F18" i="1"/>
  <c r="E18" i="1"/>
  <c r="E17" i="1"/>
  <c r="F17" i="1"/>
  <c r="E16" i="1"/>
  <c r="F16" i="1"/>
  <c r="E15" i="1"/>
  <c r="F15" i="1"/>
  <c r="F14" i="1"/>
  <c r="E14" i="1"/>
  <c r="E13" i="1"/>
  <c r="F13" i="1"/>
  <c r="D173" i="14"/>
  <c r="E172" i="14"/>
  <c r="D215" i="14"/>
  <c r="D255" i="14"/>
  <c r="D283" i="14"/>
  <c r="E77" i="14"/>
  <c r="F89" i="14"/>
  <c r="F120" i="14"/>
  <c r="D192" i="14"/>
  <c r="D199" i="14"/>
  <c r="D214" i="14"/>
  <c r="D269" i="14"/>
  <c r="F20" i="14"/>
  <c r="D206" i="14"/>
  <c r="D205" i="14"/>
  <c r="D239" i="14"/>
  <c r="D261" i="14"/>
  <c r="D33" i="2"/>
  <c r="E95" i="3"/>
  <c r="F95" i="3"/>
  <c r="E93" i="3"/>
  <c r="F208" i="6"/>
  <c r="F36" i="7"/>
  <c r="F72" i="7"/>
  <c r="E72" i="7"/>
  <c r="E41" i="3"/>
  <c r="F47" i="3"/>
  <c r="F88" i="3"/>
  <c r="E124" i="3"/>
  <c r="E153" i="3"/>
  <c r="F153" i="3"/>
  <c r="E179" i="3"/>
  <c r="D95" i="4"/>
  <c r="F121" i="4"/>
  <c r="C25" i="5"/>
  <c r="C27" i="5"/>
  <c r="F36" i="6"/>
  <c r="E62" i="6"/>
  <c r="E88" i="6"/>
  <c r="F115" i="6"/>
  <c r="F140" i="6"/>
  <c r="F204" i="6"/>
  <c r="E59" i="7"/>
  <c r="F122" i="7"/>
  <c r="D207" i="6"/>
  <c r="E207" i="6"/>
  <c r="F207" i="6"/>
  <c r="E200" i="6"/>
  <c r="C33" i="9"/>
  <c r="D21" i="10"/>
  <c r="E42" i="3"/>
  <c r="F42" i="3"/>
  <c r="E81" i="3"/>
  <c r="F81" i="3"/>
  <c r="E91" i="3"/>
  <c r="F91" i="3"/>
  <c r="F124" i="3"/>
  <c r="F179" i="3"/>
  <c r="C95" i="4"/>
  <c r="D188" i="4"/>
  <c r="D15" i="5"/>
  <c r="F62" i="6"/>
  <c r="C49" i="5"/>
  <c r="C53" i="5"/>
  <c r="F71" i="7"/>
  <c r="E71" i="7"/>
  <c r="E38" i="1"/>
  <c r="F38" i="1"/>
  <c r="C65" i="1"/>
  <c r="C75" i="1"/>
  <c r="C19" i="2"/>
  <c r="E46" i="3"/>
  <c r="F46" i="3"/>
  <c r="E50" i="3"/>
  <c r="C52" i="3"/>
  <c r="E52" i="3"/>
  <c r="E87" i="3"/>
  <c r="F87" i="3"/>
  <c r="F41" i="3"/>
  <c r="F49" i="3"/>
  <c r="E84" i="3"/>
  <c r="F84" i="3"/>
  <c r="F90" i="3"/>
  <c r="E41" i="4"/>
  <c r="F41" i="4"/>
  <c r="E130" i="4"/>
  <c r="F130" i="4"/>
  <c r="C188" i="4"/>
  <c r="C79" i="5"/>
  <c r="C88" i="5"/>
  <c r="C90" i="5"/>
  <c r="C86" i="5"/>
  <c r="C109" i="5"/>
  <c r="C106" i="5"/>
  <c r="F37" i="6"/>
  <c r="E63" i="6"/>
  <c r="F63" i="6"/>
  <c r="E89" i="6"/>
  <c r="F114" i="6"/>
  <c r="F141" i="6"/>
  <c r="F200" i="6"/>
  <c r="E201" i="6"/>
  <c r="F203" i="6"/>
  <c r="C59" i="10"/>
  <c r="C61" i="10"/>
  <c r="C57" i="10"/>
  <c r="C48" i="10"/>
  <c r="C42" i="10"/>
  <c r="C31" i="14"/>
  <c r="E30" i="14"/>
  <c r="F30" i="14"/>
  <c r="C168" i="15"/>
  <c r="C145" i="15"/>
  <c r="C180" i="15"/>
  <c r="D57" i="5"/>
  <c r="D62" i="5"/>
  <c r="F198" i="6"/>
  <c r="F202" i="6"/>
  <c r="F206" i="6"/>
  <c r="F35" i="7"/>
  <c r="F108" i="7"/>
  <c r="D121" i="7"/>
  <c r="E113" i="7"/>
  <c r="F115" i="7"/>
  <c r="F119" i="7"/>
  <c r="E22" i="8"/>
  <c r="F61" i="8"/>
  <c r="F73" i="8"/>
  <c r="E16" i="9"/>
  <c r="E19" i="9"/>
  <c r="F19" i="9"/>
  <c r="E45" i="12"/>
  <c r="F65" i="12"/>
  <c r="E75" i="12"/>
  <c r="E25" i="10"/>
  <c r="E27" i="10"/>
  <c r="E15" i="10"/>
  <c r="E37" i="14"/>
  <c r="F37" i="14"/>
  <c r="F116" i="7"/>
  <c r="C80" i="10"/>
  <c r="C77" i="10"/>
  <c r="C33" i="11"/>
  <c r="C36" i="11"/>
  <c r="C38" i="11"/>
  <c r="C40" i="11"/>
  <c r="F17" i="14"/>
  <c r="E48" i="10"/>
  <c r="E42" i="10"/>
  <c r="E59" i="10"/>
  <c r="E61" i="10"/>
  <c r="E57" i="10"/>
  <c r="C161" i="14"/>
  <c r="E21" i="14"/>
  <c r="F21" i="14"/>
  <c r="C126" i="14"/>
  <c r="C91" i="14"/>
  <c r="F113" i="7"/>
  <c r="F117" i="7"/>
  <c r="C121" i="7"/>
  <c r="F22" i="8"/>
  <c r="F38" i="8"/>
  <c r="C41" i="8"/>
  <c r="E41" i="8"/>
  <c r="F16" i="9"/>
  <c r="F31" i="9"/>
  <c r="E33" i="9"/>
  <c r="D50" i="10"/>
  <c r="G33" i="11"/>
  <c r="F75" i="12"/>
  <c r="F84" i="12"/>
  <c r="F23" i="14"/>
  <c r="C15" i="10"/>
  <c r="C25" i="10"/>
  <c r="C27" i="10"/>
  <c r="E60" i="14"/>
  <c r="F60" i="14"/>
  <c r="C61" i="14"/>
  <c r="F201" i="6"/>
  <c r="F205" i="6"/>
  <c r="F107" i="7"/>
  <c r="E112" i="7"/>
  <c r="F112" i="7"/>
  <c r="F114" i="7"/>
  <c r="F118" i="7"/>
  <c r="E120" i="7"/>
  <c r="F120" i="7"/>
  <c r="F29" i="8"/>
  <c r="E56" i="8"/>
  <c r="F56" i="8"/>
  <c r="C65" i="8"/>
  <c r="C75" i="8"/>
  <c r="E39" i="9"/>
  <c r="F39" i="9"/>
  <c r="E33" i="11"/>
  <c r="E36" i="11"/>
  <c r="E38" i="11"/>
  <c r="E40" i="11"/>
  <c r="F16" i="12"/>
  <c r="F23" i="12"/>
  <c r="E37" i="12"/>
  <c r="F70" i="12"/>
  <c r="E92" i="12"/>
  <c r="F92" i="12"/>
  <c r="F99" i="12"/>
  <c r="F13" i="13"/>
  <c r="F17" i="13"/>
  <c r="F21" i="13"/>
  <c r="F24" i="14"/>
  <c r="C262" i="14"/>
  <c r="C255" i="14"/>
  <c r="E255" i="14"/>
  <c r="F255" i="14"/>
  <c r="E189" i="14"/>
  <c r="F189" i="14"/>
  <c r="C215" i="14"/>
  <c r="C269" i="14"/>
  <c r="E223" i="14"/>
  <c r="F223" i="14"/>
  <c r="C227" i="14"/>
  <c r="C270" i="14"/>
  <c r="E33" i="15"/>
  <c r="E144" i="15"/>
  <c r="C217" i="15"/>
  <c r="C241" i="15"/>
  <c r="C242" i="15"/>
  <c r="E242" i="15"/>
  <c r="C41" i="17"/>
  <c r="C108" i="19"/>
  <c r="C109" i="19"/>
  <c r="D104" i="14"/>
  <c r="D174" i="14"/>
  <c r="D270" i="14"/>
  <c r="E267" i="14"/>
  <c r="F267" i="14"/>
  <c r="F59" i="14"/>
  <c r="F85" i="14"/>
  <c r="C214" i="14"/>
  <c r="C304" i="14"/>
  <c r="C277" i="14"/>
  <c r="C290" i="14"/>
  <c r="C306" i="14"/>
  <c r="C55" i="15"/>
  <c r="C235" i="15"/>
  <c r="D286" i="14"/>
  <c r="C192" i="14"/>
  <c r="E192" i="14"/>
  <c r="E158" i="14"/>
  <c r="E203" i="14"/>
  <c r="F203" i="14"/>
  <c r="C283" i="14"/>
  <c r="C205" i="14"/>
  <c r="E238" i="14"/>
  <c r="F238" i="14"/>
  <c r="E21" i="15"/>
  <c r="D283" i="15"/>
  <c r="E215" i="15"/>
  <c r="D239" i="15"/>
  <c r="E239" i="15"/>
  <c r="E219" i="15"/>
  <c r="D243" i="15"/>
  <c r="D207" i="14"/>
  <c r="D138" i="14"/>
  <c r="H17" i="11"/>
  <c r="E36" i="14"/>
  <c r="F36" i="14"/>
  <c r="E59" i="14"/>
  <c r="F66" i="14"/>
  <c r="F88" i="14"/>
  <c r="F94" i="14"/>
  <c r="F135" i="14"/>
  <c r="C146" i="14"/>
  <c r="C193" i="14"/>
  <c r="C282" i="14"/>
  <c r="F296" i="14"/>
  <c r="E36" i="15"/>
  <c r="E54" i="15"/>
  <c r="C71" i="15"/>
  <c r="E71" i="15"/>
  <c r="D76" i="15"/>
  <c r="D77" i="15"/>
  <c r="D156" i="15"/>
  <c r="E161" i="15"/>
  <c r="E176" i="15"/>
  <c r="C189" i="15"/>
  <c r="E189" i="15"/>
  <c r="E195" i="15"/>
  <c r="E290" i="15"/>
  <c r="C65" i="16"/>
  <c r="C114" i="16"/>
  <c r="C116" i="16"/>
  <c r="C119" i="16"/>
  <c r="C123" i="16"/>
  <c r="D288" i="14"/>
  <c r="C206" i="14"/>
  <c r="C261" i="14"/>
  <c r="C254" i="14"/>
  <c r="E188" i="14"/>
  <c r="F188" i="14"/>
  <c r="C274" i="14"/>
  <c r="C200" i="14"/>
  <c r="F198" i="14"/>
  <c r="C199" i="14"/>
  <c r="E250" i="14"/>
  <c r="F250" i="14"/>
  <c r="E295" i="14"/>
  <c r="F295" i="14"/>
  <c r="E299" i="14"/>
  <c r="F299" i="14"/>
  <c r="C283" i="15"/>
  <c r="C22" i="15"/>
  <c r="C284" i="15"/>
  <c r="E284" i="15"/>
  <c r="D320" i="15"/>
  <c r="E320" i="15"/>
  <c r="E316" i="15"/>
  <c r="D330" i="15"/>
  <c r="E330" i="15"/>
  <c r="E326" i="15"/>
  <c r="F53" i="14"/>
  <c r="F67" i="14"/>
  <c r="F109" i="14"/>
  <c r="C111" i="14"/>
  <c r="E111" i="14"/>
  <c r="F111" i="14"/>
  <c r="C137" i="14"/>
  <c r="C65" i="15"/>
  <c r="C66" i="15"/>
  <c r="C295" i="15"/>
  <c r="D163" i="15"/>
  <c r="C222" i="15"/>
  <c r="C246" i="15"/>
  <c r="E302" i="15"/>
  <c r="E173" i="14"/>
  <c r="E206" i="14"/>
  <c r="D268" i="14"/>
  <c r="C175" i="15"/>
  <c r="E175" i="15"/>
  <c r="C163" i="15"/>
  <c r="D229" i="15"/>
  <c r="E229" i="15"/>
  <c r="D210" i="15"/>
  <c r="D240" i="15"/>
  <c r="D222" i="15"/>
  <c r="E301" i="15"/>
  <c r="D303" i="15"/>
  <c r="D175" i="14"/>
  <c r="D140" i="14"/>
  <c r="D62" i="14"/>
  <c r="D105" i="14"/>
  <c r="C266" i="14"/>
  <c r="E136" i="14"/>
  <c r="F136" i="14"/>
  <c r="C181" i="14"/>
  <c r="C190" i="14"/>
  <c r="E204" i="14"/>
  <c r="F204" i="14"/>
  <c r="E226" i="14"/>
  <c r="F226" i="14"/>
  <c r="F229" i="14"/>
  <c r="E239" i="14"/>
  <c r="F239" i="14"/>
  <c r="C278" i="14"/>
  <c r="C285" i="14"/>
  <c r="C44" i="15"/>
  <c r="E55" i="15"/>
  <c r="C76" i="15"/>
  <c r="C259" i="15"/>
  <c r="C263" i="15"/>
  <c r="D145" i="15"/>
  <c r="E162" i="15"/>
  <c r="E173" i="15"/>
  <c r="E177" i="15"/>
  <c r="E218" i="15"/>
  <c r="E230" i="15"/>
  <c r="E233" i="15"/>
  <c r="D260" i="15"/>
  <c r="E262" i="15"/>
  <c r="E287" i="15"/>
  <c r="E291" i="15"/>
  <c r="E40" i="17"/>
  <c r="F40" i="17"/>
  <c r="E103" i="19"/>
  <c r="E32" i="15"/>
  <c r="E60" i="15"/>
  <c r="E139" i="15"/>
  <c r="E188" i="15"/>
  <c r="D217" i="15"/>
  <c r="E251" i="15"/>
  <c r="C22" i="16"/>
  <c r="E22" i="19"/>
  <c r="D34" i="19"/>
  <c r="C53" i="19"/>
  <c r="D77" i="19"/>
  <c r="C101" i="19"/>
  <c r="C103" i="19"/>
  <c r="D161" i="14"/>
  <c r="D193" i="14"/>
  <c r="D271" i="14"/>
  <c r="D277" i="14"/>
  <c r="E314" i="15"/>
  <c r="C49" i="16"/>
  <c r="F33" i="17"/>
  <c r="D22" i="19"/>
  <c r="E23" i="19"/>
  <c r="C54" i="19"/>
  <c r="C110" i="19"/>
  <c r="D124" i="14"/>
  <c r="E124" i="14"/>
  <c r="F124" i="14"/>
  <c r="D160" i="14"/>
  <c r="D200" i="14"/>
  <c r="E200" i="14"/>
  <c r="D262" i="14"/>
  <c r="D266" i="14"/>
  <c r="E266" i="14"/>
  <c r="F266" i="14"/>
  <c r="D274" i="14"/>
  <c r="D300" i="14"/>
  <c r="D280" i="14"/>
  <c r="E324" i="15"/>
  <c r="E19" i="17"/>
  <c r="F19" i="17"/>
  <c r="E39" i="17"/>
  <c r="F39" i="17"/>
  <c r="E43" i="17"/>
  <c r="D23" i="19"/>
  <c r="D46" i="19"/>
  <c r="C29" i="19"/>
  <c r="E33" i="19"/>
  <c r="C35" i="19"/>
  <c r="C39" i="19"/>
  <c r="C111" i="19"/>
  <c r="D91" i="14"/>
  <c r="C30" i="19"/>
  <c r="C36" i="19"/>
  <c r="C40" i="19"/>
  <c r="E77" i="19"/>
  <c r="D216" i="14"/>
  <c r="D254" i="14"/>
  <c r="D40" i="19"/>
  <c r="D30" i="19"/>
  <c r="D54" i="19"/>
  <c r="D272" i="14"/>
  <c r="E262" i="14"/>
  <c r="F262" i="14"/>
  <c r="D306" i="15"/>
  <c r="E303" i="15"/>
  <c r="D157" i="15"/>
  <c r="E157" i="15"/>
  <c r="E156" i="15"/>
  <c r="C272" i="14"/>
  <c r="G36" i="11"/>
  <c r="G38" i="11"/>
  <c r="G40" i="11"/>
  <c r="I33" i="11"/>
  <c r="I36" i="11"/>
  <c r="I38" i="11"/>
  <c r="I40" i="11"/>
  <c r="C33" i="2"/>
  <c r="F206" i="14"/>
  <c r="E270" i="14"/>
  <c r="D139" i="14"/>
  <c r="D53" i="19"/>
  <c r="D45" i="19"/>
  <c r="D39" i="19"/>
  <c r="D35" i="19"/>
  <c r="D29" i="19"/>
  <c r="D110" i="19"/>
  <c r="C112" i="19"/>
  <c r="C55" i="19"/>
  <c r="C47" i="19"/>
  <c r="C37" i="19"/>
  <c r="E54" i="19"/>
  <c r="E46" i="19"/>
  <c r="E40" i="19"/>
  <c r="E36" i="19"/>
  <c r="E30" i="19"/>
  <c r="E111" i="19"/>
  <c r="D194" i="14"/>
  <c r="E193" i="14"/>
  <c r="D109" i="19"/>
  <c r="D108" i="19"/>
  <c r="E181" i="14"/>
  <c r="F181" i="14"/>
  <c r="D211" i="15"/>
  <c r="D234" i="15"/>
  <c r="E234" i="15"/>
  <c r="E210" i="15"/>
  <c r="D92" i="14"/>
  <c r="E91" i="14"/>
  <c r="E110" i="19"/>
  <c r="E53" i="19"/>
  <c r="E45" i="19"/>
  <c r="E39" i="19"/>
  <c r="E35" i="19"/>
  <c r="E29" i="19"/>
  <c r="E260" i="15"/>
  <c r="D169" i="15"/>
  <c r="E169" i="15"/>
  <c r="E145" i="15"/>
  <c r="E190" i="14"/>
  <c r="F190" i="14"/>
  <c r="D106" i="14"/>
  <c r="D176" i="14"/>
  <c r="E240" i="15"/>
  <c r="C268" i="14"/>
  <c r="C271" i="14"/>
  <c r="C263" i="14"/>
  <c r="E261" i="14"/>
  <c r="F261" i="14"/>
  <c r="C284" i="14"/>
  <c r="C287" i="14"/>
  <c r="C279" i="14"/>
  <c r="E61" i="14"/>
  <c r="F61" i="14"/>
  <c r="C174" i="14"/>
  <c r="C17" i="10"/>
  <c r="C28" i="10"/>
  <c r="C24" i="10"/>
  <c r="C127" i="14"/>
  <c r="E17" i="10"/>
  <c r="E28" i="10"/>
  <c r="E70" i="10"/>
  <c r="E72" i="10"/>
  <c r="E69" i="10"/>
  <c r="E24" i="10"/>
  <c r="C181" i="15"/>
  <c r="C169" i="15"/>
  <c r="F33" i="9"/>
  <c r="C41" i="9"/>
  <c r="E285" i="14"/>
  <c r="F285" i="14"/>
  <c r="E22" i="15"/>
  <c r="E41" i="17"/>
  <c r="F41" i="17"/>
  <c r="E274" i="14"/>
  <c r="F274" i="14"/>
  <c r="D263" i="14"/>
  <c r="E263" i="14"/>
  <c r="C294" i="15"/>
  <c r="C77" i="15"/>
  <c r="F200" i="14"/>
  <c r="C223" i="15"/>
  <c r="C247" i="15"/>
  <c r="E306" i="14"/>
  <c r="D126" i="14"/>
  <c r="D168" i="15"/>
  <c r="E168" i="15"/>
  <c r="E121" i="7"/>
  <c r="E188" i="4"/>
  <c r="E95" i="4"/>
  <c r="F95" i="4"/>
  <c r="D162" i="14"/>
  <c r="E161" i="14"/>
  <c r="F161" i="14"/>
  <c r="E109" i="19"/>
  <c r="E108" i="19"/>
  <c r="E46" i="17"/>
  <c r="F46" i="17"/>
  <c r="F43" i="17"/>
  <c r="D304" i="14"/>
  <c r="D273" i="14"/>
  <c r="E271" i="14"/>
  <c r="D241" i="15"/>
  <c r="E241" i="15"/>
  <c r="E217" i="15"/>
  <c r="C101" i="15"/>
  <c r="C97" i="15"/>
  <c r="C86" i="15"/>
  <c r="C100" i="15"/>
  <c r="C96" i="15"/>
  <c r="C102" i="15"/>
  <c r="C89" i="15"/>
  <c r="C85" i="15"/>
  <c r="C99" i="15"/>
  <c r="C88" i="15"/>
  <c r="C258" i="15"/>
  <c r="C83" i="15"/>
  <c r="C95" i="15"/>
  <c r="C84" i="15"/>
  <c r="C90" i="15"/>
  <c r="C98" i="15"/>
  <c r="C87" i="15"/>
  <c r="C288" i="14"/>
  <c r="E278" i="14"/>
  <c r="F278" i="14"/>
  <c r="D141" i="14"/>
  <c r="E222" i="15"/>
  <c r="D223" i="15"/>
  <c r="C138" i="14"/>
  <c r="C207" i="14"/>
  <c r="E207" i="14"/>
  <c r="E137" i="14"/>
  <c r="F137" i="14"/>
  <c r="E254" i="14"/>
  <c r="F254" i="14"/>
  <c r="E146" i="14"/>
  <c r="F146" i="14"/>
  <c r="D252" i="15"/>
  <c r="E243" i="15"/>
  <c r="C286" i="14"/>
  <c r="E283" i="14"/>
  <c r="F283" i="14"/>
  <c r="E227" i="14"/>
  <c r="F227" i="14"/>
  <c r="E269" i="14"/>
  <c r="F269" i="14"/>
  <c r="C20" i="10"/>
  <c r="C21" i="10"/>
  <c r="F91" i="14"/>
  <c r="C92" i="14"/>
  <c r="C162" i="14"/>
  <c r="D24" i="5"/>
  <c r="D17" i="5"/>
  <c r="E33" i="2"/>
  <c r="D41" i="2"/>
  <c r="D125" i="14"/>
  <c r="E163" i="15"/>
  <c r="E288" i="14"/>
  <c r="E283" i="15"/>
  <c r="E286" i="14"/>
  <c r="F41" i="8"/>
  <c r="F52" i="3"/>
  <c r="C56" i="19"/>
  <c r="C48" i="19"/>
  <c r="C38" i="19"/>
  <c r="C113" i="19"/>
  <c r="D287" i="14"/>
  <c r="D279" i="14"/>
  <c r="E279" i="14"/>
  <c r="D284" i="14"/>
  <c r="E284" i="14"/>
  <c r="E277" i="14"/>
  <c r="F277" i="14"/>
  <c r="D63" i="14"/>
  <c r="E199" i="14"/>
  <c r="F199" i="14"/>
  <c r="F193" i="14"/>
  <c r="C194" i="14"/>
  <c r="D208" i="14"/>
  <c r="E205" i="14"/>
  <c r="F205" i="14"/>
  <c r="F290" i="14"/>
  <c r="E290" i="14"/>
  <c r="C216" i="14"/>
  <c r="E214" i="14"/>
  <c r="F214" i="14"/>
  <c r="E215" i="14"/>
  <c r="F215" i="14"/>
  <c r="E65" i="8"/>
  <c r="F65" i="8"/>
  <c r="E31" i="14"/>
  <c r="F31" i="14"/>
  <c r="C32" i="14"/>
  <c r="C21" i="5"/>
  <c r="D282" i="14"/>
  <c r="E282" i="14"/>
  <c r="F282" i="14"/>
  <c r="E76" i="15"/>
  <c r="F192" i="14"/>
  <c r="E174" i="14"/>
  <c r="D180" i="15"/>
  <c r="E180" i="15"/>
  <c r="F270" i="14"/>
  <c r="F121" i="7"/>
  <c r="F188" i="4"/>
  <c r="C43" i="8"/>
  <c r="E19" i="2"/>
  <c r="F19" i="2"/>
  <c r="F43" i="8"/>
  <c r="E43" i="8"/>
  <c r="C140" i="14"/>
  <c r="E32" i="14"/>
  <c r="F32" i="14"/>
  <c r="C62" i="14"/>
  <c r="C175" i="14"/>
  <c r="D48" i="2"/>
  <c r="C264" i="15"/>
  <c r="C266" i="15"/>
  <c r="C267" i="15"/>
  <c r="D127" i="14"/>
  <c r="E126" i="14"/>
  <c r="F126" i="14"/>
  <c r="C48" i="9"/>
  <c r="E41" i="9"/>
  <c r="F41" i="9"/>
  <c r="E211" i="15"/>
  <c r="D235" i="15"/>
  <c r="E235" i="15"/>
  <c r="E48" i="19"/>
  <c r="E38" i="19"/>
  <c r="E113" i="19"/>
  <c r="E56" i="19"/>
  <c r="D281" i="14"/>
  <c r="F174" i="14"/>
  <c r="E272" i="14"/>
  <c r="D70" i="14"/>
  <c r="E223" i="15"/>
  <c r="C197" i="14"/>
  <c r="C273" i="14"/>
  <c r="F271" i="14"/>
  <c r="C41" i="2"/>
  <c r="E41" i="2"/>
  <c r="F33" i="2"/>
  <c r="D113" i="19"/>
  <c r="D56" i="19"/>
  <c r="D48" i="19"/>
  <c r="D38" i="19"/>
  <c r="C91" i="15"/>
  <c r="F284" i="14"/>
  <c r="D291" i="14"/>
  <c r="D289" i="14"/>
  <c r="E287" i="14"/>
  <c r="D322" i="14"/>
  <c r="E216" i="14"/>
  <c r="F216" i="14"/>
  <c r="C196" i="14"/>
  <c r="D28" i="5"/>
  <c r="D112" i="5"/>
  <c r="D111" i="5"/>
  <c r="F162" i="14"/>
  <c r="E304" i="14"/>
  <c r="F304" i="14"/>
  <c r="D183" i="14"/>
  <c r="D323" i="14"/>
  <c r="E162" i="14"/>
  <c r="C124" i="15"/>
  <c r="C113" i="15"/>
  <c r="C109" i="15"/>
  <c r="C127" i="15"/>
  <c r="C123" i="15"/>
  <c r="C112" i="15"/>
  <c r="C122" i="15"/>
  <c r="C111" i="15"/>
  <c r="C125" i="15"/>
  <c r="C114" i="15"/>
  <c r="C126" i="15"/>
  <c r="C115" i="15"/>
  <c r="C121" i="15"/>
  <c r="C110" i="15"/>
  <c r="C116" i="15"/>
  <c r="C291" i="14"/>
  <c r="F287" i="14"/>
  <c r="C289" i="14"/>
  <c r="E47" i="19"/>
  <c r="E37" i="19"/>
  <c r="E112" i="19"/>
  <c r="E55" i="19"/>
  <c r="E194" i="14"/>
  <c r="F194" i="14"/>
  <c r="D195" i="14"/>
  <c r="D196" i="14"/>
  <c r="D47" i="19"/>
  <c r="D37" i="19"/>
  <c r="D112" i="19"/>
  <c r="D55" i="19"/>
  <c r="D310" i="15"/>
  <c r="E310" i="15"/>
  <c r="E306" i="15"/>
  <c r="F286" i="14"/>
  <c r="F288" i="14"/>
  <c r="C103" i="15"/>
  <c r="C139" i="14"/>
  <c r="F263" i="14"/>
  <c r="D181" i="15"/>
  <c r="E181" i="15"/>
  <c r="E22" i="10"/>
  <c r="E77" i="15"/>
  <c r="D209" i="14"/>
  <c r="D210" i="14"/>
  <c r="E252" i="15"/>
  <c r="F207" i="14"/>
  <c r="C208" i="14"/>
  <c r="E208" i="14"/>
  <c r="F208" i="14"/>
  <c r="D324" i="14"/>
  <c r="D113" i="14"/>
  <c r="E92" i="14"/>
  <c r="F92" i="14"/>
  <c r="E273" i="14"/>
  <c r="F279" i="14"/>
  <c r="E139" i="14"/>
  <c r="E138" i="14"/>
  <c r="F138" i="14"/>
  <c r="E268" i="14"/>
  <c r="F268" i="14"/>
  <c r="F272" i="14"/>
  <c r="D197" i="14"/>
  <c r="E197" i="14"/>
  <c r="F197" i="14"/>
  <c r="E196" i="14"/>
  <c r="F196" i="14"/>
  <c r="D305" i="14"/>
  <c r="E291" i="14"/>
  <c r="C63" i="14"/>
  <c r="E62" i="14"/>
  <c r="F62" i="14"/>
  <c r="E48" i="9"/>
  <c r="F48" i="9"/>
  <c r="C176" i="14"/>
  <c r="E175" i="14"/>
  <c r="F175" i="14"/>
  <c r="C141" i="14"/>
  <c r="E140" i="14"/>
  <c r="F140" i="14"/>
  <c r="F139" i="14"/>
  <c r="E289" i="14"/>
  <c r="F289" i="14"/>
  <c r="F273" i="14"/>
  <c r="C209" i="14"/>
  <c r="E209" i="14"/>
  <c r="F209" i="14"/>
  <c r="D211" i="14"/>
  <c r="D99" i="5"/>
  <c r="D101" i="5"/>
  <c r="D98" i="5"/>
  <c r="D22" i="5"/>
  <c r="D148" i="14"/>
  <c r="E127" i="14"/>
  <c r="F127" i="14"/>
  <c r="D325" i="14"/>
  <c r="C305" i="14"/>
  <c r="F291" i="14"/>
  <c r="F41" i="2"/>
  <c r="C48" i="2"/>
  <c r="C128" i="15"/>
  <c r="C129" i="15"/>
  <c r="C131" i="15"/>
  <c r="C117" i="15"/>
  <c r="C105" i="15"/>
  <c r="C309" i="14"/>
  <c r="E63" i="14"/>
  <c r="F63" i="14"/>
  <c r="C322" i="14"/>
  <c r="C211" i="14"/>
  <c r="C148" i="14"/>
  <c r="E141" i="14"/>
  <c r="F141" i="14"/>
  <c r="F176" i="14"/>
  <c r="C323" i="14"/>
  <c r="E176" i="14"/>
  <c r="C183" i="14"/>
  <c r="D309" i="14"/>
  <c r="E305" i="14"/>
  <c r="F305" i="14"/>
  <c r="E48" i="2"/>
  <c r="F48" i="2"/>
  <c r="C310" i="14"/>
  <c r="F323" i="14"/>
  <c r="E323" i="14"/>
  <c r="F183" i="14"/>
  <c r="E183" i="14"/>
  <c r="E322" i="14"/>
  <c r="F322" i="14"/>
  <c r="E309" i="14"/>
  <c r="F309" i="14"/>
  <c r="D310" i="14"/>
  <c r="E148" i="14"/>
  <c r="F148" i="14"/>
  <c r="E211" i="14"/>
  <c r="F211" i="14"/>
  <c r="C312" i="14"/>
  <c r="D312" i="14"/>
  <c r="E310" i="14"/>
  <c r="F310" i="14"/>
  <c r="C313" i="14"/>
  <c r="E312" i="14"/>
  <c r="F312" i="14"/>
  <c r="D313" i="14"/>
  <c r="D251" i="14"/>
  <c r="E251" i="14"/>
  <c r="F251" i="14"/>
  <c r="D315" i="14"/>
  <c r="E315" i="14"/>
  <c r="F315" i="14"/>
  <c r="E313" i="14"/>
  <c r="F313" i="14"/>
  <c r="D256" i="14"/>
  <c r="C251" i="14"/>
  <c r="C315" i="14"/>
  <c r="C318" i="14"/>
  <c r="C314" i="14"/>
  <c r="C256" i="14"/>
  <c r="E256" i="14"/>
  <c r="F256" i="14"/>
  <c r="C257" i="14"/>
  <c r="D257" i="14"/>
  <c r="E257" i="14"/>
  <c r="F257" i="14"/>
  <c r="C268" i="15"/>
  <c r="C269" i="15"/>
  <c r="D125" i="15"/>
  <c r="E125" i="15"/>
  <c r="D114" i="15"/>
  <c r="E114" i="15"/>
  <c r="D124" i="15"/>
  <c r="E124" i="15"/>
  <c r="D109" i="15"/>
  <c r="D122" i="15"/>
  <c r="D123" i="15"/>
  <c r="E123" i="15"/>
  <c r="D126" i="15"/>
  <c r="E126" i="15"/>
  <c r="D121" i="15"/>
  <c r="D110" i="15"/>
  <c r="D113" i="15"/>
  <c r="E113" i="15"/>
  <c r="D127" i="15"/>
  <c r="E127" i="15"/>
  <c r="D111" i="15"/>
  <c r="E111" i="15"/>
  <c r="D112" i="15"/>
  <c r="E112" i="15"/>
  <c r="D115" i="15"/>
  <c r="E115" i="15"/>
  <c r="C43" i="1"/>
  <c r="E41" i="1"/>
  <c r="F41" i="1"/>
  <c r="F56" i="1"/>
  <c r="F61" i="1"/>
  <c r="F18" i="4"/>
  <c r="C24" i="5"/>
  <c r="C20" i="5"/>
  <c r="C17" i="5"/>
  <c r="C139" i="5"/>
  <c r="C137" i="5"/>
  <c r="C138" i="5"/>
  <c r="C135" i="5"/>
  <c r="C136" i="5"/>
  <c r="C140" i="5"/>
  <c r="E157" i="5"/>
  <c r="E154" i="5"/>
  <c r="E156" i="5"/>
  <c r="E153" i="5"/>
  <c r="E155" i="5"/>
  <c r="E152" i="5"/>
  <c r="E158" i="5"/>
  <c r="D314" i="14"/>
  <c r="C210" i="14"/>
  <c r="C22" i="10"/>
  <c r="C70" i="10"/>
  <c r="C72" i="10"/>
  <c r="C69" i="10"/>
  <c r="E75" i="8"/>
  <c r="F75" i="8"/>
  <c r="E21" i="10"/>
  <c r="E20" i="10"/>
  <c r="D20" i="5"/>
  <c r="D21" i="5"/>
  <c r="E21" i="5"/>
  <c r="E22" i="5"/>
  <c r="E112" i="5"/>
  <c r="E111" i="5"/>
  <c r="E28" i="5"/>
  <c r="E99" i="5"/>
  <c r="E101" i="5"/>
  <c r="E98" i="5"/>
  <c r="E140" i="5"/>
  <c r="E137" i="5"/>
  <c r="E139" i="5"/>
  <c r="E136" i="5"/>
  <c r="E135" i="5"/>
  <c r="E141" i="5"/>
  <c r="E138" i="5"/>
  <c r="D135" i="5"/>
  <c r="D136" i="5"/>
  <c r="D137" i="5"/>
  <c r="D139" i="5"/>
  <c r="D140" i="5"/>
  <c r="D138" i="5"/>
  <c r="C154" i="5"/>
  <c r="C155" i="5"/>
  <c r="C152" i="5"/>
  <c r="C157" i="5"/>
  <c r="C156" i="5"/>
  <c r="C153" i="5"/>
  <c r="D156" i="5"/>
  <c r="D157" i="5"/>
  <c r="D154" i="5"/>
  <c r="D152" i="5"/>
  <c r="D153" i="5"/>
  <c r="D155" i="5"/>
  <c r="E29" i="1"/>
  <c r="F29" i="1"/>
  <c r="E56" i="1"/>
  <c r="E111" i="3"/>
  <c r="F111" i="3"/>
  <c r="E18" i="4"/>
  <c r="E24" i="5"/>
  <c r="E20" i="5"/>
  <c r="E53" i="5"/>
  <c r="C57" i="5"/>
  <c r="C62" i="5"/>
  <c r="D77" i="5"/>
  <c r="D71" i="5"/>
  <c r="D111" i="19"/>
  <c r="D36" i="19"/>
  <c r="D265" i="14"/>
  <c r="D65" i="1"/>
  <c r="E57" i="5"/>
  <c r="E62" i="5"/>
  <c r="E43" i="5"/>
  <c r="E88" i="5"/>
  <c r="E90" i="5"/>
  <c r="E86" i="5"/>
  <c r="F75" i="6"/>
  <c r="F76" i="6"/>
  <c r="F101" i="6"/>
  <c r="F102" i="6"/>
  <c r="E199" i="6"/>
  <c r="F199" i="6"/>
  <c r="F130" i="14"/>
  <c r="E47" i="7"/>
  <c r="E48" i="7"/>
  <c r="E83" i="7"/>
  <c r="D48" i="10"/>
  <c r="D42" i="10"/>
  <c r="D31" i="11"/>
  <c r="E29" i="14"/>
  <c r="F29" i="14"/>
  <c r="E35" i="14"/>
  <c r="E47" i="14"/>
  <c r="F47" i="14"/>
  <c r="C48" i="14"/>
  <c r="E58" i="14"/>
  <c r="F58" i="14"/>
  <c r="C102" i="14"/>
  <c r="E110" i="14"/>
  <c r="F110" i="14"/>
  <c r="E130" i="14"/>
  <c r="F144" i="14"/>
  <c r="F155" i="14"/>
  <c r="F164" i="14"/>
  <c r="C280" i="14"/>
  <c r="C264" i="14"/>
  <c r="C253" i="15"/>
  <c r="C254" i="15"/>
  <c r="D15" i="10"/>
  <c r="F33" i="11"/>
  <c r="G31" i="11"/>
  <c r="I31" i="11"/>
  <c r="F35" i="14"/>
  <c r="F52" i="14"/>
  <c r="C68" i="14"/>
  <c r="F129" i="14"/>
  <c r="F159" i="14"/>
  <c r="E165" i="14"/>
  <c r="F172" i="14"/>
  <c r="E180" i="14"/>
  <c r="F180" i="14"/>
  <c r="E191" i="14"/>
  <c r="F191" i="14"/>
  <c r="E20" i="17"/>
  <c r="F20" i="17"/>
  <c r="D103" i="19"/>
  <c r="E297" i="14"/>
  <c r="F297" i="14"/>
  <c r="D43" i="15"/>
  <c r="E220" i="15"/>
  <c r="D245" i="15"/>
  <c r="E25" i="17"/>
  <c r="F25" i="17"/>
  <c r="F44" i="17"/>
  <c r="F45" i="17"/>
  <c r="E298" i="14"/>
  <c r="D289" i="15"/>
  <c r="E289" i="15"/>
  <c r="D65" i="15"/>
  <c r="D66" i="15"/>
  <c r="E65" i="15"/>
  <c r="D246" i="15"/>
  <c r="E246" i="15"/>
  <c r="D294" i="15"/>
  <c r="E294" i="15"/>
  <c r="D24" i="10"/>
  <c r="D20" i="10"/>
  <c r="D17" i="10"/>
  <c r="D28" i="10"/>
  <c r="C158" i="5"/>
  <c r="D141" i="5"/>
  <c r="F210" i="14"/>
  <c r="E210" i="14"/>
  <c r="C141" i="5"/>
  <c r="C28" i="5"/>
  <c r="C112" i="5"/>
  <c r="C111" i="5"/>
  <c r="E43" i="1"/>
  <c r="F43" i="1"/>
  <c r="E245" i="15"/>
  <c r="D253" i="15"/>
  <c r="E43" i="15"/>
  <c r="D259" i="15"/>
  <c r="D44" i="15"/>
  <c r="E68" i="14"/>
  <c r="F68" i="14"/>
  <c r="H33" i="11"/>
  <c r="H36" i="11"/>
  <c r="H38" i="11"/>
  <c r="H40" i="11"/>
  <c r="F36" i="11"/>
  <c r="F38" i="11"/>
  <c r="F40" i="11"/>
  <c r="E264" i="14"/>
  <c r="F264" i="14"/>
  <c r="C265" i="14"/>
  <c r="C300" i="14"/>
  <c r="E280" i="14"/>
  <c r="C281" i="14"/>
  <c r="F280" i="14"/>
  <c r="E102" i="14"/>
  <c r="C103" i="14"/>
  <c r="F102" i="14"/>
  <c r="C160" i="14"/>
  <c r="C49" i="14"/>
  <c r="E48" i="14"/>
  <c r="C125" i="14"/>
  <c r="F48" i="14"/>
  <c r="C90" i="14"/>
  <c r="C195" i="14"/>
  <c r="D75" i="1"/>
  <c r="E75" i="1"/>
  <c r="F75" i="1"/>
  <c r="E65" i="1"/>
  <c r="F65" i="1"/>
  <c r="D158" i="5"/>
  <c r="E314" i="14"/>
  <c r="F314" i="14"/>
  <c r="D318" i="14"/>
  <c r="E318" i="14"/>
  <c r="F318" i="14"/>
  <c r="E110" i="15"/>
  <c r="D116" i="15"/>
  <c r="E116" i="15"/>
  <c r="D128" i="15"/>
  <c r="E128" i="15"/>
  <c r="E122" i="15"/>
  <c r="C271" i="15"/>
  <c r="E121" i="15"/>
  <c r="D129" i="15"/>
  <c r="E129" i="15"/>
  <c r="D117" i="15"/>
  <c r="E109" i="15"/>
  <c r="E195" i="14"/>
  <c r="F195" i="14"/>
  <c r="E160" i="14"/>
  <c r="F160" i="14"/>
  <c r="E103" i="14"/>
  <c r="F103" i="14"/>
  <c r="C104" i="14"/>
  <c r="C105" i="14"/>
  <c r="D263" i="15"/>
  <c r="E263" i="15"/>
  <c r="E259" i="15"/>
  <c r="E253" i="15"/>
  <c r="D254" i="15"/>
  <c r="E254" i="15"/>
  <c r="D70" i="10"/>
  <c r="D72" i="10"/>
  <c r="D69" i="10"/>
  <c r="D22" i="10"/>
  <c r="D131" i="15"/>
  <c r="E131" i="15"/>
  <c r="E117" i="15"/>
  <c r="E90" i="14"/>
  <c r="F90" i="14"/>
  <c r="F125" i="14"/>
  <c r="E125" i="14"/>
  <c r="E49" i="14"/>
  <c r="C50" i="14"/>
  <c r="F49" i="14"/>
  <c r="E281" i="14"/>
  <c r="F281" i="14"/>
  <c r="E300" i="14"/>
  <c r="F300" i="14"/>
  <c r="D258" i="15"/>
  <c r="D87" i="15"/>
  <c r="E87" i="15"/>
  <c r="D101" i="15"/>
  <c r="E101" i="15"/>
  <c r="D86" i="15"/>
  <c r="E86" i="15"/>
  <c r="D85" i="15"/>
  <c r="E85" i="15"/>
  <c r="D88" i="15"/>
  <c r="E88" i="15"/>
  <c r="D89" i="15"/>
  <c r="E89" i="15"/>
  <c r="D84" i="15"/>
  <c r="D98" i="15"/>
  <c r="E98" i="15"/>
  <c r="D83" i="15"/>
  <c r="D97" i="15"/>
  <c r="E97" i="15"/>
  <c r="D96" i="15"/>
  <c r="D99" i="15"/>
  <c r="E99" i="15"/>
  <c r="D100" i="15"/>
  <c r="E100" i="15"/>
  <c r="D95" i="15"/>
  <c r="E44" i="15"/>
  <c r="C22" i="5"/>
  <c r="C99" i="5"/>
  <c r="C101" i="5"/>
  <c r="C98" i="5"/>
  <c r="E265" i="14"/>
  <c r="F265" i="14"/>
  <c r="D295" i="15"/>
  <c r="E295" i="15"/>
  <c r="E66" i="15"/>
  <c r="D247" i="15"/>
  <c r="E247" i="15"/>
  <c r="D102" i="15"/>
  <c r="E102" i="15"/>
  <c r="E96" i="15"/>
  <c r="D90" i="15"/>
  <c r="E90" i="15"/>
  <c r="E84" i="15"/>
  <c r="E83" i="15"/>
  <c r="C106" i="14"/>
  <c r="E105" i="14"/>
  <c r="F105" i="14"/>
  <c r="E95" i="15"/>
  <c r="D103" i="15"/>
  <c r="E103" i="15"/>
  <c r="D264" i="15"/>
  <c r="E258" i="15"/>
  <c r="C70" i="14"/>
  <c r="E50" i="14"/>
  <c r="F50" i="14"/>
  <c r="E104" i="14"/>
  <c r="F104" i="14"/>
  <c r="F70" i="14"/>
  <c r="E70" i="14"/>
  <c r="E264" i="15"/>
  <c r="D266" i="15"/>
  <c r="D91" i="15"/>
  <c r="C324" i="14"/>
  <c r="C113" i="14"/>
  <c r="E106" i="14"/>
  <c r="F106" i="14"/>
  <c r="D105" i="15"/>
  <c r="E105" i="15"/>
  <c r="E91" i="15"/>
  <c r="E113" i="14"/>
  <c r="F113" i="14"/>
  <c r="C325" i="14"/>
  <c r="E324" i="14"/>
  <c r="F324" i="14"/>
  <c r="E266" i="15"/>
  <c r="D267" i="15"/>
  <c r="D269" i="15"/>
  <c r="E269" i="15"/>
  <c r="D268" i="15"/>
  <c r="E267" i="15"/>
  <c r="E325" i="14"/>
  <c r="F325" i="14"/>
  <c r="D271" i="15"/>
  <c r="E271" i="15"/>
  <c r="E268" i="15"/>
</calcChain>
</file>

<file path=xl/sharedStrings.xml><?xml version="1.0" encoding="utf-8"?>
<sst xmlns="http://schemas.openxmlformats.org/spreadsheetml/2006/main" count="2320" uniqueCount="997">
  <si>
    <t>ROCKVILLE GENERAL HOSPITAL</t>
  </si>
  <si>
    <t>TWELVE MONTHS ACTUAL FILING</t>
  </si>
  <si>
    <t xml:space="preserve">      FISCAL YEAR 2012</t>
  </si>
  <si>
    <t>REPORT 100 - HOSPITAL BALANCE SHEET INFORMATION</t>
  </si>
  <si>
    <t xml:space="preserve">      FY 2011</t>
  </si>
  <si>
    <t xml:space="preserve">      FY 2012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</si>
  <si>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</si>
  <si>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</si>
  <si>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</si>
  <si>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</si>
  <si>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</si>
  <si>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</si>
  <si>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</si>
  <si>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</si>
  <si>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</si>
  <si>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</si>
  <si>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</si>
  <si>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</si>
  <si>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</si>
  <si>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</si>
  <si>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</si>
  <si>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</si>
  <si>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</si>
  <si>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</si>
  <si>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</si>
  <si>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</si>
  <si>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</si>
  <si>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</si>
  <si>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</si>
  <si>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</si>
  <si>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</si>
  <si>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</si>
  <si>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</si>
  <si>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</si>
  <si>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</si>
  <si>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</si>
  <si>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</si>
  <si>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</si>
  <si>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</si>
  <si>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</si>
  <si>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</si>
  <si>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</si>
  <si>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</si>
  <si>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</si>
  <si>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</si>
  <si>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</si>
  <si>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</si>
  <si>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</si>
  <si>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</si>
  <si>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</si>
  <si>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</si>
  <si>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</si>
  <si>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</si>
  <si>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</si>
  <si>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</si>
  <si>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</si>
  <si>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</si>
  <si>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</si>
  <si>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</si>
  <si>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</si>
  <si>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</si>
  <si>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</si>
  <si>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</si>
  <si>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</si>
  <si>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</si>
  <si>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</si>
  <si>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</si>
  <si>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</si>
  <si>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</si>
  <si>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</si>
  <si>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</si>
  <si>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</si>
  <si>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</si>
  <si>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</si>
  <si>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</si>
  <si>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</si>
  <si>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</si>
  <si>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</si>
  <si>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</si>
  <si>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</si>
  <si>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</si>
  <si>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</si>
  <si>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</si>
  <si>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</si>
  <si>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</si>
  <si>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</si>
  <si>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</si>
  <si>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</si>
  <si>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</si>
  <si>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</si>
  <si>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</si>
  <si>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</si>
  <si>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</si>
  <si>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</si>
  <si>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</si>
  <si>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</si>
  <si>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</si>
  <si>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</si>
  <si>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</si>
  <si>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</si>
  <si>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</si>
  <si>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</si>
  <si>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</si>
  <si>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</si>
  <si>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</si>
  <si>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2011                ACTUAL     </t>
  </si>
  <si>
    <t xml:space="preserve">      FY 2012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</si>
  <si>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</si>
  <si>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</si>
  <si>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</si>
  <si>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</si>
  <si>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</si>
  <si>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</si>
  <si>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</si>
  <si>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</si>
  <si>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</si>
  <si>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</si>
  <si>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</si>
  <si>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</si>
  <si>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</si>
  <si>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</si>
  <si>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</si>
  <si>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</si>
  <si>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</si>
  <si>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</si>
  <si>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</si>
  <si>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</si>
  <si>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</si>
  <si>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</si>
  <si>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</si>
  <si>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</si>
  <si>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</si>
  <si>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</si>
  <si>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</si>
  <si>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</si>
  <si>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</si>
  <si>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</si>
  <si>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</si>
  <si>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</si>
  <si>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</si>
  <si>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</si>
  <si>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</si>
  <si>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</si>
  <si>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</si>
  <si>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</si>
  <si>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</si>
  <si>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</si>
  <si>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</si>
  <si>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</si>
  <si>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</si>
  <si>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</si>
  <si>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</si>
  <si>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</si>
  <si>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</si>
  <si>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</si>
  <si>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</si>
  <si>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</si>
  <si>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</si>
  <si>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</si>
  <si>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</si>
  <si>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</si>
  <si>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</si>
  <si>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</si>
  <si>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</si>
  <si>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</si>
  <si>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</si>
  <si>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</si>
  <si>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</si>
  <si>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</si>
  <si>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</si>
  <si>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</si>
  <si>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</si>
  <si>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</si>
  <si>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</si>
  <si>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</si>
  <si>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</si>
  <si>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</si>
  <si>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</si>
  <si>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</si>
  <si>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</si>
  <si>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</si>
  <si>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</si>
  <si>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</si>
  <si>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</si>
  <si>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</si>
  <si>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</si>
  <si>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</si>
  <si>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</si>
  <si>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</si>
  <si>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</si>
  <si>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</si>
  <si>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</si>
  <si>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</si>
  <si>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</si>
  <si>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</si>
  <si>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</si>
  <si>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</si>
  <si>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</si>
  <si>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</si>
  <si>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</si>
  <si>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</si>
  <si>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</si>
  <si>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</si>
  <si>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</si>
  <si>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</si>
  <si>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</si>
  <si>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</si>
  <si>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</si>
  <si>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</si>
  <si>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</si>
  <si>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</si>
  <si>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</si>
  <si>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</si>
  <si>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</si>
  <si>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</si>
  <si>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</si>
  <si>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</si>
  <si>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</si>
  <si>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</si>
  <si>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</si>
  <si>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</si>
  <si>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</si>
  <si>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</si>
  <si>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</si>
  <si>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</si>
  <si>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</si>
  <si>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</si>
  <si>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</si>
  <si>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</si>
  <si>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</si>
  <si>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</si>
  <si>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</si>
  <si>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</si>
  <si>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</si>
  <si>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</si>
  <si>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</si>
  <si>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</si>
  <si>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</si>
  <si>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</si>
  <si>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</si>
  <si>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</si>
  <si>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</si>
  <si>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</si>
  <si>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</si>
  <si>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</si>
  <si>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</si>
  <si>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</si>
  <si>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</si>
  <si>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</si>
  <si>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</si>
  <si>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</si>
  <si>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</si>
  <si>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</si>
  <si>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</si>
  <si>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</si>
  <si>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</si>
  <si>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</si>
  <si>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</si>
  <si>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</si>
  <si>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</si>
  <si>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</si>
  <si>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</si>
  <si>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</si>
  <si>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</si>
  <si>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</si>
  <si>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</si>
  <si>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</si>
  <si>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</si>
  <si>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</si>
  <si>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</si>
  <si>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</si>
  <si>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</si>
  <si>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</si>
  <si>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</si>
  <si>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</si>
  <si>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</si>
  <si>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</si>
  <si>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</si>
  <si>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</si>
  <si>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</si>
  <si>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</si>
  <si>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</si>
  <si>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</si>
  <si>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</si>
  <si>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</si>
  <si>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</si>
  <si>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</si>
  <si>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</si>
  <si>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</si>
  <si>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</si>
  <si>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</si>
  <si>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</si>
  <si>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</si>
  <si>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</si>
  <si>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</si>
  <si>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</si>
  <si>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</si>
  <si>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</si>
  <si>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</si>
  <si>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</si>
  <si>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</si>
  <si>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</si>
  <si>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</si>
  <si>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</si>
  <si>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</si>
  <si>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</si>
  <si>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</si>
  <si>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</si>
  <si>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</si>
  <si>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</si>
  <si>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</si>
  <si>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</si>
  <si>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</si>
  <si>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</si>
  <si>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</si>
  <si>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</si>
  <si>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</si>
  <si>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</si>
  <si>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</si>
  <si>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2010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</si>
  <si>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</si>
  <si>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</si>
  <si>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</si>
  <si>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</si>
  <si>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</si>
  <si>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</si>
  <si>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</si>
  <si>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</si>
  <si>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</si>
  <si>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</si>
  <si>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</si>
  <si>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</si>
  <si>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</si>
  <si>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</si>
  <si>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</si>
  <si>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</si>
  <si>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</si>
  <si>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</si>
  <si>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</si>
  <si>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</si>
  <si>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</si>
  <si>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</si>
  <si>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</si>
  <si>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</si>
  <si>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</si>
  <si>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</si>
  <si>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</si>
  <si>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</si>
  <si>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</si>
  <si>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</si>
  <si>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</si>
  <si>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</si>
  <si>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</si>
  <si>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</si>
  <si>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</si>
  <si>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</si>
  <si>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</si>
  <si>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</si>
  <si>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</si>
  <si>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</si>
  <si>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</si>
  <si>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</si>
  <si>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</si>
  <si>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</si>
  <si>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</si>
  <si>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</si>
  <si>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</si>
  <si>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</si>
  <si>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</si>
  <si>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</si>
  <si>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</si>
  <si>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</si>
  <si>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</si>
  <si>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</si>
  <si>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</si>
  <si>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</si>
  <si>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</si>
  <si>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</si>
  <si>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</si>
  <si>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</si>
  <si>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</si>
  <si>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</si>
  <si>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</si>
  <si>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</si>
  <si>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</si>
  <si>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</si>
  <si>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</si>
  <si>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</si>
  <si>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</si>
  <si>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</si>
  <si>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</si>
  <si>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</si>
  <si>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</si>
  <si>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</si>
  <si>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</si>
  <si>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</si>
  <si>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</si>
  <si>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</si>
  <si>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</si>
  <si>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</si>
  <si>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</si>
  <si>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</si>
  <si>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</si>
  <si>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</si>
  <si>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</si>
  <si>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</si>
  <si>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</si>
  <si>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</si>
  <si>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</si>
  <si>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</si>
  <si>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</si>
  <si>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</si>
  <si>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</si>
  <si>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</si>
  <si>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</si>
  <si>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</si>
  <si>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</si>
  <si>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</si>
  <si>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</si>
  <si>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</si>
  <si>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</si>
  <si>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</si>
  <si>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</si>
  <si>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</si>
  <si>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</si>
  <si>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</si>
  <si>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</si>
  <si>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</si>
  <si>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</si>
  <si>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</si>
  <si>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</si>
  <si>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</si>
  <si>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</si>
  <si>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</si>
  <si>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</si>
  <si>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</si>
  <si>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</si>
  <si>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</si>
  <si>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</si>
  <si>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</si>
  <si>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</si>
  <si>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</si>
  <si>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2011 ACTUAL     </t>
  </si>
  <si>
    <t xml:space="preserve">      FY 2012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</si>
  <si>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</si>
  <si>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</si>
  <si>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</si>
  <si>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</si>
  <si>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</si>
  <si>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</si>
  <si>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</si>
  <si>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</si>
  <si>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</si>
  <si>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</si>
  <si>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</si>
  <si>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</si>
  <si>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</si>
  <si>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</si>
  <si>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</si>
  <si>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</si>
  <si>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</si>
  <si>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</si>
  <si>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</si>
  <si>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</si>
  <si>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</si>
  <si>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</si>
  <si>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</si>
  <si>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</si>
  <si>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</si>
  <si>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</si>
  <si>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</si>
  <si>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</si>
  <si>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</si>
  <si>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</si>
  <si>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</si>
  <si>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</si>
  <si>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</si>
  <si>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</si>
  <si>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</si>
  <si>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</si>
  <si>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</si>
  <si>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</si>
  <si>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</si>
  <si>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</si>
  <si>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</si>
  <si>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</si>
  <si>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</si>
  <si>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</si>
  <si>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</si>
  <si>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</si>
  <si>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</si>
  <si>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EASTERN CT HEALTH NETWORK , INC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</si>
  <si>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</si>
  <si>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</si>
  <si>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</si>
  <si>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</si>
  <si>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</si>
  <si>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</si>
  <si>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</si>
  <si>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</si>
  <si>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</si>
  <si>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</si>
  <si>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</si>
  <si>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</si>
  <si>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</si>
  <si>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</si>
  <si>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</si>
  <si>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</si>
  <si>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</si>
  <si>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</si>
  <si>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</si>
  <si>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</si>
  <si>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</si>
  <si>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</si>
  <si>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</si>
  <si>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</si>
  <si>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</si>
  <si>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</si>
  <si>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</si>
  <si>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</si>
  <si>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</si>
  <si>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</si>
  <si>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</si>
  <si>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</si>
  <si>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</si>
  <si>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</si>
  <si>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</si>
  <si>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</si>
  <si>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</si>
  <si>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</si>
  <si>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</si>
  <si>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</si>
  <si>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</si>
  <si>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</si>
  <si>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</si>
  <si>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</si>
  <si>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</si>
  <si>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</si>
  <si>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</si>
  <si>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</si>
  <si>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</si>
  <si>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</si>
  <si>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</si>
  <si>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</si>
  <si>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</si>
  <si>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</si>
  <si>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</si>
  <si>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</si>
  <si>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</si>
  <si>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</si>
  <si>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</si>
  <si>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</si>
  <si>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</si>
  <si>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</si>
  <si>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</si>
  <si>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</si>
  <si>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</si>
  <si>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</si>
  <si>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</si>
  <si>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</si>
  <si>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</si>
  <si>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</si>
  <si>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</si>
  <si>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</si>
  <si>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</si>
  <si>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</si>
  <si>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</si>
  <si>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</si>
  <si>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</si>
  <si>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</si>
  <si>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</si>
  <si>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</si>
  <si>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</si>
  <si>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</si>
  <si>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</si>
  <si>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</si>
  <si>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</si>
  <si>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</si>
  <si>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</si>
  <si>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</si>
  <si>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</si>
  <si>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</si>
  <si>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</si>
  <si>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</si>
  <si>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</si>
  <si>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</si>
  <si>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</si>
  <si>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</si>
  <si>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</si>
  <si>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</si>
  <si>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</si>
  <si>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</si>
  <si>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</si>
  <si>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</si>
  <si>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</si>
  <si>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</si>
  <si>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</si>
  <si>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</si>
  <si>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</si>
  <si>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</si>
  <si>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</si>
  <si>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 Operating Room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</si>
  <si>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</si>
  <si>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</si>
  <si>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</si>
  <si>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>Hospital Emergency Room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</si>
  <si>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</si>
  <si>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</si>
  <si>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</si>
  <si>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</si>
  <si>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</si>
  <si>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2012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</si>
  <si>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</si>
  <si>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</si>
  <si>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</si>
  <si>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</si>
  <si>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2011</t>
  </si>
  <si>
    <t xml:space="preserve">         FY 2012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</si>
  <si>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</si>
  <si>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</si>
  <si>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</si>
  <si>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</si>
  <si>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</si>
  <si>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</si>
  <si>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</si>
  <si>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</si>
  <si>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</si>
  <si>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</si>
  <si>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</si>
  <si>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</si>
  <si>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</si>
  <si>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</si>
  <si>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</si>
  <si>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</si>
  <si>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</si>
  <si>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</si>
  <si>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</si>
  <si>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</si>
  <si>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</si>
  <si>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</si>
  <si>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</si>
  <si>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</si>
  <si>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</si>
  <si>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</si>
  <si>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</si>
  <si>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</si>
  <si>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</si>
  <si>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</si>
  <si>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</si>
  <si>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</si>
  <si>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</si>
  <si>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</si>
  <si>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</si>
  <si>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</si>
  <si>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</si>
  <si>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</si>
  <si>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</si>
  <si>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</si>
  <si>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</si>
  <si>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</si>
  <si>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</si>
  <si>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</si>
  <si>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</si>
  <si>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</si>
  <si>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</si>
  <si>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</si>
  <si>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</si>
  <si>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</si>
  <si>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</si>
  <si>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</si>
  <si>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</si>
  <si>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</si>
  <si>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</si>
  <si>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</si>
  <si>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</si>
  <si>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</si>
  <si>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</si>
  <si>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</si>
  <si>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</si>
  <si>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</si>
  <si>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</si>
  <si>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</si>
  <si>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</si>
  <si>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</si>
  <si>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</si>
  <si>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</si>
  <si>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</si>
  <si>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</si>
  <si>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</si>
  <si>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</si>
  <si>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</si>
  <si>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</si>
  <si>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</si>
  <si>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</si>
  <si>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</si>
  <si>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</si>
  <si>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</si>
  <si>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</si>
  <si>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</si>
  <si>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</si>
  <si>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</si>
  <si>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</si>
  <si>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</si>
  <si>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</si>
  <si>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</si>
  <si>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</si>
  <si>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</si>
  <si>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</si>
  <si>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</si>
  <si>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</si>
  <si>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</si>
  <si>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</si>
  <si>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</si>
  <si>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</si>
  <si>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</si>
  <si>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</si>
  <si>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</si>
  <si>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</si>
  <si>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</si>
  <si>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</si>
  <si>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</si>
  <si>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</si>
  <si>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</si>
  <si>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</si>
  <si>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</si>
  <si>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</si>
  <si>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</si>
  <si>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</si>
  <si>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</si>
  <si>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</si>
  <si>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</si>
  <si>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</si>
  <si>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</si>
  <si>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</si>
  <si>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</si>
  <si>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</si>
  <si>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</si>
  <si>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</si>
  <si>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</si>
  <si>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</si>
  <si>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</si>
  <si>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</si>
  <si>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</si>
  <si>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</si>
  <si>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</si>
  <si>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</si>
  <si>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</si>
  <si>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</si>
  <si>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</si>
  <si>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</si>
  <si>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</si>
  <si>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</si>
  <si>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</si>
  <si>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</si>
  <si>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</si>
  <si>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</si>
  <si>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</si>
  <si>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</si>
  <si>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</si>
  <si>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</si>
  <si>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</si>
  <si>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2012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</si>
  <si>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</si>
  <si>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</si>
  <si>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</si>
  <si>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</si>
  <si>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</si>
  <si>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</si>
  <si>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</si>
  <si>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</si>
  <si>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</si>
  <si>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</si>
  <si>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</si>
  <si>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</si>
  <si>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</si>
  <si>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</si>
  <si>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</si>
  <si>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</si>
  <si>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</si>
  <si>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</si>
  <si>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</si>
  <si>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</si>
  <si>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</si>
  <si>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</si>
  <si>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</si>
  <si>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</si>
  <si>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</si>
  <si>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</si>
  <si>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</si>
  <si>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</si>
  <si>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</si>
  <si>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</si>
  <si>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</si>
  <si>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</si>
  <si>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</si>
  <si>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</si>
  <si>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</si>
  <si>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</si>
  <si>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</si>
  <si>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</si>
  <si>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</si>
  <si>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</si>
  <si>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</si>
  <si>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</si>
  <si>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</si>
  <si>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</si>
  <si>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</si>
  <si>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</si>
  <si>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</si>
  <si>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</si>
  <si>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</si>
  <si>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</si>
  <si>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</si>
  <si>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</si>
  <si>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</si>
  <si>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</si>
  <si>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</si>
  <si>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</si>
  <si>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</si>
  <si>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</si>
  <si>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</si>
  <si>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</si>
  <si>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</si>
  <si>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</si>
  <si>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</si>
  <si>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</si>
  <si>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</si>
  <si>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</si>
  <si>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</si>
  <si>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</si>
  <si>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</si>
  <si>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</si>
  <si>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</si>
  <si>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</si>
  <si>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</si>
  <si>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</si>
  <si>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</si>
  <si>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</si>
  <si>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</si>
  <si>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</si>
  <si>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</si>
  <si>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</si>
  <si>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</si>
  <si>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</si>
  <si>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</si>
  <si>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</si>
  <si>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</si>
  <si>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</si>
  <si>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</si>
  <si>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</si>
  <si>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</si>
  <si>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</si>
  <si>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</si>
  <si>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</si>
  <si>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</si>
  <si>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</si>
  <si>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</si>
  <si>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</si>
  <si>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</si>
  <si>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</si>
  <si>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2012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</si>
  <si>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</si>
  <si>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</si>
  <si>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</si>
  <si>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</si>
  <si>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</si>
  <si>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</si>
  <si>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</si>
  <si>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</si>
  <si>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</si>
  <si>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</si>
  <si>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</si>
  <si>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</si>
  <si>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</si>
  <si>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</si>
  <si>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</si>
  <si>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</si>
  <si>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</si>
  <si>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</si>
  <si>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</si>
  <si>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</si>
  <si>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</si>
  <si>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</si>
  <si>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</si>
  <si>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</si>
  <si>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</si>
  <si>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</si>
  <si>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</si>
  <si>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</si>
  <si>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</si>
  <si>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</si>
  <si>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</si>
  <si>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</si>
  <si>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</si>
  <si>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</si>
  <si>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</si>
  <si>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</si>
  <si>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</si>
  <si>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</si>
  <si>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</si>
  <si>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</si>
  <si>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</si>
  <si>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</si>
  <si>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</si>
  <si>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</si>
  <si>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</si>
  <si>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</si>
  <si>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</si>
  <si>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</si>
  <si>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</si>
  <si>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</si>
  <si>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</si>
  <si>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</si>
  <si>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</si>
  <si>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</si>
  <si>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</si>
  <si>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</si>
  <si>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2011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</si>
  <si>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2012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</si>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</sst>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4739454</v>
      </c>
      <c r="D13" s="23">
        <v>1463823</v>
      </c>
      <c r="E13" s="23">
        <f t="shared" ref="E13:E22" si="0">D13-C13</f>
        <v>-3275631</v>
      </c>
      <c r="F13" s="24">
        <f t="shared" ref="F13:F22" si="1">IF(C13=0,0,E13/C13)</f>
        <v>-0.6911410048499258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2.25" customHeight="1" x14ac:dyDescent="0.2">
      <c r="A15" s="21">
        <v>3</v>
      </c>
      <c r="B15" s="22" t="s">
        <v>18</v>
      </c>
      <c r="C15" s="23">
        <v>10246785</v>
      </c>
      <c r="D15" s="23">
        <v>10959585</v>
      </c>
      <c r="E15" s="23">
        <f t="shared" si="0"/>
        <v>712800</v>
      </c>
      <c r="F15" s="24">
        <f t="shared" si="1"/>
        <v>6.9563282532033213E-2</v>
      </c>
    </row>
    <row r="16" spans="1:8" ht="24" customHeight="1" x14ac:dyDescent="0.2">
      <c r="A16" s="21">
        <v>4</v>
      </c>
      <c r="B16" s="22" t="s">
        <v>19</v>
      </c>
      <c r="C16" s="23">
        <v>501284</v>
      </c>
      <c r="D16" s="23">
        <v>467222</v>
      </c>
      <c r="E16" s="23">
        <f t="shared" si="0"/>
        <v>-34062</v>
      </c>
      <c r="F16" s="24">
        <f t="shared" si="1"/>
        <v>-6.7949505669440871E-2</v>
      </c>
    </row>
    <row r="17" spans="1:11" ht="24" customHeight="1" x14ac:dyDescent="0.2">
      <c r="A17" s="21">
        <v>5</v>
      </c>
      <c r="B17" s="22" t="s">
        <v>20</v>
      </c>
      <c r="C17" s="23">
        <v>2196771</v>
      </c>
      <c r="D17" s="23">
        <v>781899</v>
      </c>
      <c r="E17" s="23">
        <f t="shared" si="0"/>
        <v>-1414872</v>
      </c>
      <c r="F17" s="24">
        <f t="shared" si="1"/>
        <v>-0.64406895393284047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853555</v>
      </c>
      <c r="E18" s="23">
        <f t="shared" si="0"/>
        <v>853555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1576966</v>
      </c>
      <c r="D19" s="23">
        <v>1519666</v>
      </c>
      <c r="E19" s="23">
        <f t="shared" si="0"/>
        <v>-57300</v>
      </c>
      <c r="F19" s="24">
        <f t="shared" si="1"/>
        <v>-3.6335596328646275E-2</v>
      </c>
    </row>
    <row r="20" spans="1:11" ht="24" customHeight="1" x14ac:dyDescent="0.2">
      <c r="A20" s="21">
        <v>8</v>
      </c>
      <c r="B20" s="22" t="s">
        <v>23</v>
      </c>
      <c r="C20" s="23">
        <v>270651</v>
      </c>
      <c r="D20" s="23">
        <v>218802</v>
      </c>
      <c r="E20" s="23">
        <f t="shared" si="0"/>
        <v>-51849</v>
      </c>
      <c r="F20" s="24">
        <f t="shared" si="1"/>
        <v>-0.19157143332187948</v>
      </c>
    </row>
    <row r="21" spans="1:11" ht="24" customHeight="1" x14ac:dyDescent="0.2">
      <c r="A21" s="21">
        <v>9</v>
      </c>
      <c r="B21" s="22" t="s">
        <v>24</v>
      </c>
      <c r="C21" s="23">
        <v>0</v>
      </c>
      <c r="D21" s="23">
        <v>0</v>
      </c>
      <c r="E21" s="23">
        <f t="shared" si="0"/>
        <v>0</v>
      </c>
      <c r="F21" s="24">
        <f t="shared" si="1"/>
        <v>0</v>
      </c>
    </row>
    <row r="22" spans="1:11" ht="24" customHeight="1" x14ac:dyDescent="0.25">
      <c r="A22" s="25"/>
      <c r="B22" s="26" t="s">
        <v>25</v>
      </c>
      <c r="C22" s="27">
        <f>SUM(C13:C21)</f>
        <v>19531911</v>
      </c>
      <c r="D22" s="27">
        <f>SUM(D13:D21)</f>
        <v>16264552</v>
      </c>
      <c r="E22" s="27">
        <f t="shared" si="0"/>
        <v>-3267359</v>
      </c>
      <c r="F22" s="28">
        <f t="shared" si="1"/>
        <v>-0.16728311940393339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1890524</v>
      </c>
      <c r="D25" s="23">
        <v>3036266</v>
      </c>
      <c r="E25" s="23">
        <f>D25-C25</f>
        <v>1145742</v>
      </c>
      <c r="F25" s="24">
        <f>IF(C25=0,0,E25/C25)</f>
        <v>0.60604467332866441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18741615</v>
      </c>
      <c r="D28" s="23">
        <v>20261427</v>
      </c>
      <c r="E28" s="23">
        <f>D28-C28</f>
        <v>1519812</v>
      </c>
      <c r="F28" s="24">
        <f>IF(C28=0,0,E28/C28)</f>
        <v>8.1092904747002856E-2</v>
      </c>
    </row>
    <row r="29" spans="1:11" ht="24" customHeight="1" x14ac:dyDescent="0.25">
      <c r="A29" s="25"/>
      <c r="B29" s="26" t="s">
        <v>32</v>
      </c>
      <c r="C29" s="27">
        <f>SUM(C25:C28)</f>
        <v>20632139</v>
      </c>
      <c r="D29" s="27">
        <f>SUM(D25:D28)</f>
        <v>23297693</v>
      </c>
      <c r="E29" s="27">
        <f>D29-C29</f>
        <v>2665554</v>
      </c>
      <c r="F29" s="28">
        <f>IF(C29=0,0,E29/C29)</f>
        <v>0.12919426337715154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2629614</v>
      </c>
      <c r="D31" s="23">
        <v>3254582</v>
      </c>
      <c r="E31" s="23">
        <f>D31-C31</f>
        <v>624968</v>
      </c>
      <c r="F31" s="24">
        <f>IF(C31=0,0,E31/C31)</f>
        <v>0.23766529992614885</v>
      </c>
    </row>
    <row r="32" spans="1:11" ht="24" customHeight="1" x14ac:dyDescent="0.2">
      <c r="A32" s="21">
        <v>6</v>
      </c>
      <c r="B32" s="22" t="s">
        <v>34</v>
      </c>
      <c r="C32" s="23">
        <v>2858713</v>
      </c>
      <c r="D32" s="23">
        <v>3127553</v>
      </c>
      <c r="E32" s="23">
        <f>D32-C32</f>
        <v>268840</v>
      </c>
      <c r="F32" s="24">
        <f>IF(C32=0,0,E32/C32)</f>
        <v>9.4042319043569605E-2</v>
      </c>
    </row>
    <row r="33" spans="1:8" ht="24" customHeight="1" x14ac:dyDescent="0.2">
      <c r="A33" s="21">
        <v>7</v>
      </c>
      <c r="B33" s="22" t="s">
        <v>35</v>
      </c>
      <c r="C33" s="23">
        <v>5589302</v>
      </c>
      <c r="D33" s="23">
        <v>3451619</v>
      </c>
      <c r="E33" s="23">
        <f>D33-C33</f>
        <v>-2137683</v>
      </c>
      <c r="F33" s="24">
        <f>IF(C33=0,0,E33/C33)</f>
        <v>-0.38245974184254133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90221247</v>
      </c>
      <c r="D36" s="23">
        <v>93531022</v>
      </c>
      <c r="E36" s="23">
        <f>D36-C36</f>
        <v>3309775</v>
      </c>
      <c r="F36" s="24">
        <f>IF(C36=0,0,E36/C36)</f>
        <v>3.6685094809208299E-2</v>
      </c>
    </row>
    <row r="37" spans="1:8" ht="24" customHeight="1" x14ac:dyDescent="0.2">
      <c r="A37" s="21">
        <v>2</v>
      </c>
      <c r="B37" s="22" t="s">
        <v>39</v>
      </c>
      <c r="C37" s="23">
        <v>59437084</v>
      </c>
      <c r="D37" s="23">
        <v>63146530</v>
      </c>
      <c r="E37" s="23">
        <f>D37-C37</f>
        <v>3709446</v>
      </c>
      <c r="F37" s="24">
        <f>IF(C37=0,0,E37/C37)</f>
        <v>6.2409622921609009E-2</v>
      </c>
    </row>
    <row r="38" spans="1:8" ht="24" customHeight="1" x14ac:dyDescent="0.25">
      <c r="A38" s="25"/>
      <c r="B38" s="26" t="s">
        <v>40</v>
      </c>
      <c r="C38" s="27">
        <f>C36-C37</f>
        <v>30784163</v>
      </c>
      <c r="D38" s="27">
        <f>D36-D37</f>
        <v>30384492</v>
      </c>
      <c r="E38" s="27">
        <f>D38-C38</f>
        <v>-399671</v>
      </c>
      <c r="F38" s="28">
        <f>IF(C38=0,0,E38/C38)</f>
        <v>-1.2983006879219033E-2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367691</v>
      </c>
      <c r="D40" s="23">
        <v>88282</v>
      </c>
      <c r="E40" s="23">
        <f>D40-C40</f>
        <v>-279409</v>
      </c>
      <c r="F40" s="24">
        <f>IF(C40=0,0,E40/C40)</f>
        <v>-0.75990165655400865</v>
      </c>
    </row>
    <row r="41" spans="1:8" ht="24" customHeight="1" x14ac:dyDescent="0.25">
      <c r="A41" s="25"/>
      <c r="B41" s="26" t="s">
        <v>42</v>
      </c>
      <c r="C41" s="27">
        <f>+C38+C40</f>
        <v>31151854</v>
      </c>
      <c r="D41" s="27">
        <f>+D38+D40</f>
        <v>30472774</v>
      </c>
      <c r="E41" s="27">
        <f>D41-C41</f>
        <v>-679080</v>
      </c>
      <c r="F41" s="28">
        <f>IF(C41=0,0,E41/C41)</f>
        <v>-2.1799023582994452E-2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82393533</v>
      </c>
      <c r="D43" s="27">
        <f>D22+D29+D31+D32+D33+D41</f>
        <v>79868773</v>
      </c>
      <c r="E43" s="27">
        <f>D43-C43</f>
        <v>-2524760</v>
      </c>
      <c r="F43" s="28">
        <f>IF(C43=0,0,E43/C43)</f>
        <v>-3.0642696193158753E-2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4351221</v>
      </c>
      <c r="D49" s="23">
        <v>5236427</v>
      </c>
      <c r="E49" s="23">
        <f t="shared" ref="E49:E56" si="2">D49-C49</f>
        <v>885206</v>
      </c>
      <c r="F49" s="24">
        <f t="shared" ref="F49:F56" si="3">IF(C49=0,0,E49/C49)</f>
        <v>0.20343852909332805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547347</v>
      </c>
      <c r="D50" s="23">
        <v>733188</v>
      </c>
      <c r="E50" s="23">
        <f t="shared" si="2"/>
        <v>185841</v>
      </c>
      <c r="F50" s="24">
        <f t="shared" si="3"/>
        <v>0.33953049893394865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684512</v>
      </c>
      <c r="D51" s="23">
        <v>1157913</v>
      </c>
      <c r="E51" s="23">
        <f t="shared" si="2"/>
        <v>473401</v>
      </c>
      <c r="F51" s="24">
        <f t="shared" si="3"/>
        <v>0.69158904445794955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2717350</v>
      </c>
      <c r="D52" s="23">
        <v>3297172</v>
      </c>
      <c r="E52" s="23">
        <f t="shared" si="2"/>
        <v>579822</v>
      </c>
      <c r="F52" s="24">
        <f t="shared" si="3"/>
        <v>0.21337773934163801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607963</v>
      </c>
      <c r="D53" s="23">
        <v>607750</v>
      </c>
      <c r="E53" s="23">
        <f t="shared" si="2"/>
        <v>-213</v>
      </c>
      <c r="F53" s="24">
        <f t="shared" si="3"/>
        <v>-3.5035026802617925E-4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639350</v>
      </c>
      <c r="D54" s="23">
        <v>663921</v>
      </c>
      <c r="E54" s="23">
        <f t="shared" si="2"/>
        <v>24571</v>
      </c>
      <c r="F54" s="24">
        <f t="shared" si="3"/>
        <v>3.8431219207007115E-2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3891414</v>
      </c>
      <c r="D55" s="23">
        <v>1879469</v>
      </c>
      <c r="E55" s="23">
        <f t="shared" si="2"/>
        <v>-2011945</v>
      </c>
      <c r="F55" s="24">
        <f t="shared" si="3"/>
        <v>-0.51702157621882427</v>
      </c>
    </row>
    <row r="56" spans="1:6" ht="24" customHeight="1" x14ac:dyDescent="0.25">
      <c r="A56" s="25"/>
      <c r="B56" s="26" t="s">
        <v>54</v>
      </c>
      <c r="C56" s="27">
        <f>SUM(C49:C55)</f>
        <v>13439157</v>
      </c>
      <c r="D56" s="27">
        <f>SUM(D49:D55)</f>
        <v>13575840</v>
      </c>
      <c r="E56" s="27">
        <f t="shared" si="2"/>
        <v>136683</v>
      </c>
      <c r="F56" s="28">
        <f t="shared" si="3"/>
        <v>1.0170503998130239E-2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25135766</v>
      </c>
      <c r="D59" s="23">
        <v>23591768</v>
      </c>
      <c r="E59" s="23">
        <f>D59-C59</f>
        <v>-1543998</v>
      </c>
      <c r="F59" s="24">
        <f>IF(C59=0,0,E59/C59)</f>
        <v>-6.1426335684378983E-2</v>
      </c>
    </row>
    <row r="60" spans="1:6" ht="24" customHeight="1" x14ac:dyDescent="0.2">
      <c r="A60" s="21">
        <v>2</v>
      </c>
      <c r="B60" s="22" t="s">
        <v>57</v>
      </c>
      <c r="C60" s="23">
        <v>724547</v>
      </c>
      <c r="D60" s="23">
        <v>802316</v>
      </c>
      <c r="E60" s="23">
        <f>D60-C60</f>
        <v>77769</v>
      </c>
      <c r="F60" s="24">
        <f>IF(C60=0,0,E60/C60)</f>
        <v>0.10733465185833355</v>
      </c>
    </row>
    <row r="61" spans="1:6" ht="24" customHeight="1" x14ac:dyDescent="0.25">
      <c r="A61" s="25"/>
      <c r="B61" s="26" t="s">
        <v>58</v>
      </c>
      <c r="C61" s="27">
        <f>SUM(C59:C60)</f>
        <v>25860313</v>
      </c>
      <c r="D61" s="27">
        <f>SUM(D59:D60)</f>
        <v>24394084</v>
      </c>
      <c r="E61" s="27">
        <f>D61-C61</f>
        <v>-1466229</v>
      </c>
      <c r="F61" s="28">
        <f>IF(C61=0,0,E61/C61)</f>
        <v>-5.6698037645561368E-2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13402108</v>
      </c>
      <c r="D63" s="23">
        <v>17147802</v>
      </c>
      <c r="E63" s="23">
        <f>D63-C63</f>
        <v>3745694</v>
      </c>
      <c r="F63" s="24">
        <f>IF(C63=0,0,E63/C63)</f>
        <v>0.27948543617168287</v>
      </c>
    </row>
    <row r="64" spans="1:6" ht="24" customHeight="1" x14ac:dyDescent="0.2">
      <c r="A64" s="21">
        <v>4</v>
      </c>
      <c r="B64" s="22" t="s">
        <v>60</v>
      </c>
      <c r="C64" s="23">
        <v>674591</v>
      </c>
      <c r="D64" s="23">
        <v>3436036</v>
      </c>
      <c r="E64" s="23">
        <f>D64-C64</f>
        <v>2761445</v>
      </c>
      <c r="F64" s="24">
        <f>IF(C64=0,0,E64/C64)</f>
        <v>4.0935099934627059</v>
      </c>
    </row>
    <row r="65" spans="1:6" ht="24" customHeight="1" x14ac:dyDescent="0.25">
      <c r="A65" s="25"/>
      <c r="B65" s="26" t="s">
        <v>61</v>
      </c>
      <c r="C65" s="27">
        <f>SUM(C61:C64)</f>
        <v>39937012</v>
      </c>
      <c r="D65" s="27">
        <f>SUM(D61:D64)</f>
        <v>44977922</v>
      </c>
      <c r="E65" s="27">
        <f>D65-C65</f>
        <v>5040910</v>
      </c>
      <c r="F65" s="28">
        <f>IF(C65=0,0,E65/C65)</f>
        <v>0.1262215110133928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24688727</v>
      </c>
      <c r="D70" s="23">
        <v>17066097</v>
      </c>
      <c r="E70" s="23">
        <f>D70-C70</f>
        <v>-7622630</v>
      </c>
      <c r="F70" s="24">
        <f>IF(C70=0,0,E70/C70)</f>
        <v>-0.30874941425696029</v>
      </c>
    </row>
    <row r="71" spans="1:6" ht="24" customHeight="1" x14ac:dyDescent="0.2">
      <c r="A71" s="21">
        <v>2</v>
      </c>
      <c r="B71" s="22" t="s">
        <v>65</v>
      </c>
      <c r="C71" s="23">
        <v>912532</v>
      </c>
      <c r="D71" s="23">
        <v>615748</v>
      </c>
      <c r="E71" s="23">
        <f>D71-C71</f>
        <v>-296784</v>
      </c>
      <c r="F71" s="24">
        <f>IF(C71=0,0,E71/C71)</f>
        <v>-0.32523133435320623</v>
      </c>
    </row>
    <row r="72" spans="1:6" ht="24" customHeight="1" x14ac:dyDescent="0.2">
      <c r="A72" s="21">
        <v>3</v>
      </c>
      <c r="B72" s="22" t="s">
        <v>66</v>
      </c>
      <c r="C72" s="23">
        <v>3416105</v>
      </c>
      <c r="D72" s="23">
        <v>3633166</v>
      </c>
      <c r="E72" s="23">
        <f>D72-C72</f>
        <v>217061</v>
      </c>
      <c r="F72" s="24">
        <f>IF(C72=0,0,E72/C72)</f>
        <v>6.3540494217829951E-2</v>
      </c>
    </row>
    <row r="73" spans="1:6" ht="24" customHeight="1" x14ac:dyDescent="0.25">
      <c r="A73" s="21"/>
      <c r="B73" s="26" t="s">
        <v>67</v>
      </c>
      <c r="C73" s="27">
        <f>SUM(C70:C72)</f>
        <v>29017364</v>
      </c>
      <c r="D73" s="27">
        <f>SUM(D70:D72)</f>
        <v>21315011</v>
      </c>
      <c r="E73" s="27">
        <f>D73-C73</f>
        <v>-7702353</v>
      </c>
      <c r="F73" s="28">
        <f>IF(C73=0,0,E73/C73)</f>
        <v>-0.26543944515428763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82393533</v>
      </c>
      <c r="D75" s="27">
        <f>D56+D65+D67+D73</f>
        <v>79868773</v>
      </c>
      <c r="E75" s="27">
        <f>D75-C75</f>
        <v>-2524760</v>
      </c>
      <c r="F75" s="28">
        <f>IF(C75=0,0,E75/C75)</f>
        <v>-3.0642696193158753E-2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FILING&amp;RROCKVILLE GENERAL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491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494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319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495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496</v>
      </c>
      <c r="C11" s="51">
        <v>262817891</v>
      </c>
      <c r="D11" s="51">
        <v>261348876</v>
      </c>
      <c r="E11" s="51">
        <v>277042997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17826849</v>
      </c>
      <c r="D12" s="49">
        <v>19641309</v>
      </c>
      <c r="E12" s="49">
        <v>28839184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280644740</v>
      </c>
      <c r="D13" s="51">
        <f>+D11+D12</f>
        <v>280990185</v>
      </c>
      <c r="E13" s="51">
        <f>+E11+E12</f>
        <v>305882181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274106412</v>
      </c>
      <c r="D14" s="49">
        <v>280947508</v>
      </c>
      <c r="E14" s="49">
        <v>300954489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6538328</v>
      </c>
      <c r="D15" s="51">
        <f>+D13-D14</f>
        <v>42677</v>
      </c>
      <c r="E15" s="51">
        <f>+E13-E14</f>
        <v>4927692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-1785503</v>
      </c>
      <c r="D16" s="49">
        <v>-1341596</v>
      </c>
      <c r="E16" s="49">
        <v>-1200536</v>
      </c>
      <c r="F16" s="70"/>
    </row>
    <row r="17" spans="1:14" s="56" customFormat="1" ht="24" customHeight="1" x14ac:dyDescent="0.2">
      <c r="A17" s="44">
        <v>7</v>
      </c>
      <c r="B17" s="45" t="s">
        <v>322</v>
      </c>
      <c r="C17" s="51">
        <f>C15+C16</f>
        <v>4752825</v>
      </c>
      <c r="D17" s="51">
        <f>D15+D16</f>
        <v>-1298919</v>
      </c>
      <c r="E17" s="51">
        <f>E15+E16</f>
        <v>3727156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497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498</v>
      </c>
      <c r="C20" s="169">
        <f>IF(+C27=0,0,+C24/+C27)</f>
        <v>2.3446696872372205E-2</v>
      </c>
      <c r="D20" s="169">
        <f>IF(+D27=0,0,+D24/+D27)</f>
        <v>1.5260938792006565E-4</v>
      </c>
      <c r="E20" s="169">
        <f>IF(+E27=0,0,+E24/+E27)</f>
        <v>1.6173248637934852E-2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499</v>
      </c>
      <c r="C21" s="169">
        <f>IF(+C27=0,0,+C26/+C27)</f>
        <v>-6.4028827562201216E-3</v>
      </c>
      <c r="D21" s="169">
        <f>IF(+D27=0,0,+D26/+D27)</f>
        <v>-4.7974352554305214E-3</v>
      </c>
      <c r="E21" s="169">
        <f>IF(+E27=0,0,+E26/+E27)</f>
        <v>-3.9402964363015698E-3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500</v>
      </c>
      <c r="C22" s="169">
        <f>IF(+C27=0,0,+C28/+C27)</f>
        <v>1.7043814116152085E-2</v>
      </c>
      <c r="D22" s="169">
        <f>IF(+D27=0,0,+D28/+D27)</f>
        <v>-4.6448258675104558E-3</v>
      </c>
      <c r="E22" s="169">
        <f>IF(+E27=0,0,+E28/+E27)</f>
        <v>1.2232952201633281E-2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6538328</v>
      </c>
      <c r="D24" s="51">
        <f>+D15</f>
        <v>42677</v>
      </c>
      <c r="E24" s="51">
        <f>+E15</f>
        <v>4927692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280644740</v>
      </c>
      <c r="D25" s="51">
        <f>+D13</f>
        <v>280990185</v>
      </c>
      <c r="E25" s="51">
        <f>+E13</f>
        <v>305882181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-1785503</v>
      </c>
      <c r="D26" s="51">
        <f>+D16</f>
        <v>-1341596</v>
      </c>
      <c r="E26" s="51">
        <f>+E16</f>
        <v>-1200536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327</v>
      </c>
      <c r="C27" s="51">
        <f>SUM(C25:C26)</f>
        <v>278859237</v>
      </c>
      <c r="D27" s="51">
        <f>SUM(D25:D26)</f>
        <v>279648589</v>
      </c>
      <c r="E27" s="51">
        <f>SUM(E25:E26)</f>
        <v>304681645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322</v>
      </c>
      <c r="C28" s="51">
        <f>+C17</f>
        <v>4752825</v>
      </c>
      <c r="D28" s="51">
        <f>+D17</f>
        <v>-1298919</v>
      </c>
      <c r="E28" s="51">
        <f>+E17</f>
        <v>3727156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501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502</v>
      </c>
      <c r="C31" s="51">
        <v>54654325</v>
      </c>
      <c r="D31" s="51">
        <v>41815956</v>
      </c>
      <c r="E31" s="52">
        <v>36549384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503</v>
      </c>
      <c r="C32" s="51">
        <v>71476482</v>
      </c>
      <c r="D32" s="51">
        <v>55161657</v>
      </c>
      <c r="E32" s="51">
        <v>51601261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504</v>
      </c>
      <c r="C33" s="51">
        <v>-3957194</v>
      </c>
      <c r="D33" s="51">
        <f>+D32-C32</f>
        <v>-16314825</v>
      </c>
      <c r="E33" s="51">
        <f>+E32-D32</f>
        <v>-3560396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505</v>
      </c>
      <c r="C34" s="171">
        <v>0.94750000000000001</v>
      </c>
      <c r="D34" s="171">
        <f>IF(C32=0,0,+D33/C32)</f>
        <v>-0.22825444878498638</v>
      </c>
      <c r="E34" s="171">
        <f>IF(D32=0,0,+E33/D32)</f>
        <v>-6.4544761590464919E-2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333</v>
      </c>
      <c r="B36" s="16" t="s">
        <v>355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356</v>
      </c>
      <c r="C38" s="269">
        <f>IF(+C40=0,0,+C39/+C40)</f>
        <v>1.3887115137181509</v>
      </c>
      <c r="D38" s="269">
        <f>IF(+D40=0,0,+D39/+D40)</f>
        <v>1.2552876757622056</v>
      </c>
      <c r="E38" s="269">
        <f>IF(+E40=0,0,+E39/+E40)</f>
        <v>1.456033453204683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69908525</v>
      </c>
      <c r="D39" s="270">
        <v>71146925</v>
      </c>
      <c r="E39" s="270">
        <v>85875895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50340567</v>
      </c>
      <c r="D40" s="270">
        <v>56677785</v>
      </c>
      <c r="E40" s="270">
        <v>58979342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357</v>
      </c>
      <c r="C42" s="271">
        <f>IF((C48/365)=0,0,+C45/(C48/365))</f>
        <v>27.266321899246435</v>
      </c>
      <c r="D42" s="271">
        <f>IF((D48/365)=0,0,+D45/(D48/365))</f>
        <v>28.477312220814834</v>
      </c>
      <c r="E42" s="271">
        <f>IF((E48/365)=0,0,+E45/(E48/365))</f>
        <v>25.31276254323226</v>
      </c>
    </row>
    <row r="43" spans="1:14" ht="24" customHeight="1" x14ac:dyDescent="0.2">
      <c r="A43" s="17">
        <v>5</v>
      </c>
      <c r="B43" s="188" t="s">
        <v>16</v>
      </c>
      <c r="C43" s="272">
        <v>19538406</v>
      </c>
      <c r="D43" s="272">
        <v>20991180</v>
      </c>
      <c r="E43" s="272">
        <v>20052067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358</v>
      </c>
      <c r="C45" s="270">
        <f>+C43+C44</f>
        <v>19538406</v>
      </c>
      <c r="D45" s="270">
        <f>+D43+D44</f>
        <v>20991180</v>
      </c>
      <c r="E45" s="270">
        <f>+E43+E44</f>
        <v>20052067</v>
      </c>
    </row>
    <row r="46" spans="1:14" ht="24" customHeight="1" x14ac:dyDescent="0.2">
      <c r="A46" s="17">
        <v>8</v>
      </c>
      <c r="B46" s="45" t="s">
        <v>336</v>
      </c>
      <c r="C46" s="270">
        <f>+C14</f>
        <v>274106412</v>
      </c>
      <c r="D46" s="270">
        <f>+D14</f>
        <v>280947508</v>
      </c>
      <c r="E46" s="270">
        <f>+E14</f>
        <v>300954489</v>
      </c>
    </row>
    <row r="47" spans="1:14" ht="24" customHeight="1" x14ac:dyDescent="0.2">
      <c r="A47" s="17">
        <v>9</v>
      </c>
      <c r="B47" s="45" t="s">
        <v>359</v>
      </c>
      <c r="C47" s="270">
        <v>12555983</v>
      </c>
      <c r="D47" s="270">
        <v>11898918</v>
      </c>
      <c r="E47" s="270">
        <v>11811633</v>
      </c>
    </row>
    <row r="48" spans="1:14" ht="24" customHeight="1" x14ac:dyDescent="0.2">
      <c r="A48" s="17">
        <v>10</v>
      </c>
      <c r="B48" s="45" t="s">
        <v>360</v>
      </c>
      <c r="C48" s="270">
        <f>+C46-C47</f>
        <v>261550429</v>
      </c>
      <c r="D48" s="270">
        <f>+D46-D47</f>
        <v>269048590</v>
      </c>
      <c r="E48" s="270">
        <f>+E46-E47</f>
        <v>289142856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361</v>
      </c>
      <c r="C50" s="278">
        <f>IF((C55/365)=0,0,+C54/(C55/365))</f>
        <v>55.147395654278348</v>
      </c>
      <c r="D50" s="278">
        <f>IF((D55/365)=0,0,+D54/(D55/365))</f>
        <v>53.031335746016367</v>
      </c>
      <c r="E50" s="278">
        <f>IF((E55/365)=0,0,+E54/(E55/365))</f>
        <v>63.661404749386243</v>
      </c>
    </row>
    <row r="51" spans="1:5" ht="24" customHeight="1" x14ac:dyDescent="0.2">
      <c r="A51" s="17">
        <v>12</v>
      </c>
      <c r="B51" s="188" t="s">
        <v>362</v>
      </c>
      <c r="C51" s="279">
        <v>39411447</v>
      </c>
      <c r="D51" s="279">
        <v>39643428</v>
      </c>
      <c r="E51" s="279">
        <v>46711256</v>
      </c>
    </row>
    <row r="52" spans="1:5" ht="24" customHeight="1" x14ac:dyDescent="0.2">
      <c r="A52" s="17">
        <v>13</v>
      </c>
      <c r="B52" s="188" t="s">
        <v>21</v>
      </c>
      <c r="C52" s="270">
        <v>721274</v>
      </c>
      <c r="D52" s="270">
        <v>432832</v>
      </c>
      <c r="E52" s="270">
        <v>4402920</v>
      </c>
    </row>
    <row r="53" spans="1:5" ht="24" customHeight="1" x14ac:dyDescent="0.2">
      <c r="A53" s="17">
        <v>14</v>
      </c>
      <c r="B53" s="188" t="s">
        <v>49</v>
      </c>
      <c r="C53" s="270">
        <v>423893</v>
      </c>
      <c r="D53" s="270">
        <v>2104534</v>
      </c>
      <c r="E53" s="270">
        <v>2793775</v>
      </c>
    </row>
    <row r="54" spans="1:5" ht="32.25" customHeight="1" x14ac:dyDescent="0.2">
      <c r="A54" s="17">
        <v>15</v>
      </c>
      <c r="B54" s="45" t="s">
        <v>363</v>
      </c>
      <c r="C54" s="280">
        <f>+C51+C52-C53</f>
        <v>39708828</v>
      </c>
      <c r="D54" s="280">
        <f>+D51+D52-D53</f>
        <v>37971726</v>
      </c>
      <c r="E54" s="280">
        <f>+E51+E52-E53</f>
        <v>48320401</v>
      </c>
    </row>
    <row r="55" spans="1:5" ht="24" customHeight="1" x14ac:dyDescent="0.2">
      <c r="A55" s="17">
        <v>16</v>
      </c>
      <c r="B55" s="45" t="s">
        <v>75</v>
      </c>
      <c r="C55" s="270">
        <f>+C11</f>
        <v>262817891</v>
      </c>
      <c r="D55" s="270">
        <f>+D11</f>
        <v>261348876</v>
      </c>
      <c r="E55" s="270">
        <f>+E11</f>
        <v>277042997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364</v>
      </c>
      <c r="C57" s="283">
        <f>IF((C61/365)=0,0,+C58/(C61/365))</f>
        <v>70.25148849975696</v>
      </c>
      <c r="D57" s="283">
        <f>IF((D61/365)=0,0,+D58/(D61/365))</f>
        <v>76.890912251203403</v>
      </c>
      <c r="E57" s="283">
        <f>IF((E61/365)=0,0,+E58/(E61/365))</f>
        <v>74.452677571947333</v>
      </c>
    </row>
    <row r="58" spans="1:5" ht="24" customHeight="1" x14ac:dyDescent="0.2">
      <c r="A58" s="17">
        <v>18</v>
      </c>
      <c r="B58" s="45" t="s">
        <v>54</v>
      </c>
      <c r="C58" s="281">
        <f>+C40</f>
        <v>50340567</v>
      </c>
      <c r="D58" s="281">
        <f>+D40</f>
        <v>56677785</v>
      </c>
      <c r="E58" s="281">
        <f>+E40</f>
        <v>58979342</v>
      </c>
    </row>
    <row r="59" spans="1:5" ht="24" customHeight="1" x14ac:dyDescent="0.2">
      <c r="A59" s="17">
        <v>19</v>
      </c>
      <c r="B59" s="45" t="s">
        <v>336</v>
      </c>
      <c r="C59" s="281">
        <f t="shared" ref="C59:E60" si="0">+C46</f>
        <v>274106412</v>
      </c>
      <c r="D59" s="281">
        <f t="shared" si="0"/>
        <v>280947508</v>
      </c>
      <c r="E59" s="281">
        <f t="shared" si="0"/>
        <v>300954489</v>
      </c>
    </row>
    <row r="60" spans="1:5" ht="24" customHeight="1" x14ac:dyDescent="0.2">
      <c r="A60" s="17">
        <v>20</v>
      </c>
      <c r="B60" s="45" t="s">
        <v>359</v>
      </c>
      <c r="C60" s="176">
        <f t="shared" si="0"/>
        <v>12555983</v>
      </c>
      <c r="D60" s="176">
        <f t="shared" si="0"/>
        <v>11898918</v>
      </c>
      <c r="E60" s="176">
        <f t="shared" si="0"/>
        <v>11811633</v>
      </c>
    </row>
    <row r="61" spans="1:5" ht="24" customHeight="1" x14ac:dyDescent="0.2">
      <c r="A61" s="17">
        <v>21</v>
      </c>
      <c r="B61" s="45" t="s">
        <v>365</v>
      </c>
      <c r="C61" s="281">
        <f>+C59-C60</f>
        <v>261550429</v>
      </c>
      <c r="D61" s="281">
        <f>+D59-D60</f>
        <v>269048590</v>
      </c>
      <c r="E61" s="281">
        <f>+E59-E60</f>
        <v>289142856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354</v>
      </c>
      <c r="B63" s="16" t="s">
        <v>367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368</v>
      </c>
      <c r="C65" s="284">
        <f>IF(C67=0,0,(C66/C67)*100)</f>
        <v>27.142618567265377</v>
      </c>
      <c r="D65" s="284">
        <f>IF(D67=0,0,(D66/D67)*100)</f>
        <v>21.030814139247386</v>
      </c>
      <c r="E65" s="284">
        <f>IF(E67=0,0,(E66/E67)*100)</f>
        <v>18.214987550307306</v>
      </c>
    </row>
    <row r="66" spans="1:5" ht="24" customHeight="1" x14ac:dyDescent="0.2">
      <c r="A66" s="17">
        <v>2</v>
      </c>
      <c r="B66" s="45" t="s">
        <v>67</v>
      </c>
      <c r="C66" s="281">
        <f>+C32</f>
        <v>71476482</v>
      </c>
      <c r="D66" s="281">
        <f>+D32</f>
        <v>55161657</v>
      </c>
      <c r="E66" s="281">
        <f>+E32</f>
        <v>51601261</v>
      </c>
    </row>
    <row r="67" spans="1:5" ht="24" customHeight="1" x14ac:dyDescent="0.2">
      <c r="A67" s="17">
        <v>3</v>
      </c>
      <c r="B67" s="45" t="s">
        <v>43</v>
      </c>
      <c r="C67" s="281">
        <v>263336722</v>
      </c>
      <c r="D67" s="281">
        <v>262289689</v>
      </c>
      <c r="E67" s="281">
        <v>283290125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369</v>
      </c>
      <c r="C69" s="284">
        <f>IF(C75=0,0,(C72/C75)*100)</f>
        <v>13.105421203286358</v>
      </c>
      <c r="D69" s="284">
        <f>IF(D75=0,0,(D72/D75)*100)</f>
        <v>7.3963999764152506</v>
      </c>
      <c r="E69" s="284">
        <f>IF(E75=0,0,(E72/E75)*100)</f>
        <v>10.605155130874639</v>
      </c>
    </row>
    <row r="70" spans="1:5" ht="24" customHeight="1" x14ac:dyDescent="0.2">
      <c r="A70" s="17">
        <v>5</v>
      </c>
      <c r="B70" s="45" t="s">
        <v>370</v>
      </c>
      <c r="C70" s="281">
        <f>+C28</f>
        <v>4752825</v>
      </c>
      <c r="D70" s="281">
        <f>+D28</f>
        <v>-1298919</v>
      </c>
      <c r="E70" s="281">
        <f>+E28</f>
        <v>3727156</v>
      </c>
    </row>
    <row r="71" spans="1:5" ht="24" customHeight="1" x14ac:dyDescent="0.2">
      <c r="A71" s="17">
        <v>6</v>
      </c>
      <c r="B71" s="45" t="s">
        <v>359</v>
      </c>
      <c r="C71" s="176">
        <f>+C47</f>
        <v>12555983</v>
      </c>
      <c r="D71" s="176">
        <f>+D47</f>
        <v>11898918</v>
      </c>
      <c r="E71" s="176">
        <f>+E47</f>
        <v>11811633</v>
      </c>
    </row>
    <row r="72" spans="1:5" ht="24" customHeight="1" x14ac:dyDescent="0.2">
      <c r="A72" s="17">
        <v>7</v>
      </c>
      <c r="B72" s="45" t="s">
        <v>371</v>
      </c>
      <c r="C72" s="281">
        <f>+C70+C71</f>
        <v>17308808</v>
      </c>
      <c r="D72" s="281">
        <f>+D70+D71</f>
        <v>10599999</v>
      </c>
      <c r="E72" s="281">
        <f>+E70+E71</f>
        <v>15538789</v>
      </c>
    </row>
    <row r="73" spans="1:5" ht="24" customHeight="1" x14ac:dyDescent="0.2">
      <c r="A73" s="17">
        <v>8</v>
      </c>
      <c r="B73" s="45" t="s">
        <v>54</v>
      </c>
      <c r="C73" s="270">
        <f>+C40</f>
        <v>50340567</v>
      </c>
      <c r="D73" s="270">
        <f>+D40</f>
        <v>56677785</v>
      </c>
      <c r="E73" s="270">
        <f>+E40</f>
        <v>58979342</v>
      </c>
    </row>
    <row r="74" spans="1:5" ht="24" customHeight="1" x14ac:dyDescent="0.2">
      <c r="A74" s="17">
        <v>9</v>
      </c>
      <c r="B74" s="45" t="s">
        <v>58</v>
      </c>
      <c r="C74" s="281">
        <v>81733082</v>
      </c>
      <c r="D74" s="281">
        <v>86635165</v>
      </c>
      <c r="E74" s="281">
        <v>87541749</v>
      </c>
    </row>
    <row r="75" spans="1:5" ht="24" customHeight="1" x14ac:dyDescent="0.2">
      <c r="A75" s="17">
        <v>10</v>
      </c>
      <c r="B75" s="285" t="s">
        <v>372</v>
      </c>
      <c r="C75" s="270">
        <f>+C73+C74</f>
        <v>132073649</v>
      </c>
      <c r="D75" s="270">
        <f>+D73+D74</f>
        <v>143312950</v>
      </c>
      <c r="E75" s="270">
        <f>+E73+E74</f>
        <v>146521091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373</v>
      </c>
      <c r="C77" s="286">
        <f>IF(C80=0,0,(C78/C80)*100)</f>
        <v>53.347245345597351</v>
      </c>
      <c r="D77" s="286">
        <f>IF(D80=0,0,(D78/D80)*100)</f>
        <v>61.098100633031116</v>
      </c>
      <c r="E77" s="286">
        <f>IF(E80=0,0,(E78/E80)*100)</f>
        <v>62.914945565716884</v>
      </c>
    </row>
    <row r="78" spans="1:5" ht="24" customHeight="1" x14ac:dyDescent="0.2">
      <c r="A78" s="17">
        <v>12</v>
      </c>
      <c r="B78" s="45" t="s">
        <v>58</v>
      </c>
      <c r="C78" s="270">
        <f>+C74</f>
        <v>81733082</v>
      </c>
      <c r="D78" s="270">
        <f>+D74</f>
        <v>86635165</v>
      </c>
      <c r="E78" s="270">
        <f>+E74</f>
        <v>87541749</v>
      </c>
    </row>
    <row r="79" spans="1:5" ht="24" customHeight="1" x14ac:dyDescent="0.2">
      <c r="A79" s="17">
        <v>13</v>
      </c>
      <c r="B79" s="45" t="s">
        <v>67</v>
      </c>
      <c r="C79" s="270">
        <f>+C32</f>
        <v>71476482</v>
      </c>
      <c r="D79" s="270">
        <f>+D32</f>
        <v>55161657</v>
      </c>
      <c r="E79" s="270">
        <f>+E32</f>
        <v>51601261</v>
      </c>
    </row>
    <row r="80" spans="1:5" ht="24" customHeight="1" x14ac:dyDescent="0.2">
      <c r="A80" s="17">
        <v>14</v>
      </c>
      <c r="B80" s="45" t="s">
        <v>374</v>
      </c>
      <c r="C80" s="270">
        <f>+C78+C79</f>
        <v>153209564</v>
      </c>
      <c r="D80" s="270">
        <f>+D78+D79</f>
        <v>141796822</v>
      </c>
      <c r="E80" s="270">
        <f>+E78+E79</f>
        <v>139143010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FILING&amp;R&amp;8EASTERN CT HEALTH NETWORK , INC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506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507</v>
      </c>
      <c r="E6" s="126" t="s">
        <v>508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509</v>
      </c>
      <c r="I7" s="126" t="s">
        <v>509</v>
      </c>
      <c r="J7" s="125"/>
      <c r="K7" s="289"/>
    </row>
    <row r="8" spans="1:11" ht="15.75" customHeight="1" x14ac:dyDescent="0.25">
      <c r="A8" s="287"/>
      <c r="B8" s="126"/>
      <c r="C8" s="126" t="s">
        <v>510</v>
      </c>
      <c r="D8" s="126" t="s">
        <v>511</v>
      </c>
      <c r="E8" s="126" t="s">
        <v>512</v>
      </c>
      <c r="F8" s="126" t="s">
        <v>513</v>
      </c>
      <c r="G8" s="126" t="s">
        <v>514</v>
      </c>
      <c r="H8" s="126" t="s">
        <v>515</v>
      </c>
      <c r="I8" s="126" t="s">
        <v>516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517</v>
      </c>
      <c r="D9" s="292" t="s">
        <v>518</v>
      </c>
      <c r="E9" s="292" t="s">
        <v>519</v>
      </c>
      <c r="F9" s="292" t="s">
        <v>520</v>
      </c>
      <c r="G9" s="292" t="s">
        <v>521</v>
      </c>
      <c r="H9" s="292" t="s">
        <v>520</v>
      </c>
      <c r="I9" s="292" t="s">
        <v>521</v>
      </c>
      <c r="J9" s="125"/>
      <c r="K9" s="56"/>
    </row>
    <row r="10" spans="1:11" ht="15.75" customHeight="1" x14ac:dyDescent="0.25">
      <c r="A10" s="293" t="s">
        <v>519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522</v>
      </c>
      <c r="C11" s="296">
        <v>10587</v>
      </c>
      <c r="D11" s="296">
        <v>2519</v>
      </c>
      <c r="E11" s="296">
        <v>2384</v>
      </c>
      <c r="F11" s="297">
        <v>38</v>
      </c>
      <c r="G11" s="297">
        <v>81</v>
      </c>
      <c r="H11" s="298">
        <f>IF(F11=0,0,$C11/(F11*365))</f>
        <v>0.76330209084354728</v>
      </c>
      <c r="I11" s="298">
        <f>IF(G11=0,0,$C11/(G11*365))</f>
        <v>0.35809233891425674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523</v>
      </c>
      <c r="C13" s="296">
        <v>2469</v>
      </c>
      <c r="D13" s="296">
        <v>299</v>
      </c>
      <c r="E13" s="296">
        <v>0</v>
      </c>
      <c r="F13" s="297">
        <v>9</v>
      </c>
      <c r="G13" s="297">
        <v>9</v>
      </c>
      <c r="H13" s="298">
        <f>IF(F13=0,0,$C13/(F13*365))</f>
        <v>0.75159817351598168</v>
      </c>
      <c r="I13" s="298">
        <f>IF(G13=0,0,$C13/(G13*365))</f>
        <v>0.75159817351598168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524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525</v>
      </c>
      <c r="C16" s="296">
        <v>0</v>
      </c>
      <c r="D16" s="296">
        <v>0</v>
      </c>
      <c r="E16" s="296">
        <v>0</v>
      </c>
      <c r="F16" s="297">
        <v>0</v>
      </c>
      <c r="G16" s="297">
        <v>0</v>
      </c>
      <c r="H16" s="298">
        <f t="shared" si="0"/>
        <v>0</v>
      </c>
      <c r="I16" s="298">
        <f t="shared" si="0"/>
        <v>0</v>
      </c>
      <c r="J16" s="125"/>
      <c r="K16" s="299"/>
    </row>
    <row r="17" spans="1:11" ht="15.75" customHeight="1" x14ac:dyDescent="0.25">
      <c r="A17" s="293"/>
      <c r="B17" s="135" t="s">
        <v>526</v>
      </c>
      <c r="C17" s="300">
        <f>SUM(C15:C16)</f>
        <v>0</v>
      </c>
      <c r="D17" s="300">
        <f>SUM(D15:D16)</f>
        <v>0</v>
      </c>
      <c r="E17" s="300">
        <f>SUM(E15:E16)</f>
        <v>0</v>
      </c>
      <c r="F17" s="300">
        <f>SUM(F15:F16)</f>
        <v>0</v>
      </c>
      <c r="G17" s="300">
        <f>SUM(G15:G16)</f>
        <v>0</v>
      </c>
      <c r="H17" s="301">
        <f t="shared" si="0"/>
        <v>0</v>
      </c>
      <c r="I17" s="301">
        <f t="shared" si="0"/>
        <v>0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527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528</v>
      </c>
      <c r="C21" s="296">
        <v>0</v>
      </c>
      <c r="D21" s="296">
        <v>0</v>
      </c>
      <c r="E21" s="296">
        <v>0</v>
      </c>
      <c r="F21" s="297">
        <v>0</v>
      </c>
      <c r="G21" s="297">
        <v>12</v>
      </c>
      <c r="H21" s="298">
        <f>IF(F21=0,0,$C21/(F21*365))</f>
        <v>0</v>
      </c>
      <c r="I21" s="298">
        <f>IF(G21=0,0,$C21/(G21*365))</f>
        <v>0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529</v>
      </c>
      <c r="C23" s="296">
        <v>0</v>
      </c>
      <c r="D23" s="296">
        <v>0</v>
      </c>
      <c r="E23" s="296">
        <v>0</v>
      </c>
      <c r="F23" s="297">
        <v>0</v>
      </c>
      <c r="G23" s="297">
        <v>16</v>
      </c>
      <c r="H23" s="298">
        <f>IF(F23=0,0,$C23/(F23*365))</f>
        <v>0</v>
      </c>
      <c r="I23" s="298">
        <f>IF(G23=0,0,$C23/(G23*365))</f>
        <v>0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307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530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531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532</v>
      </c>
      <c r="C31" s="300">
        <f>SUM(C10:C29)-C17-C23</f>
        <v>13056</v>
      </c>
      <c r="D31" s="300">
        <f>SUM(D10:D29)-D13-D17-D23</f>
        <v>2519</v>
      </c>
      <c r="E31" s="300">
        <f>SUM(E10:E29)-E17-E23</f>
        <v>2384</v>
      </c>
      <c r="F31" s="300">
        <f>SUM(F10:F29)-F17-F23</f>
        <v>47</v>
      </c>
      <c r="G31" s="300">
        <f>SUM(G10:G29)-G17-G23</f>
        <v>102</v>
      </c>
      <c r="H31" s="301">
        <f>IF(F31=0,0,$C31/(F31*365))</f>
        <v>0.76106091518507724</v>
      </c>
      <c r="I31" s="301">
        <f>IF(G31=0,0,$C31/(G31*365))</f>
        <v>0.35068493150684932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533</v>
      </c>
      <c r="C33" s="300">
        <f>SUM(C10:C29)-C17</f>
        <v>13056</v>
      </c>
      <c r="D33" s="300">
        <f>SUM(D10:D29)-D13-D17</f>
        <v>2519</v>
      </c>
      <c r="E33" s="300">
        <f>SUM(E10:E29)-E17</f>
        <v>2384</v>
      </c>
      <c r="F33" s="300">
        <f>SUM(F10:F29)-F17</f>
        <v>47</v>
      </c>
      <c r="G33" s="300">
        <f>SUM(G10:G29)-G17</f>
        <v>118</v>
      </c>
      <c r="H33" s="301">
        <f>IF(F33=0,0,$C33/(F33*365))</f>
        <v>0.76106091518507724</v>
      </c>
      <c r="I33" s="301">
        <f>IF(G33=0,0,$C33/(G33*365))</f>
        <v>0.3031344323194799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534</v>
      </c>
      <c r="C36" s="300">
        <f t="shared" ref="C36:I36" si="1">+C33</f>
        <v>13056</v>
      </c>
      <c r="D36" s="300">
        <f t="shared" si="1"/>
        <v>2519</v>
      </c>
      <c r="E36" s="300">
        <f t="shared" si="1"/>
        <v>2384</v>
      </c>
      <c r="F36" s="300">
        <f t="shared" si="1"/>
        <v>47</v>
      </c>
      <c r="G36" s="300">
        <f t="shared" si="1"/>
        <v>118</v>
      </c>
      <c r="H36" s="301">
        <f t="shared" si="1"/>
        <v>0.76106091518507724</v>
      </c>
      <c r="I36" s="301">
        <f t="shared" si="1"/>
        <v>0.3031344323194799</v>
      </c>
      <c r="J36" s="125"/>
      <c r="K36" s="299"/>
    </row>
    <row r="37" spans="1:11" ht="15.75" customHeight="1" x14ac:dyDescent="0.25">
      <c r="A37" s="293"/>
      <c r="B37" s="135" t="s">
        <v>535</v>
      </c>
      <c r="C37" s="300">
        <v>12370</v>
      </c>
      <c r="D37" s="300">
        <v>2515</v>
      </c>
      <c r="E37" s="300">
        <v>2145</v>
      </c>
      <c r="F37" s="302">
        <v>66</v>
      </c>
      <c r="G37" s="302">
        <v>118</v>
      </c>
      <c r="H37" s="301">
        <f>IF(F37=0,0,$C37/(F37*365))</f>
        <v>0.51349107513491077</v>
      </c>
      <c r="I37" s="301">
        <f>IF(G37=0,0,$C37/(G37*365))</f>
        <v>0.28720687253308569</v>
      </c>
      <c r="J37" s="125"/>
      <c r="K37" s="299"/>
    </row>
    <row r="38" spans="1:11" ht="15.75" customHeight="1" x14ac:dyDescent="0.25">
      <c r="A38" s="293"/>
      <c r="B38" s="135" t="s">
        <v>536</v>
      </c>
      <c r="C38" s="300">
        <f t="shared" ref="C38:I38" si="2">+C36-C37</f>
        <v>686</v>
      </c>
      <c r="D38" s="300">
        <f t="shared" si="2"/>
        <v>4</v>
      </c>
      <c r="E38" s="300">
        <f t="shared" si="2"/>
        <v>239</v>
      </c>
      <c r="F38" s="300">
        <f t="shared" si="2"/>
        <v>-19</v>
      </c>
      <c r="G38" s="300">
        <f t="shared" si="2"/>
        <v>0</v>
      </c>
      <c r="H38" s="301">
        <f t="shared" si="2"/>
        <v>0.24756984005016647</v>
      </c>
      <c r="I38" s="301">
        <f t="shared" si="2"/>
        <v>1.5927559786394208E-2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537</v>
      </c>
      <c r="C40" s="148">
        <f t="shared" ref="C40:I40" si="3">IF(C37=0,0,C38/C37)</f>
        <v>5.5456750202101862E-2</v>
      </c>
      <c r="D40" s="148">
        <f t="shared" si="3"/>
        <v>1.5904572564612327E-3</v>
      </c>
      <c r="E40" s="148">
        <f t="shared" si="3"/>
        <v>0.11142191142191142</v>
      </c>
      <c r="F40" s="148">
        <f t="shared" si="3"/>
        <v>-0.2878787878787879</v>
      </c>
      <c r="G40" s="148">
        <f t="shared" si="3"/>
        <v>0</v>
      </c>
      <c r="H40" s="148">
        <f t="shared" si="3"/>
        <v>0.48213075560295149</v>
      </c>
      <c r="I40" s="148">
        <f t="shared" si="3"/>
        <v>5.5456750202101737E-2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538</v>
      </c>
      <c r="C42" s="295">
        <v>118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539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519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4" t="s">
        <v>540</v>
      </c>
      <c r="B46" s="305"/>
      <c r="C46" s="125"/>
      <c r="D46" s="125"/>
      <c r="E46" s="125"/>
      <c r="F46" s="125"/>
      <c r="G46" s="125"/>
      <c r="H46" s="125"/>
      <c r="I46" s="125"/>
      <c r="J46" s="125"/>
      <c r="K46" s="299"/>
    </row>
    <row r="47" spans="1:11" ht="15.75" customHeight="1" x14ac:dyDescent="0.25">
      <c r="A47" s="306"/>
      <c r="B47" s="305"/>
      <c r="C47" s="305"/>
      <c r="D47" s="305"/>
      <c r="E47" s="305"/>
      <c r="F47" s="305"/>
      <c r="G47" s="305"/>
      <c r="H47" s="305"/>
      <c r="I47" s="305"/>
    </row>
    <row r="48" spans="1:11" ht="15" customHeight="1" x14ac:dyDescent="0.25">
      <c r="B48" s="26"/>
      <c r="C48" s="48"/>
    </row>
  </sheetData>
  <printOptions horizontalCentered="1" gridLines="1"/>
  <pageMargins left="0.5" right="0.5" top="0.5" bottom="0.5" header="0.25" footer="0.25"/>
  <pageSetup paperSize="9" scale="74" orientation="landscape" horizontalDpi="1200" verticalDpi="1200" r:id="rId1"/>
  <headerFooter>
    <oddHeader>&amp;LOFFICE OF HEALTH CARE ACCESS&amp;CTWELVE MONTHS ACTUAL FILING&amp;RROCKVILLE GENERAL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541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542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543</v>
      </c>
      <c r="C12" s="296">
        <v>1870</v>
      </c>
      <c r="D12" s="296">
        <v>1817</v>
      </c>
      <c r="E12" s="296">
        <f>+D12-C12</f>
        <v>-53</v>
      </c>
      <c r="F12" s="316">
        <f>IF(C12=0,0,+E12/C12)</f>
        <v>-2.8342245989304814E-2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544</v>
      </c>
      <c r="C13" s="296">
        <v>4960</v>
      </c>
      <c r="D13" s="296">
        <v>4447</v>
      </c>
      <c r="E13" s="296">
        <f>+D13-C13</f>
        <v>-513</v>
      </c>
      <c r="F13" s="316">
        <f>IF(C13=0,0,+E13/C13)</f>
        <v>-0.10342741935483871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545</v>
      </c>
      <c r="C14" s="296">
        <v>1929</v>
      </c>
      <c r="D14" s="296">
        <v>1729</v>
      </c>
      <c r="E14" s="296">
        <f>+D14-C14</f>
        <v>-200</v>
      </c>
      <c r="F14" s="316">
        <f>IF(C14=0,0,+E14/C14)</f>
        <v>-0.10368066355624676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546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547</v>
      </c>
      <c r="C16" s="300">
        <f>SUM(C12:C15)</f>
        <v>8759</v>
      </c>
      <c r="D16" s="300">
        <f>SUM(D12:D15)</f>
        <v>7993</v>
      </c>
      <c r="E16" s="300">
        <f>+D16-C16</f>
        <v>-766</v>
      </c>
      <c r="F16" s="309">
        <f>IF(C16=0,0,+E16/C16)</f>
        <v>-8.7452905582829088E-2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548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543</v>
      </c>
      <c r="C19" s="296">
        <v>222</v>
      </c>
      <c r="D19" s="296">
        <v>234</v>
      </c>
      <c r="E19" s="296">
        <f>+D19-C19</f>
        <v>12</v>
      </c>
      <c r="F19" s="316">
        <f>IF(C19=0,0,+E19/C19)</f>
        <v>5.4054054054054057E-2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544</v>
      </c>
      <c r="C20" s="296">
        <v>1595</v>
      </c>
      <c r="D20" s="296">
        <v>1496</v>
      </c>
      <c r="E20" s="296">
        <f>+D20-C20</f>
        <v>-99</v>
      </c>
      <c r="F20" s="316">
        <f>IF(C20=0,0,+E20/C20)</f>
        <v>-6.2068965517241378E-2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545</v>
      </c>
      <c r="C21" s="296">
        <v>16</v>
      </c>
      <c r="D21" s="296">
        <v>15</v>
      </c>
      <c r="E21" s="296">
        <f>+D21-C21</f>
        <v>-1</v>
      </c>
      <c r="F21" s="316">
        <f>IF(C21=0,0,+E21/C21)</f>
        <v>-6.25E-2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546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549</v>
      </c>
      <c r="C23" s="300">
        <f>SUM(C19:C22)</f>
        <v>1833</v>
      </c>
      <c r="D23" s="300">
        <f>SUM(D19:D22)</f>
        <v>1745</v>
      </c>
      <c r="E23" s="300">
        <f>+D23-C23</f>
        <v>-88</v>
      </c>
      <c r="F23" s="309">
        <f>IF(C23=0,0,+E23/C23)</f>
        <v>-4.8008728859792689E-2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550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543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544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545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546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551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333</v>
      </c>
      <c r="B32" s="291" t="s">
        <v>552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543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544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545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546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553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554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555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354</v>
      </c>
      <c r="B42" s="291" t="s">
        <v>556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557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558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559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366</v>
      </c>
      <c r="B47" s="291" t="s">
        <v>560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557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558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561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378</v>
      </c>
      <c r="B52" s="291" t="s">
        <v>562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563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564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565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382</v>
      </c>
      <c r="B57" s="291" t="s">
        <v>566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567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568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569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570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571</v>
      </c>
      <c r="C63" s="296">
        <v>631</v>
      </c>
      <c r="D63" s="296">
        <v>635</v>
      </c>
      <c r="E63" s="296">
        <f>+D63-C63</f>
        <v>4</v>
      </c>
      <c r="F63" s="316">
        <f>IF(C63=0,0,+E63/C63)</f>
        <v>6.3391442155309036E-3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572</v>
      </c>
      <c r="C64" s="296">
        <v>1629</v>
      </c>
      <c r="D64" s="296">
        <v>1653</v>
      </c>
      <c r="E64" s="296">
        <f>+D64-C64</f>
        <v>24</v>
      </c>
      <c r="F64" s="316">
        <f>IF(C64=0,0,+E64/C64)</f>
        <v>1.4732965009208104E-2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573</v>
      </c>
      <c r="C65" s="300">
        <f>SUM(C63:C64)</f>
        <v>2260</v>
      </c>
      <c r="D65" s="300">
        <f>SUM(D63:D64)</f>
        <v>2288</v>
      </c>
      <c r="E65" s="300">
        <f>+D65-C65</f>
        <v>28</v>
      </c>
      <c r="F65" s="309">
        <f>IF(C65=0,0,+E65/C65)</f>
        <v>1.2389380530973451E-2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408</v>
      </c>
      <c r="B67" s="291" t="s">
        <v>574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575</v>
      </c>
      <c r="C68" s="296">
        <v>188</v>
      </c>
      <c r="D68" s="296">
        <v>182</v>
      </c>
      <c r="E68" s="296">
        <f>+D68-C68</f>
        <v>-6</v>
      </c>
      <c r="F68" s="316">
        <f>IF(C68=0,0,+E68/C68)</f>
        <v>-3.1914893617021274E-2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576</v>
      </c>
      <c r="C69" s="296">
        <v>2560</v>
      </c>
      <c r="D69" s="296">
        <v>2625</v>
      </c>
      <c r="E69" s="296">
        <f>+D69-C69</f>
        <v>65</v>
      </c>
      <c r="F69" s="318">
        <f>IF(C69=0,0,+E69/C69)</f>
        <v>2.5390625E-2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577</v>
      </c>
      <c r="C70" s="300">
        <f>SUM(C68:C69)</f>
        <v>2748</v>
      </c>
      <c r="D70" s="300">
        <f>SUM(D68:D69)</f>
        <v>2807</v>
      </c>
      <c r="E70" s="300">
        <f>+D70-C70</f>
        <v>59</v>
      </c>
      <c r="F70" s="309">
        <f>IF(C70=0,0,+E70/C70)</f>
        <v>2.1470160116448325E-2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424</v>
      </c>
      <c r="B72" s="291" t="s">
        <v>578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579</v>
      </c>
      <c r="C73" s="319">
        <v>2066</v>
      </c>
      <c r="D73" s="319">
        <v>2144</v>
      </c>
      <c r="E73" s="296">
        <f>+D73-C73</f>
        <v>78</v>
      </c>
      <c r="F73" s="316">
        <f>IF(C73=0,0,+E73/C73)</f>
        <v>3.7754114230396901E-2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580</v>
      </c>
      <c r="C74" s="319">
        <v>24397</v>
      </c>
      <c r="D74" s="319">
        <v>24278</v>
      </c>
      <c r="E74" s="296">
        <f>+D74-C74</f>
        <v>-119</v>
      </c>
      <c r="F74" s="316">
        <f>IF(C74=0,0,+E74/C74)</f>
        <v>-4.877648891257122E-3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440</v>
      </c>
      <c r="C75" s="300">
        <f>SUM(C73:C74)</f>
        <v>26463</v>
      </c>
      <c r="D75" s="300">
        <f>SUM(D73:D74)</f>
        <v>26422</v>
      </c>
      <c r="E75" s="300">
        <f>SUM(E73:E74)</f>
        <v>-41</v>
      </c>
      <c r="F75" s="309">
        <f>IF(C75=0,0,+E75/C75)</f>
        <v>-1.5493330310244492E-3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433</v>
      </c>
      <c r="B78" s="291" t="s">
        <v>581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582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583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584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585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586</v>
      </c>
      <c r="C83" s="319">
        <v>1626</v>
      </c>
      <c r="D83" s="319">
        <v>1716</v>
      </c>
      <c r="E83" s="296">
        <f t="shared" si="0"/>
        <v>90</v>
      </c>
      <c r="F83" s="316">
        <f t="shared" si="1"/>
        <v>5.5350553505535055E-2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587</v>
      </c>
      <c r="C84" s="320">
        <f>SUM(C79:C83)</f>
        <v>1626</v>
      </c>
      <c r="D84" s="320">
        <f>SUM(D79:D83)</f>
        <v>1716</v>
      </c>
      <c r="E84" s="300">
        <f t="shared" si="0"/>
        <v>90</v>
      </c>
      <c r="F84" s="309">
        <f t="shared" si="1"/>
        <v>5.5350553505535055E-2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436</v>
      </c>
      <c r="B86" s="291" t="s">
        <v>588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589</v>
      </c>
      <c r="C87" s="322">
        <v>21095</v>
      </c>
      <c r="D87" s="322">
        <v>36009</v>
      </c>
      <c r="E87" s="323">
        <f t="shared" ref="E87:E92" si="2">+D87-C87</f>
        <v>14914</v>
      </c>
      <c r="F87" s="318">
        <f t="shared" ref="F87:F92" si="3">IF(C87=0,0,+E87/C87)</f>
        <v>0.70699217824128946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275</v>
      </c>
      <c r="C88" s="322">
        <v>7956</v>
      </c>
      <c r="D88" s="322">
        <v>8071</v>
      </c>
      <c r="E88" s="296">
        <f t="shared" si="2"/>
        <v>115</v>
      </c>
      <c r="F88" s="316">
        <f t="shared" si="3"/>
        <v>1.4454499748617396E-2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590</v>
      </c>
      <c r="C89" s="322">
        <v>0</v>
      </c>
      <c r="D89" s="322">
        <v>0</v>
      </c>
      <c r="E89" s="296">
        <f t="shared" si="2"/>
        <v>0</v>
      </c>
      <c r="F89" s="316">
        <f t="shared" si="3"/>
        <v>0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591</v>
      </c>
      <c r="C90" s="322">
        <v>2562</v>
      </c>
      <c r="D90" s="322">
        <v>2625</v>
      </c>
      <c r="E90" s="296">
        <f t="shared" si="2"/>
        <v>63</v>
      </c>
      <c r="F90" s="316">
        <f t="shared" si="3"/>
        <v>2.4590163934426229E-2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592</v>
      </c>
      <c r="C91" s="322">
        <v>17127</v>
      </c>
      <c r="D91" s="322">
        <v>31309</v>
      </c>
      <c r="E91" s="296">
        <f t="shared" si="2"/>
        <v>14182</v>
      </c>
      <c r="F91" s="316">
        <f t="shared" si="3"/>
        <v>0.82804927891633096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593</v>
      </c>
      <c r="C92" s="320">
        <f>SUM(C87:C91)</f>
        <v>48740</v>
      </c>
      <c r="D92" s="320">
        <f>SUM(D87:D91)</f>
        <v>78014</v>
      </c>
      <c r="E92" s="300">
        <f t="shared" si="2"/>
        <v>29274</v>
      </c>
      <c r="F92" s="309">
        <f t="shared" si="3"/>
        <v>0.60061551087402543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594</v>
      </c>
      <c r="B95" s="291" t="s">
        <v>595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596</v>
      </c>
      <c r="C96" s="325">
        <v>115.1</v>
      </c>
      <c r="D96" s="325">
        <v>119</v>
      </c>
      <c r="E96" s="326">
        <f>+D96-C96</f>
        <v>3.9000000000000057</v>
      </c>
      <c r="F96" s="316">
        <f>IF(C96=0,0,+E96/C96)</f>
        <v>3.3883579496090409E-2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597</v>
      </c>
      <c r="C97" s="325">
        <v>6.6</v>
      </c>
      <c r="D97" s="325">
        <v>6.3</v>
      </c>
      <c r="E97" s="326">
        <f>+D97-C97</f>
        <v>-0.29999999999999982</v>
      </c>
      <c r="F97" s="316">
        <f>IF(C97=0,0,+E97/C97)</f>
        <v>-4.5454545454545428E-2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598</v>
      </c>
      <c r="C98" s="325">
        <v>283.39999999999998</v>
      </c>
      <c r="D98" s="325">
        <v>251.3</v>
      </c>
      <c r="E98" s="326">
        <f>+D98-C98</f>
        <v>-32.099999999999966</v>
      </c>
      <c r="F98" s="316">
        <f>IF(C98=0,0,+E98/C98)</f>
        <v>-0.11326746647847555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599</v>
      </c>
      <c r="C99" s="327">
        <f>SUM(C96:C98)</f>
        <v>405.09999999999997</v>
      </c>
      <c r="D99" s="327">
        <f>SUM(D96:D98)</f>
        <v>376.6</v>
      </c>
      <c r="E99" s="327">
        <f>+D99-C99</f>
        <v>-28.499999999999943</v>
      </c>
      <c r="F99" s="309">
        <f>IF(C99=0,0,+E99/C99)</f>
        <v>-7.0352999259441981E-2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FILING&amp;RROCKVILLE GENERAL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600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572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601</v>
      </c>
      <c r="C12" s="296">
        <v>1629</v>
      </c>
      <c r="D12" s="296">
        <v>1653</v>
      </c>
      <c r="E12" s="296">
        <f>+D12-C12</f>
        <v>24</v>
      </c>
      <c r="F12" s="316">
        <f>IF(C12=0,0,+E12/C12)</f>
        <v>1.4732965009208104E-2</v>
      </c>
    </row>
    <row r="13" spans="1:16" ht="15.75" customHeight="1" x14ac:dyDescent="0.25">
      <c r="A13" s="294"/>
      <c r="B13" s="135" t="s">
        <v>602</v>
      </c>
      <c r="C13" s="300">
        <f>SUM(C11:C12)</f>
        <v>1629</v>
      </c>
      <c r="D13" s="300">
        <f>SUM(D11:D12)</f>
        <v>1653</v>
      </c>
      <c r="E13" s="300">
        <f>+D13-C13</f>
        <v>24</v>
      </c>
      <c r="F13" s="309">
        <f>IF(C13=0,0,+E13/C13)</f>
        <v>1.4732965009208104E-2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576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601</v>
      </c>
      <c r="C16" s="296">
        <v>2560</v>
      </c>
      <c r="D16" s="296">
        <v>2625</v>
      </c>
      <c r="E16" s="296">
        <f>+D16-C16</f>
        <v>65</v>
      </c>
      <c r="F16" s="316">
        <f>IF(C16=0,0,+E16/C16)</f>
        <v>2.5390625E-2</v>
      </c>
    </row>
    <row r="17" spans="1:6" ht="15.75" customHeight="1" x14ac:dyDescent="0.25">
      <c r="A17" s="294"/>
      <c r="B17" s="135" t="s">
        <v>603</v>
      </c>
      <c r="C17" s="300">
        <f>SUM(C15:C16)</f>
        <v>2560</v>
      </c>
      <c r="D17" s="300">
        <f>SUM(D15:D16)</f>
        <v>2625</v>
      </c>
      <c r="E17" s="300">
        <f>+D17-C17</f>
        <v>65</v>
      </c>
      <c r="F17" s="309">
        <f>IF(C17=0,0,+E17/C17)</f>
        <v>2.5390625E-2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604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605</v>
      </c>
      <c r="C20" s="296">
        <v>24397</v>
      </c>
      <c r="D20" s="296">
        <v>24278</v>
      </c>
      <c r="E20" s="296">
        <f>+D20-C20</f>
        <v>-119</v>
      </c>
      <c r="F20" s="316">
        <f>IF(C20=0,0,+E20/C20)</f>
        <v>-4.877648891257122E-3</v>
      </c>
    </row>
    <row r="21" spans="1:6" ht="15.75" customHeight="1" x14ac:dyDescent="0.25">
      <c r="A21" s="294"/>
      <c r="B21" s="135" t="s">
        <v>606</v>
      </c>
      <c r="C21" s="300">
        <f>SUM(C19:C20)</f>
        <v>24397</v>
      </c>
      <c r="D21" s="300">
        <f>SUM(D19:D20)</f>
        <v>24278</v>
      </c>
      <c r="E21" s="300">
        <f>+D21-C21</f>
        <v>-119</v>
      </c>
      <c r="F21" s="309">
        <f>IF(C21=0,0,+E21/C21)</f>
        <v>-4.877648891257122E-3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607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608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609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FILING&amp;RROCKVILLE GENERAL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610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611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612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613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614</v>
      </c>
      <c r="D7" s="341" t="s">
        <v>614</v>
      </c>
      <c r="E7" s="341" t="s">
        <v>615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616</v>
      </c>
      <c r="D8" s="344" t="s">
        <v>617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618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619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620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621</v>
      </c>
      <c r="C15" s="361">
        <v>36910536</v>
      </c>
      <c r="D15" s="361">
        <v>46740240</v>
      </c>
      <c r="E15" s="361">
        <f t="shared" ref="E15:E24" si="0">D15-C15</f>
        <v>9829704</v>
      </c>
      <c r="F15" s="362">
        <f t="shared" ref="F15:F24" si="1">IF(C15=0,0,E15/C15)</f>
        <v>0.26631160273586924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622</v>
      </c>
      <c r="C16" s="361">
        <v>14956892</v>
      </c>
      <c r="D16" s="361">
        <v>15389796</v>
      </c>
      <c r="E16" s="361">
        <f t="shared" si="0"/>
        <v>432904</v>
      </c>
      <c r="F16" s="362">
        <f t="shared" si="1"/>
        <v>2.894344627212659E-2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623</v>
      </c>
      <c r="C17" s="366">
        <f>IF(C15=0,0,C16/C15)</f>
        <v>0.4052201246820149</v>
      </c>
      <c r="D17" s="366">
        <f>IF(LN_IA1=0,0,LN_IA2/LN_IA1)</f>
        <v>0.32926223742111721</v>
      </c>
      <c r="E17" s="367">
        <f t="shared" si="0"/>
        <v>-7.5957887260897694E-2</v>
      </c>
      <c r="F17" s="362">
        <f t="shared" si="1"/>
        <v>-0.18744845735513138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1581</v>
      </c>
      <c r="D18" s="369">
        <v>1655</v>
      </c>
      <c r="E18" s="369">
        <f t="shared" si="0"/>
        <v>74</v>
      </c>
      <c r="F18" s="362">
        <f t="shared" si="1"/>
        <v>4.6805819101834283E-2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624</v>
      </c>
      <c r="C19" s="372">
        <v>1.4683999999999999</v>
      </c>
      <c r="D19" s="372">
        <v>1.49234</v>
      </c>
      <c r="E19" s="373">
        <f t="shared" si="0"/>
        <v>2.3940000000000072E-2</v>
      </c>
      <c r="F19" s="362">
        <f t="shared" si="1"/>
        <v>1.6303459547807188E-2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625</v>
      </c>
      <c r="C20" s="376">
        <f>C18*C19</f>
        <v>2321.5403999999999</v>
      </c>
      <c r="D20" s="376">
        <f>LN_IA4*LN_IA5</f>
        <v>2469.8227000000002</v>
      </c>
      <c r="E20" s="376">
        <f t="shared" si="0"/>
        <v>148.2823000000003</v>
      </c>
      <c r="F20" s="362">
        <f t="shared" si="1"/>
        <v>6.3872375427970293E-2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626</v>
      </c>
      <c r="C21" s="378">
        <f>IF(C20=0,0,C16/C20)</f>
        <v>6442.6585038106596</v>
      </c>
      <c r="D21" s="378">
        <f>IF(LN_IA6=0,0,LN_IA2/LN_IA6)</f>
        <v>6231.1339190460913</v>
      </c>
      <c r="E21" s="378">
        <f t="shared" si="0"/>
        <v>-211.52458476456832</v>
      </c>
      <c r="F21" s="362">
        <f t="shared" si="1"/>
        <v>-3.2831879051086942E-2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8640</v>
      </c>
      <c r="D22" s="369">
        <v>9334</v>
      </c>
      <c r="E22" s="369">
        <f t="shared" si="0"/>
        <v>694</v>
      </c>
      <c r="F22" s="362">
        <f t="shared" si="1"/>
        <v>8.0324074074074076E-2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627</v>
      </c>
      <c r="C23" s="378">
        <f>IF(C22=0,0,C16/C22)</f>
        <v>1731.1217592592593</v>
      </c>
      <c r="D23" s="378">
        <f>IF(LN_IA8=0,0,LN_IA2/LN_IA8)</f>
        <v>1648.7889436468824</v>
      </c>
      <c r="E23" s="378">
        <f t="shared" si="0"/>
        <v>-82.332815612376862</v>
      </c>
      <c r="F23" s="362">
        <f t="shared" si="1"/>
        <v>-4.7560383994946012E-2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628</v>
      </c>
      <c r="C24" s="379">
        <f>IF(C18=0,0,C22/C18)</f>
        <v>5.4648956356736242</v>
      </c>
      <c r="D24" s="379">
        <f>IF(LN_IA4=0,0,LN_IA8/LN_IA4)</f>
        <v>5.6398791540785496</v>
      </c>
      <c r="E24" s="379">
        <f t="shared" si="0"/>
        <v>0.17498351840492532</v>
      </c>
      <c r="F24" s="362">
        <f t="shared" si="1"/>
        <v>3.2019553541456823E-2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629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630</v>
      </c>
      <c r="C27" s="361">
        <v>30465162</v>
      </c>
      <c r="D27" s="361">
        <v>39612350</v>
      </c>
      <c r="E27" s="361">
        <f t="shared" ref="E27:E32" si="2">D27-C27</f>
        <v>9147188</v>
      </c>
      <c r="F27" s="362">
        <f t="shared" ref="F27:F32" si="3">IF(C27=0,0,E27/C27)</f>
        <v>0.30025075855496847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631</v>
      </c>
      <c r="C28" s="361">
        <v>7879322</v>
      </c>
      <c r="D28" s="361">
        <v>9596522</v>
      </c>
      <c r="E28" s="361">
        <f t="shared" si="2"/>
        <v>1717200</v>
      </c>
      <c r="F28" s="362">
        <f t="shared" si="3"/>
        <v>0.21793753320399903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632</v>
      </c>
      <c r="C29" s="366">
        <f>IF(C27=0,0,C28/C27)</f>
        <v>0.25863384543958767</v>
      </c>
      <c r="D29" s="366">
        <f>IF(LN_IA11=0,0,LN_IA12/LN_IA11)</f>
        <v>0.24226086056495008</v>
      </c>
      <c r="E29" s="367">
        <f t="shared" si="2"/>
        <v>-1.6372984874637592E-2</v>
      </c>
      <c r="F29" s="362">
        <f t="shared" si="3"/>
        <v>-6.3305654551163659E-2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633</v>
      </c>
      <c r="C30" s="366">
        <f>IF(C15=0,0,C27/C15)</f>
        <v>0.82537847729981484</v>
      </c>
      <c r="D30" s="366">
        <f>IF(LN_IA1=0,0,LN_IA11/LN_IA1)</f>
        <v>0.84749992725754086</v>
      </c>
      <c r="E30" s="367">
        <f t="shared" si="2"/>
        <v>2.2121449957726025E-2</v>
      </c>
      <c r="F30" s="362">
        <f t="shared" si="3"/>
        <v>2.6801583232573815E-2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634</v>
      </c>
      <c r="C31" s="376">
        <f>C30*C18</f>
        <v>1304.9233726110072</v>
      </c>
      <c r="D31" s="376">
        <f>LN_IA14*LN_IA4</f>
        <v>1402.6123796112302</v>
      </c>
      <c r="E31" s="376">
        <f t="shared" si="2"/>
        <v>97.689007000223</v>
      </c>
      <c r="F31" s="362">
        <f t="shared" si="3"/>
        <v>7.4861872390834805E-2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635</v>
      </c>
      <c r="C32" s="378">
        <f>IF(C31=0,0,C28/C31)</f>
        <v>6038.1491859053376</v>
      </c>
      <c r="D32" s="378">
        <f>IF(LN_IA15=0,0,LN_IA12/LN_IA15)</f>
        <v>6841.8917011554695</v>
      </c>
      <c r="E32" s="378">
        <f t="shared" si="2"/>
        <v>803.74251525013187</v>
      </c>
      <c r="F32" s="362">
        <f t="shared" si="3"/>
        <v>0.13311074147129104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636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637</v>
      </c>
      <c r="C35" s="361">
        <f>C15+C27</f>
        <v>67375698</v>
      </c>
      <c r="D35" s="361">
        <f>LN_IA1+LN_IA11</f>
        <v>86352590</v>
      </c>
      <c r="E35" s="361">
        <f>D35-C35</f>
        <v>18976892</v>
      </c>
      <c r="F35" s="362">
        <f>IF(C35=0,0,E35/C35)</f>
        <v>0.28165781673979839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638</v>
      </c>
      <c r="C36" s="361">
        <f>C16+C28</f>
        <v>22836214</v>
      </c>
      <c r="D36" s="361">
        <f>LN_IA2+LN_IA12</f>
        <v>24986318</v>
      </c>
      <c r="E36" s="361">
        <f>D36-C36</f>
        <v>2150104</v>
      </c>
      <c r="F36" s="362">
        <f>IF(C36=0,0,E36/C36)</f>
        <v>9.4153260255837506E-2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639</v>
      </c>
      <c r="C37" s="361">
        <f>C35-C36</f>
        <v>44539484</v>
      </c>
      <c r="D37" s="361">
        <f>LN_IA17-LN_IA18</f>
        <v>61366272</v>
      </c>
      <c r="E37" s="361">
        <f>D37-C37</f>
        <v>16826788</v>
      </c>
      <c r="F37" s="362">
        <f>IF(C37=0,0,E37/C37)</f>
        <v>0.37779485725519407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640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641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621</v>
      </c>
      <c r="C42" s="361">
        <v>12352100</v>
      </c>
      <c r="D42" s="361">
        <v>16101706</v>
      </c>
      <c r="E42" s="361">
        <f t="shared" ref="E42:E53" si="4">D42-C42</f>
        <v>3749606</v>
      </c>
      <c r="F42" s="362">
        <f t="shared" ref="F42:F53" si="5">IF(C42=0,0,E42/C42)</f>
        <v>0.30356020433772396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622</v>
      </c>
      <c r="C43" s="361">
        <v>7212608</v>
      </c>
      <c r="D43" s="361">
        <v>7991645</v>
      </c>
      <c r="E43" s="361">
        <f t="shared" si="4"/>
        <v>779037</v>
      </c>
      <c r="F43" s="362">
        <f t="shared" si="5"/>
        <v>0.10801044504290265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623</v>
      </c>
      <c r="C44" s="366">
        <f>IF(C42=0,0,C43/C42)</f>
        <v>0.58391755248095467</v>
      </c>
      <c r="D44" s="366">
        <f>IF(LN_IB1=0,0,LN_IB2/LN_IB1)</f>
        <v>0.49632287411035825</v>
      </c>
      <c r="E44" s="367">
        <f t="shared" si="4"/>
        <v>-8.7594678370596424E-2</v>
      </c>
      <c r="F44" s="362">
        <f t="shared" si="5"/>
        <v>-0.15001206591311272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663</v>
      </c>
      <c r="D45" s="369">
        <v>594</v>
      </c>
      <c r="E45" s="369">
        <f t="shared" si="4"/>
        <v>-69</v>
      </c>
      <c r="F45" s="362">
        <f t="shared" si="5"/>
        <v>-0.10407239819004525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624</v>
      </c>
      <c r="C46" s="372">
        <v>1.3484</v>
      </c>
      <c r="D46" s="372">
        <v>1.6539200000000001</v>
      </c>
      <c r="E46" s="373">
        <f t="shared" si="4"/>
        <v>0.30552000000000001</v>
      </c>
      <c r="F46" s="362">
        <f t="shared" si="5"/>
        <v>0.22657964995550281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625</v>
      </c>
      <c r="C47" s="376">
        <f>C45*C46</f>
        <v>893.98919999999998</v>
      </c>
      <c r="D47" s="376">
        <f>LN_IB4*LN_IB5</f>
        <v>982.42848000000004</v>
      </c>
      <c r="E47" s="376">
        <f t="shared" si="4"/>
        <v>88.439280000000053</v>
      </c>
      <c r="F47" s="362">
        <f t="shared" si="5"/>
        <v>9.8926564213527468E-2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626</v>
      </c>
      <c r="C48" s="378">
        <f>IF(C47=0,0,C43/C47)</f>
        <v>8067.8916479080508</v>
      </c>
      <c r="D48" s="378">
        <f>IF(LN_IB6=0,0,LN_IB2/LN_IB6)</f>
        <v>8134.5819697735142</v>
      </c>
      <c r="E48" s="378">
        <f t="shared" si="4"/>
        <v>66.690321865463375</v>
      </c>
      <c r="F48" s="362">
        <f t="shared" si="5"/>
        <v>8.2661399998791157E-3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642</v>
      </c>
      <c r="C49" s="378">
        <f>C21-C48</f>
        <v>-1625.2331440973912</v>
      </c>
      <c r="D49" s="378">
        <f>LN_IA7-LN_IB7</f>
        <v>-1903.4480507274229</v>
      </c>
      <c r="E49" s="378">
        <f t="shared" si="4"/>
        <v>-278.21490663003169</v>
      </c>
      <c r="F49" s="362">
        <f t="shared" si="5"/>
        <v>0.17118461289105966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643</v>
      </c>
      <c r="C50" s="391">
        <f>C49*C47</f>
        <v>-1452940.8783051115</v>
      </c>
      <c r="D50" s="391">
        <f>LN_IB8*LN_IB6</f>
        <v>-1870001.5752351051</v>
      </c>
      <c r="E50" s="391">
        <f t="shared" si="4"/>
        <v>-417060.69692999357</v>
      </c>
      <c r="F50" s="362">
        <f t="shared" si="5"/>
        <v>0.28704588270412235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2633</v>
      </c>
      <c r="D51" s="369">
        <v>2351</v>
      </c>
      <c r="E51" s="369">
        <f t="shared" si="4"/>
        <v>-282</v>
      </c>
      <c r="F51" s="362">
        <f t="shared" si="5"/>
        <v>-0.10710216483099126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627</v>
      </c>
      <c r="C52" s="378">
        <f>IF(C51=0,0,C43/C51)</f>
        <v>2739.3118116217242</v>
      </c>
      <c r="D52" s="378">
        <f>IF(LN_IB10=0,0,LN_IB2/LN_IB10)</f>
        <v>3399.2535091450445</v>
      </c>
      <c r="E52" s="378">
        <f t="shared" si="4"/>
        <v>659.94169752332027</v>
      </c>
      <c r="F52" s="362">
        <f t="shared" si="5"/>
        <v>0.24091514325732138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628</v>
      </c>
      <c r="C53" s="379">
        <f>IF(C45=0,0,C51/C45)</f>
        <v>3.9713423831070891</v>
      </c>
      <c r="D53" s="379">
        <f>IF(LN_IB4=0,0,LN_IB10/LN_IB4)</f>
        <v>3.957912457912458</v>
      </c>
      <c r="E53" s="379">
        <f t="shared" si="4"/>
        <v>-1.3429925194631043E-2</v>
      </c>
      <c r="F53" s="362">
        <f t="shared" si="5"/>
        <v>-3.3817092305508472E-3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644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630</v>
      </c>
      <c r="C56" s="361">
        <v>44728204</v>
      </c>
      <c r="D56" s="361">
        <v>54651449</v>
      </c>
      <c r="E56" s="361">
        <f t="shared" ref="E56:E63" si="6">D56-C56</f>
        <v>9923245</v>
      </c>
      <c r="F56" s="362">
        <f t="shared" ref="F56:F63" si="7">IF(C56=0,0,E56/C56)</f>
        <v>0.22185654939330898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631</v>
      </c>
      <c r="C57" s="361">
        <v>23939105</v>
      </c>
      <c r="D57" s="361">
        <v>26006860</v>
      </c>
      <c r="E57" s="361">
        <f t="shared" si="6"/>
        <v>2067755</v>
      </c>
      <c r="F57" s="362">
        <f t="shared" si="7"/>
        <v>8.6375618470281162E-2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632</v>
      </c>
      <c r="C58" s="366">
        <f>IF(C56=0,0,C57/C56)</f>
        <v>0.53521274853781298</v>
      </c>
      <c r="D58" s="366">
        <f>IF(LN_IB13=0,0,LN_IB14/LN_IB13)</f>
        <v>0.47586771212598589</v>
      </c>
      <c r="E58" s="367">
        <f t="shared" si="6"/>
        <v>-5.934503641182709E-2</v>
      </c>
      <c r="F58" s="362">
        <f t="shared" si="7"/>
        <v>-0.11088120859220217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633</v>
      </c>
      <c r="C59" s="366">
        <f>IF(C42=0,0,C56/C42)</f>
        <v>3.6211011892714597</v>
      </c>
      <c r="D59" s="366">
        <f>IF(LN_IB1=0,0,LN_IB13/LN_IB1)</f>
        <v>3.394140285507635</v>
      </c>
      <c r="E59" s="367">
        <f t="shared" si="6"/>
        <v>-0.22696090376382472</v>
      </c>
      <c r="F59" s="362">
        <f t="shared" si="7"/>
        <v>-6.2677316070664041E-2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634</v>
      </c>
      <c r="C60" s="376">
        <f>C59*C45</f>
        <v>2400.7900884869778</v>
      </c>
      <c r="D60" s="376">
        <f>LN_IB16*LN_IB4</f>
        <v>2016.1193295915352</v>
      </c>
      <c r="E60" s="376">
        <f t="shared" si="6"/>
        <v>-384.67075889544253</v>
      </c>
      <c r="F60" s="362">
        <f t="shared" si="7"/>
        <v>-0.1602267356651198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635</v>
      </c>
      <c r="C61" s="378">
        <f>IF(C60=0,0,C57/C60)</f>
        <v>9971.3444814689592</v>
      </c>
      <c r="D61" s="378">
        <f>IF(LN_IB17=0,0,LN_IB14/LN_IB17)</f>
        <v>12899.464638965084</v>
      </c>
      <c r="E61" s="378">
        <f t="shared" si="6"/>
        <v>2928.1201574961251</v>
      </c>
      <c r="F61" s="362">
        <f t="shared" si="7"/>
        <v>0.29365349506657101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645</v>
      </c>
      <c r="C62" s="378">
        <f>C32-C61</f>
        <v>-3933.1952955636216</v>
      </c>
      <c r="D62" s="378">
        <f>LN_IA16-LN_IB18</f>
        <v>-6057.5729378096148</v>
      </c>
      <c r="E62" s="378">
        <f t="shared" si="6"/>
        <v>-2124.3776422459932</v>
      </c>
      <c r="F62" s="362">
        <f t="shared" si="7"/>
        <v>0.54011496572319906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646</v>
      </c>
      <c r="C63" s="361">
        <f>C62*C60</f>
        <v>-9442776.2816727515</v>
      </c>
      <c r="D63" s="361">
        <f>LN_IB19*LN_IB17</f>
        <v>-12212789.890328547</v>
      </c>
      <c r="E63" s="361">
        <f t="shared" si="6"/>
        <v>-2770013.6086557955</v>
      </c>
      <c r="F63" s="362">
        <f t="shared" si="7"/>
        <v>0.29334737221637303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647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637</v>
      </c>
      <c r="C66" s="361">
        <f>C42+C56</f>
        <v>57080304</v>
      </c>
      <c r="D66" s="361">
        <f>LN_IB1+LN_IB13</f>
        <v>70753155</v>
      </c>
      <c r="E66" s="361">
        <f>D66-C66</f>
        <v>13672851</v>
      </c>
      <c r="F66" s="362">
        <f>IF(C66=0,0,E66/C66)</f>
        <v>0.23953710898246092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638</v>
      </c>
      <c r="C67" s="361">
        <f>C43+C57</f>
        <v>31151713</v>
      </c>
      <c r="D67" s="361">
        <f>LN_IB2+LN_IB14</f>
        <v>33998505</v>
      </c>
      <c r="E67" s="361">
        <f>D67-C67</f>
        <v>2846792</v>
      </c>
      <c r="F67" s="362">
        <f>IF(C67=0,0,E67/C67)</f>
        <v>9.1384765903563633E-2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639</v>
      </c>
      <c r="C68" s="361">
        <f>C66-C67</f>
        <v>25928591</v>
      </c>
      <c r="D68" s="361">
        <f>LN_IB21-LN_IB22</f>
        <v>36754650</v>
      </c>
      <c r="E68" s="361">
        <f>D68-C68</f>
        <v>10826059</v>
      </c>
      <c r="F68" s="362">
        <f>IF(C68=0,0,E68/C68)</f>
        <v>0.41753364075973121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648</v>
      </c>
      <c r="C70" s="353">
        <f>C50+C63</f>
        <v>-10895717.159977863</v>
      </c>
      <c r="D70" s="353">
        <f>LN_IB9+LN_IB20</f>
        <v>-14082791.465563651</v>
      </c>
      <c r="E70" s="361">
        <f>D70-C70</f>
        <v>-3187074.3055857886</v>
      </c>
      <c r="F70" s="362">
        <f>IF(C70=0,0,E70/C70)</f>
        <v>0.29250707032782997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649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650</v>
      </c>
      <c r="C73" s="400">
        <v>57080304</v>
      </c>
      <c r="D73" s="400">
        <v>70753155</v>
      </c>
      <c r="E73" s="400">
        <f>D73-C73</f>
        <v>13672851</v>
      </c>
      <c r="F73" s="401">
        <f>IF(C73=0,0,E73/C73)</f>
        <v>0.23953710898246092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651</v>
      </c>
      <c r="C74" s="400">
        <v>31183459</v>
      </c>
      <c r="D74" s="400">
        <v>33998505</v>
      </c>
      <c r="E74" s="400">
        <f>D74-C74</f>
        <v>2815046</v>
      </c>
      <c r="F74" s="401">
        <f>IF(C74=0,0,E74/C74)</f>
        <v>9.0273692857485766E-2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652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653</v>
      </c>
      <c r="C76" s="353">
        <f>C73-C74</f>
        <v>25896845</v>
      </c>
      <c r="D76" s="353">
        <f>LN_IB32-LN_IB33</f>
        <v>36754650</v>
      </c>
      <c r="E76" s="400">
        <f>D76-C76</f>
        <v>10857805</v>
      </c>
      <c r="F76" s="401">
        <f>IF(C76=0,0,E76/C76)</f>
        <v>0.4192713436714009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654</v>
      </c>
      <c r="C77" s="366">
        <f>IF(C73=0,0,C76/C73)</f>
        <v>0.4536914344394522</v>
      </c>
      <c r="D77" s="366">
        <f>IF(LN_IB1=0,0,LN_IB34/LN_IB32)</f>
        <v>0.51947718797840181</v>
      </c>
      <c r="E77" s="405">
        <f>D77-C77</f>
        <v>6.578575353894961E-2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655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656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621</v>
      </c>
      <c r="C83" s="361">
        <v>786334</v>
      </c>
      <c r="D83" s="361">
        <v>1107951</v>
      </c>
      <c r="E83" s="361">
        <f t="shared" ref="E83:E95" si="8">D83-C83</f>
        <v>321617</v>
      </c>
      <c r="F83" s="362">
        <f t="shared" ref="F83:F95" si="9">IF(C83=0,0,E83/C83)</f>
        <v>0.40900813140472114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622</v>
      </c>
      <c r="C84" s="361">
        <v>4157</v>
      </c>
      <c r="D84" s="361">
        <v>32437</v>
      </c>
      <c r="E84" s="361">
        <f t="shared" si="8"/>
        <v>28280</v>
      </c>
      <c r="F84" s="362">
        <f t="shared" si="9"/>
        <v>6.8029829203752703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623</v>
      </c>
      <c r="C85" s="366">
        <f>IF(C83=0,0,C84/C83)</f>
        <v>5.2865576205530984E-3</v>
      </c>
      <c r="D85" s="366">
        <f>IF(LN_IC1=0,0,LN_IC2/LN_IC1)</f>
        <v>2.927656547988133E-2</v>
      </c>
      <c r="E85" s="367">
        <f t="shared" si="8"/>
        <v>2.3990007859328231E-2</v>
      </c>
      <c r="F85" s="362">
        <f t="shared" si="9"/>
        <v>4.5379261101893205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63</v>
      </c>
      <c r="D86" s="369">
        <v>58</v>
      </c>
      <c r="E86" s="369">
        <f t="shared" si="8"/>
        <v>-5</v>
      </c>
      <c r="F86" s="362">
        <f t="shared" si="9"/>
        <v>-7.9365079365079361E-2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624</v>
      </c>
      <c r="C87" s="372">
        <v>1.2078</v>
      </c>
      <c r="D87" s="372">
        <v>1.12859</v>
      </c>
      <c r="E87" s="373">
        <f t="shared" si="8"/>
        <v>-7.9210000000000003E-2</v>
      </c>
      <c r="F87" s="362">
        <f t="shared" si="9"/>
        <v>-6.5582050008279519E-2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625</v>
      </c>
      <c r="C88" s="376">
        <f>C86*C87</f>
        <v>76.091399999999993</v>
      </c>
      <c r="D88" s="376">
        <f>LN_IC4*LN_IC5</f>
        <v>65.458219999999997</v>
      </c>
      <c r="E88" s="376">
        <f t="shared" si="8"/>
        <v>-10.633179999999996</v>
      </c>
      <c r="F88" s="362">
        <f t="shared" si="9"/>
        <v>-0.13974220476952715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626</v>
      </c>
      <c r="C89" s="378">
        <f>IF(C88=0,0,C84/C88)</f>
        <v>54.631666653524583</v>
      </c>
      <c r="D89" s="378">
        <f>IF(LN_IC6=0,0,LN_IC2/LN_IC6)</f>
        <v>495.53745885543481</v>
      </c>
      <c r="E89" s="378">
        <f t="shared" si="8"/>
        <v>440.90579220191023</v>
      </c>
      <c r="F89" s="362">
        <f t="shared" si="9"/>
        <v>8.0705169585644523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657</v>
      </c>
      <c r="C90" s="378">
        <f>C48-C89</f>
        <v>8013.2599812545259</v>
      </c>
      <c r="D90" s="378">
        <f>LN_IB7-LN_IC7</f>
        <v>7639.0445109180791</v>
      </c>
      <c r="E90" s="378">
        <f t="shared" si="8"/>
        <v>-374.21547033644674</v>
      </c>
      <c r="F90" s="362">
        <f t="shared" si="9"/>
        <v>-4.6699529431448818E-2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658</v>
      </c>
      <c r="C91" s="378">
        <f>C21-C89</f>
        <v>6388.0268371571347</v>
      </c>
      <c r="D91" s="378">
        <f>LN_IA7-LN_IC7</f>
        <v>5735.5964601906562</v>
      </c>
      <c r="E91" s="378">
        <f t="shared" si="8"/>
        <v>-652.43037696647843</v>
      </c>
      <c r="F91" s="362">
        <f t="shared" si="9"/>
        <v>-0.10213331809620727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643</v>
      </c>
      <c r="C92" s="353">
        <f>C91*C88</f>
        <v>486073.90527685836</v>
      </c>
      <c r="D92" s="353">
        <f>LN_IC9*LN_IC6</f>
        <v>375441.93492238119</v>
      </c>
      <c r="E92" s="353">
        <f t="shared" si="8"/>
        <v>-110631.97035447718</v>
      </c>
      <c r="F92" s="362">
        <f t="shared" si="9"/>
        <v>-0.227603187814543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314</v>
      </c>
      <c r="D93" s="369">
        <v>298</v>
      </c>
      <c r="E93" s="369">
        <f t="shared" si="8"/>
        <v>-16</v>
      </c>
      <c r="F93" s="362">
        <f t="shared" si="9"/>
        <v>-5.0955414012738856E-2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627</v>
      </c>
      <c r="C94" s="411">
        <f>IF(C93=0,0,C84/C93)</f>
        <v>13.238853503184714</v>
      </c>
      <c r="D94" s="411">
        <f>IF(LN_IC11=0,0,LN_IC2/LN_IC11)</f>
        <v>108.84899328859061</v>
      </c>
      <c r="E94" s="411">
        <f t="shared" si="8"/>
        <v>95.610139785405892</v>
      </c>
      <c r="F94" s="362">
        <f t="shared" si="9"/>
        <v>7.2219350234826676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628</v>
      </c>
      <c r="C95" s="379">
        <f>IF(C86=0,0,C93/C86)</f>
        <v>4.9841269841269842</v>
      </c>
      <c r="D95" s="379">
        <f>IF(LN_IC4=0,0,LN_IC11/LN_IC4)</f>
        <v>5.1379310344827589</v>
      </c>
      <c r="E95" s="379">
        <f t="shared" si="8"/>
        <v>0.15380405035577471</v>
      </c>
      <c r="F95" s="362">
        <f t="shared" si="9"/>
        <v>3.0858774434438876E-2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659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630</v>
      </c>
      <c r="C98" s="361">
        <v>3146480</v>
      </c>
      <c r="D98" s="361">
        <v>4649453</v>
      </c>
      <c r="E98" s="361">
        <f t="shared" ref="E98:E106" si="10">D98-C98</f>
        <v>1502973</v>
      </c>
      <c r="F98" s="362">
        <f t="shared" ref="F98:F106" si="11">IF(C98=0,0,E98/C98)</f>
        <v>0.47766806081716712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631</v>
      </c>
      <c r="C99" s="361">
        <v>183945</v>
      </c>
      <c r="D99" s="361">
        <v>224697</v>
      </c>
      <c r="E99" s="361">
        <f t="shared" si="10"/>
        <v>40752</v>
      </c>
      <c r="F99" s="362">
        <f t="shared" si="11"/>
        <v>0.22154448340536573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632</v>
      </c>
      <c r="C100" s="366">
        <f>IF(C98=0,0,C99/C98)</f>
        <v>5.8460565457272892E-2</v>
      </c>
      <c r="D100" s="366">
        <f>IF(LN_IC14=0,0,LN_IC15/LN_IC14)</f>
        <v>4.8327620474924685E-2</v>
      </c>
      <c r="E100" s="367">
        <f t="shared" si="10"/>
        <v>-1.0132944982348208E-2</v>
      </c>
      <c r="F100" s="362">
        <f t="shared" si="11"/>
        <v>-0.17332957529728443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633</v>
      </c>
      <c r="C101" s="366">
        <f>IF(C83=0,0,C98/C83)</f>
        <v>4.0014548525181413</v>
      </c>
      <c r="D101" s="366">
        <f>IF(LN_IC1=0,0,LN_IC14/LN_IC1)</f>
        <v>4.1964428029759437</v>
      </c>
      <c r="E101" s="367">
        <f t="shared" si="10"/>
        <v>0.19498795045780248</v>
      </c>
      <c r="F101" s="362">
        <f t="shared" si="11"/>
        <v>4.8729264141289842E-2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634</v>
      </c>
      <c r="C102" s="376">
        <f>C101*C86</f>
        <v>252.09165570864289</v>
      </c>
      <c r="D102" s="376">
        <f>LN_IC17*LN_IC4</f>
        <v>243.39368257260475</v>
      </c>
      <c r="E102" s="376">
        <f t="shared" si="10"/>
        <v>-8.6979731360381436</v>
      </c>
      <c r="F102" s="362">
        <f t="shared" si="11"/>
        <v>-3.4503217139764834E-2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635</v>
      </c>
      <c r="C103" s="378">
        <f>IF(C102=0,0,C99/C102)</f>
        <v>729.67508378220987</v>
      </c>
      <c r="D103" s="378">
        <f>IF(LN_IC18=0,0,LN_IC15/LN_IC18)</f>
        <v>923.18336953126345</v>
      </c>
      <c r="E103" s="378">
        <f t="shared" si="10"/>
        <v>193.50828574905358</v>
      </c>
      <c r="F103" s="362">
        <f t="shared" si="11"/>
        <v>0.26519788060463784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660</v>
      </c>
      <c r="C104" s="378">
        <f>C61-C103</f>
        <v>9241.66939768675</v>
      </c>
      <c r="D104" s="378">
        <f>LN_IB18-LN_IC19</f>
        <v>11976.281269433821</v>
      </c>
      <c r="E104" s="378">
        <f t="shared" si="10"/>
        <v>2734.6118717470708</v>
      </c>
      <c r="F104" s="362">
        <f t="shared" si="11"/>
        <v>0.29590020526286753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661</v>
      </c>
      <c r="C105" s="378">
        <f>C32-C103</f>
        <v>5308.4741021231275</v>
      </c>
      <c r="D105" s="378">
        <f>LN_IA16-LN_IC19</f>
        <v>5918.708331624206</v>
      </c>
      <c r="E105" s="378">
        <f t="shared" si="10"/>
        <v>610.23422950107852</v>
      </c>
      <c r="F105" s="362">
        <f t="shared" si="11"/>
        <v>0.11495473421581071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646</v>
      </c>
      <c r="C106" s="361">
        <f>C105*C102</f>
        <v>1338222.0256906706</v>
      </c>
      <c r="D106" s="361">
        <f>LN_IC21*LN_IC18</f>
        <v>1440576.2169071729</v>
      </c>
      <c r="E106" s="361">
        <f t="shared" si="10"/>
        <v>102354.19121650234</v>
      </c>
      <c r="F106" s="362">
        <f t="shared" si="11"/>
        <v>7.6485208920153785E-2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662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637</v>
      </c>
      <c r="C109" s="361">
        <f>C83+C98</f>
        <v>3932814</v>
      </c>
      <c r="D109" s="361">
        <f>LN_IC1+LN_IC14</f>
        <v>5757404</v>
      </c>
      <c r="E109" s="361">
        <f>D109-C109</f>
        <v>1824590</v>
      </c>
      <c r="F109" s="362">
        <f>IF(C109=0,0,E109/C109)</f>
        <v>0.46394006937526155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638</v>
      </c>
      <c r="C110" s="361">
        <f>C84+C99</f>
        <v>188102</v>
      </c>
      <c r="D110" s="361">
        <f>LN_IC2+LN_IC15</f>
        <v>257134</v>
      </c>
      <c r="E110" s="361">
        <f>D110-C110</f>
        <v>69032</v>
      </c>
      <c r="F110" s="362">
        <f>IF(C110=0,0,E110/C110)</f>
        <v>0.3669923764765925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639</v>
      </c>
      <c r="C111" s="361">
        <f>C109-C110</f>
        <v>3744712</v>
      </c>
      <c r="D111" s="361">
        <f>LN_IC23-LN_IC24</f>
        <v>5500270</v>
      </c>
      <c r="E111" s="361">
        <f>D111-C111</f>
        <v>1755558</v>
      </c>
      <c r="F111" s="362">
        <f>IF(C111=0,0,E111/C111)</f>
        <v>0.46880988444505212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648</v>
      </c>
      <c r="C113" s="361">
        <f>C92+C106</f>
        <v>1824295.9309675288</v>
      </c>
      <c r="D113" s="361">
        <f>LN_IC10+LN_IC22</f>
        <v>1816018.1518295542</v>
      </c>
      <c r="E113" s="361">
        <f>D113-C113</f>
        <v>-8277.779137974605</v>
      </c>
      <c r="F113" s="362">
        <f>IF(C113=0,0,E113/C113)</f>
        <v>-4.5375199261582649E-3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333</v>
      </c>
      <c r="B115" s="356" t="s">
        <v>663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664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621</v>
      </c>
      <c r="C118" s="361">
        <v>4845721</v>
      </c>
      <c r="D118" s="361">
        <v>6989943</v>
      </c>
      <c r="E118" s="361">
        <f t="shared" ref="E118:E130" si="12">D118-C118</f>
        <v>2144222</v>
      </c>
      <c r="F118" s="362">
        <f t="shared" ref="F118:F130" si="13">IF(C118=0,0,E118/C118)</f>
        <v>0.44249803073680882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622</v>
      </c>
      <c r="C119" s="361">
        <v>1391859</v>
      </c>
      <c r="D119" s="361">
        <v>1772603</v>
      </c>
      <c r="E119" s="361">
        <f t="shared" si="12"/>
        <v>380744</v>
      </c>
      <c r="F119" s="362">
        <f t="shared" si="13"/>
        <v>0.27355069730482756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623</v>
      </c>
      <c r="C120" s="366">
        <f>IF(C118=0,0,C119/C118)</f>
        <v>0.28723465506990603</v>
      </c>
      <c r="D120" s="366">
        <f>IF(LN_ID1=0,0,LN_1D2/LN_ID1)</f>
        <v>0.25359334117602961</v>
      </c>
      <c r="E120" s="367">
        <f t="shared" si="12"/>
        <v>-3.3641313893876423E-2</v>
      </c>
      <c r="F120" s="362">
        <f t="shared" si="13"/>
        <v>-0.117121361576962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268</v>
      </c>
      <c r="D121" s="369">
        <v>266</v>
      </c>
      <c r="E121" s="369">
        <f t="shared" si="12"/>
        <v>-2</v>
      </c>
      <c r="F121" s="362">
        <f t="shared" si="13"/>
        <v>-7.462686567164179E-3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624</v>
      </c>
      <c r="C122" s="372">
        <v>1.103</v>
      </c>
      <c r="D122" s="372">
        <v>1.18327</v>
      </c>
      <c r="E122" s="373">
        <f t="shared" si="12"/>
        <v>8.0270000000000064E-2</v>
      </c>
      <c r="F122" s="362">
        <f t="shared" si="13"/>
        <v>7.2774252039891268E-2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625</v>
      </c>
      <c r="C123" s="376">
        <f>C121*C122</f>
        <v>295.60399999999998</v>
      </c>
      <c r="D123" s="376">
        <f>LN_ID4*LN_ID5</f>
        <v>314.74982</v>
      </c>
      <c r="E123" s="376">
        <f t="shared" si="12"/>
        <v>19.145820000000015</v>
      </c>
      <c r="F123" s="362">
        <f t="shared" si="13"/>
        <v>6.4768474039593557E-2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626</v>
      </c>
      <c r="C124" s="378">
        <f>IF(C123=0,0,C119/C123)</f>
        <v>4708.5255950528408</v>
      </c>
      <c r="D124" s="378">
        <f>IF(LN_ID6=0,0,LN_1D2/LN_ID6)</f>
        <v>5631.7839991139626</v>
      </c>
      <c r="E124" s="378">
        <f t="shared" si="12"/>
        <v>923.25840406112184</v>
      </c>
      <c r="F124" s="362">
        <f t="shared" si="13"/>
        <v>0.19608227361685621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665</v>
      </c>
      <c r="C125" s="378">
        <f>C48-C124</f>
        <v>3359.36605285521</v>
      </c>
      <c r="D125" s="378">
        <f>LN_IB7-LN_ID7</f>
        <v>2502.7979706595515</v>
      </c>
      <c r="E125" s="378">
        <f t="shared" si="12"/>
        <v>-856.56808219565846</v>
      </c>
      <c r="F125" s="362">
        <f t="shared" si="13"/>
        <v>-0.25497908495790139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666</v>
      </c>
      <c r="C126" s="378">
        <f>C21-C124</f>
        <v>1734.1329087578188</v>
      </c>
      <c r="D126" s="378">
        <f>LN_IA7-LN_ID7</f>
        <v>599.34991993212861</v>
      </c>
      <c r="E126" s="378">
        <f t="shared" si="12"/>
        <v>-1134.7829888256902</v>
      </c>
      <c r="F126" s="362">
        <f t="shared" si="13"/>
        <v>-0.65438063201196583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643</v>
      </c>
      <c r="C127" s="391">
        <f>C126*C123</f>
        <v>512616.62436044624</v>
      </c>
      <c r="D127" s="391">
        <f>LN_ID9*LN_ID6</f>
        <v>188645.27941565189</v>
      </c>
      <c r="E127" s="391">
        <f t="shared" si="12"/>
        <v>-323971.34494479431</v>
      </c>
      <c r="F127" s="362">
        <f t="shared" si="13"/>
        <v>-0.6319953929488521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1087</v>
      </c>
      <c r="D128" s="369">
        <v>1362</v>
      </c>
      <c r="E128" s="369">
        <f t="shared" si="12"/>
        <v>275</v>
      </c>
      <c r="F128" s="362">
        <f t="shared" si="13"/>
        <v>0.25298988040478382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627</v>
      </c>
      <c r="C129" s="378">
        <f>IF(C128=0,0,C119/C128)</f>
        <v>1280.4590616375344</v>
      </c>
      <c r="D129" s="378">
        <f>IF(LN_ID11=0,0,LN_1D2/LN_ID11)</f>
        <v>1301.4706314243758</v>
      </c>
      <c r="E129" s="378">
        <f t="shared" si="12"/>
        <v>21.011569786841392</v>
      </c>
      <c r="F129" s="362">
        <f t="shared" si="13"/>
        <v>1.6409403796143571E-2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628</v>
      </c>
      <c r="C130" s="379">
        <f>IF(C121=0,0,C128/C121)</f>
        <v>4.0559701492537314</v>
      </c>
      <c r="D130" s="379">
        <f>IF(LN_ID4=0,0,LN_ID11/LN_ID4)</f>
        <v>5.1203007518796992</v>
      </c>
      <c r="E130" s="379">
        <f t="shared" si="12"/>
        <v>1.0643306026259678</v>
      </c>
      <c r="F130" s="362">
        <f t="shared" si="13"/>
        <v>0.26241085694918065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667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630</v>
      </c>
      <c r="C133" s="361">
        <v>18272578</v>
      </c>
      <c r="D133" s="361">
        <v>23256228</v>
      </c>
      <c r="E133" s="361">
        <f t="shared" ref="E133:E141" si="14">D133-C133</f>
        <v>4983650</v>
      </c>
      <c r="F133" s="362">
        <f t="shared" ref="F133:F141" si="15">IF(C133=0,0,E133/C133)</f>
        <v>0.27273929272596348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631</v>
      </c>
      <c r="C134" s="361">
        <v>4333204</v>
      </c>
      <c r="D134" s="361">
        <v>4149278</v>
      </c>
      <c r="E134" s="361">
        <f t="shared" si="14"/>
        <v>-183926</v>
      </c>
      <c r="F134" s="362">
        <f t="shared" si="15"/>
        <v>-4.2445728380200887E-2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632</v>
      </c>
      <c r="C135" s="366">
        <f>IF(C133=0,0,C134/C133)</f>
        <v>0.23714245466622169</v>
      </c>
      <c r="D135" s="366">
        <f>IF(LN_ID14=0,0,LN_ID15/LN_ID14)</f>
        <v>0.17841577748549764</v>
      </c>
      <c r="E135" s="367">
        <f t="shared" si="14"/>
        <v>-5.8726677180724052E-2</v>
      </c>
      <c r="F135" s="362">
        <f t="shared" si="15"/>
        <v>-0.24764303491494985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633</v>
      </c>
      <c r="C136" s="366">
        <f>IF(C118=0,0,C133/C118)</f>
        <v>3.770868772675934</v>
      </c>
      <c r="D136" s="366">
        <f>IF(LN_ID1=0,0,LN_ID14/LN_ID1)</f>
        <v>3.3270983754803152</v>
      </c>
      <c r="E136" s="367">
        <f t="shared" si="14"/>
        <v>-0.44377039719561884</v>
      </c>
      <c r="F136" s="362">
        <f t="shared" si="15"/>
        <v>-0.11768386118637181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634</v>
      </c>
      <c r="C137" s="376">
        <f>C136*C121</f>
        <v>1010.5928310771503</v>
      </c>
      <c r="D137" s="376">
        <f>LN_ID17*LN_ID4</f>
        <v>885.00816787776387</v>
      </c>
      <c r="E137" s="376">
        <f t="shared" si="14"/>
        <v>-125.58466319938645</v>
      </c>
      <c r="F137" s="362">
        <f t="shared" si="15"/>
        <v>-0.12426830998348841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635</v>
      </c>
      <c r="C138" s="378">
        <f>IF(C137=0,0,C134/C137)</f>
        <v>4287.7842259987256</v>
      </c>
      <c r="D138" s="378">
        <f>IF(LN_ID18=0,0,LN_ID15/LN_ID18)</f>
        <v>4688.4064470838794</v>
      </c>
      <c r="E138" s="378">
        <f t="shared" si="14"/>
        <v>400.6222210851538</v>
      </c>
      <c r="F138" s="362">
        <f t="shared" si="15"/>
        <v>9.3433391227106227E-2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668</v>
      </c>
      <c r="C139" s="378">
        <f>C61-C138</f>
        <v>5683.5602554702336</v>
      </c>
      <c r="D139" s="378">
        <f>LN_IB18-LN_ID19</f>
        <v>8211.0581918812059</v>
      </c>
      <c r="E139" s="378">
        <f t="shared" si="14"/>
        <v>2527.4979364109722</v>
      </c>
      <c r="F139" s="362">
        <f t="shared" si="15"/>
        <v>0.44470328857309843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669</v>
      </c>
      <c r="C140" s="378">
        <f>C32-C138</f>
        <v>1750.3649599066121</v>
      </c>
      <c r="D140" s="378">
        <f>LN_IA16-LN_ID19</f>
        <v>2153.4852540715901</v>
      </c>
      <c r="E140" s="378">
        <f t="shared" si="14"/>
        <v>403.12029416497808</v>
      </c>
      <c r="F140" s="362">
        <f t="shared" si="15"/>
        <v>0.23030642374518623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646</v>
      </c>
      <c r="C141" s="353">
        <f>C140*C137</f>
        <v>1768906.2802502657</v>
      </c>
      <c r="D141" s="353">
        <f>LN_ID21*LN_ID18</f>
        <v>1905852.0392576789</v>
      </c>
      <c r="E141" s="353">
        <f t="shared" si="14"/>
        <v>136945.75900741317</v>
      </c>
      <c r="F141" s="362">
        <f t="shared" si="15"/>
        <v>7.7418323704542463E-2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670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637</v>
      </c>
      <c r="C144" s="361">
        <f>C118+C133</f>
        <v>23118299</v>
      </c>
      <c r="D144" s="361">
        <f>LN_ID1+LN_ID14</f>
        <v>30246171</v>
      </c>
      <c r="E144" s="361">
        <f>D144-C144</f>
        <v>7127872</v>
      </c>
      <c r="F144" s="362">
        <f>IF(C144=0,0,E144/C144)</f>
        <v>0.30832164598269102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638</v>
      </c>
      <c r="C145" s="361">
        <f>C119+C134</f>
        <v>5725063</v>
      </c>
      <c r="D145" s="361">
        <f>LN_1D2+LN_ID15</f>
        <v>5921881</v>
      </c>
      <c r="E145" s="361">
        <f>D145-C145</f>
        <v>196818</v>
      </c>
      <c r="F145" s="362">
        <f>IF(C145=0,0,E145/C145)</f>
        <v>3.4378311644780155E-2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639</v>
      </c>
      <c r="C146" s="361">
        <f>C144-C145</f>
        <v>17393236</v>
      </c>
      <c r="D146" s="361">
        <f>LN_ID23-LN_ID24</f>
        <v>24324290</v>
      </c>
      <c r="E146" s="361">
        <f>D146-C146</f>
        <v>6931054</v>
      </c>
      <c r="F146" s="362">
        <f>IF(C146=0,0,E146/C146)</f>
        <v>0.39849134456635904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648</v>
      </c>
      <c r="C148" s="361">
        <f>C127+C141</f>
        <v>2281522.9046107121</v>
      </c>
      <c r="D148" s="361">
        <f>LN_ID10+LN_ID22</f>
        <v>2094497.3186733308</v>
      </c>
      <c r="E148" s="361">
        <f>D148-C148</f>
        <v>-187025.58593738126</v>
      </c>
      <c r="F148" s="415">
        <f>IF(C148=0,0,E148/C148)</f>
        <v>-8.1974011989720846E-2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354</v>
      </c>
      <c r="B150" s="356" t="s">
        <v>671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672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621</v>
      </c>
      <c r="C153" s="361">
        <v>0</v>
      </c>
      <c r="D153" s="361">
        <v>0</v>
      </c>
      <c r="E153" s="361">
        <f t="shared" ref="E153:E165" si="16">D153-C153</f>
        <v>0</v>
      </c>
      <c r="F153" s="362">
        <f t="shared" ref="F153:F165" si="17">IF(C153=0,0,E153/C153)</f>
        <v>0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622</v>
      </c>
      <c r="C154" s="361">
        <v>0</v>
      </c>
      <c r="D154" s="361">
        <v>0</v>
      </c>
      <c r="E154" s="361">
        <f t="shared" si="16"/>
        <v>0</v>
      </c>
      <c r="F154" s="362">
        <f t="shared" si="17"/>
        <v>0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623</v>
      </c>
      <c r="C155" s="366">
        <f>IF(C153=0,0,C154/C153)</f>
        <v>0</v>
      </c>
      <c r="D155" s="366">
        <f>IF(LN_IE1=0,0,LN_IE2/LN_IE1)</f>
        <v>0</v>
      </c>
      <c r="E155" s="367">
        <f t="shared" si="16"/>
        <v>0</v>
      </c>
      <c r="F155" s="362">
        <f t="shared" si="17"/>
        <v>0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0</v>
      </c>
      <c r="D156" s="419">
        <v>0</v>
      </c>
      <c r="E156" s="419">
        <f t="shared" si="16"/>
        <v>0</v>
      </c>
      <c r="F156" s="362">
        <f t="shared" si="17"/>
        <v>0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624</v>
      </c>
      <c r="C157" s="372">
        <v>0</v>
      </c>
      <c r="D157" s="372">
        <v>0</v>
      </c>
      <c r="E157" s="373">
        <f t="shared" si="16"/>
        <v>0</v>
      </c>
      <c r="F157" s="362">
        <f t="shared" si="17"/>
        <v>0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625</v>
      </c>
      <c r="C158" s="376">
        <f>C156*C157</f>
        <v>0</v>
      </c>
      <c r="D158" s="376">
        <f>LN_IE4*LN_IE5</f>
        <v>0</v>
      </c>
      <c r="E158" s="376">
        <f t="shared" si="16"/>
        <v>0</v>
      </c>
      <c r="F158" s="362">
        <f t="shared" si="17"/>
        <v>0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626</v>
      </c>
      <c r="C159" s="378">
        <f>IF(C158=0,0,C154/C158)</f>
        <v>0</v>
      </c>
      <c r="D159" s="378">
        <f>IF(LN_IE6=0,0,LN_IE2/LN_IE6)</f>
        <v>0</v>
      </c>
      <c r="E159" s="378">
        <f t="shared" si="16"/>
        <v>0</v>
      </c>
      <c r="F159" s="362">
        <f t="shared" si="17"/>
        <v>0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673</v>
      </c>
      <c r="C160" s="378">
        <f>C48-C159</f>
        <v>8067.8916479080508</v>
      </c>
      <c r="D160" s="378">
        <f>LN_IB7-LN_IE7</f>
        <v>8134.5819697735142</v>
      </c>
      <c r="E160" s="378">
        <f t="shared" si="16"/>
        <v>66.690321865463375</v>
      </c>
      <c r="F160" s="362">
        <f t="shared" si="17"/>
        <v>8.2661399998791157E-3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674</v>
      </c>
      <c r="C161" s="378">
        <f>C21-C159</f>
        <v>6442.6585038106596</v>
      </c>
      <c r="D161" s="378">
        <f>LN_IA7-LN_IE7</f>
        <v>6231.1339190460913</v>
      </c>
      <c r="E161" s="378">
        <f t="shared" si="16"/>
        <v>-211.52458476456832</v>
      </c>
      <c r="F161" s="362">
        <f t="shared" si="17"/>
        <v>-3.2831879051086942E-2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643</v>
      </c>
      <c r="C162" s="391">
        <f>C161*C158</f>
        <v>0</v>
      </c>
      <c r="D162" s="391">
        <f>LN_IE9*LN_IE6</f>
        <v>0</v>
      </c>
      <c r="E162" s="391">
        <f t="shared" si="16"/>
        <v>0</v>
      </c>
      <c r="F162" s="362">
        <f t="shared" si="17"/>
        <v>0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0</v>
      </c>
      <c r="D163" s="369">
        <v>0</v>
      </c>
      <c r="E163" s="419">
        <f t="shared" si="16"/>
        <v>0</v>
      </c>
      <c r="F163" s="362">
        <f t="shared" si="17"/>
        <v>0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627</v>
      </c>
      <c r="C164" s="378">
        <f>IF(C163=0,0,C154/C163)</f>
        <v>0</v>
      </c>
      <c r="D164" s="378">
        <f>IF(LN_IE11=0,0,LN_IE2/LN_IE11)</f>
        <v>0</v>
      </c>
      <c r="E164" s="378">
        <f t="shared" si="16"/>
        <v>0</v>
      </c>
      <c r="F164" s="362">
        <f t="shared" si="17"/>
        <v>0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628</v>
      </c>
      <c r="C165" s="379">
        <f>IF(C156=0,0,C163/C156)</f>
        <v>0</v>
      </c>
      <c r="D165" s="379">
        <f>IF(LN_IE4=0,0,LN_IE11/LN_IE4)</f>
        <v>0</v>
      </c>
      <c r="E165" s="379">
        <f t="shared" si="16"/>
        <v>0</v>
      </c>
      <c r="F165" s="362">
        <f t="shared" si="17"/>
        <v>0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675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630</v>
      </c>
      <c r="C168" s="424">
        <v>0</v>
      </c>
      <c r="D168" s="424">
        <v>0</v>
      </c>
      <c r="E168" s="424">
        <f t="shared" ref="E168:E176" si="18">D168-C168</f>
        <v>0</v>
      </c>
      <c r="F168" s="362">
        <f t="shared" ref="F168:F176" si="19">IF(C168=0,0,E168/C168)</f>
        <v>0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631</v>
      </c>
      <c r="C169" s="424">
        <v>0</v>
      </c>
      <c r="D169" s="424">
        <v>0</v>
      </c>
      <c r="E169" s="424">
        <f t="shared" si="18"/>
        <v>0</v>
      </c>
      <c r="F169" s="362">
        <f t="shared" si="19"/>
        <v>0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632</v>
      </c>
      <c r="C170" s="366">
        <f>IF(C168=0,0,C169/C168)</f>
        <v>0</v>
      </c>
      <c r="D170" s="366">
        <f>IF(LN_IE14=0,0,LN_IE15/LN_IE14)</f>
        <v>0</v>
      </c>
      <c r="E170" s="367">
        <f t="shared" si="18"/>
        <v>0</v>
      </c>
      <c r="F170" s="362">
        <f t="shared" si="19"/>
        <v>0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633</v>
      </c>
      <c r="C171" s="366">
        <f>IF(C153=0,0,C168/C153)</f>
        <v>0</v>
      </c>
      <c r="D171" s="366">
        <f>IF(LN_IE1=0,0,LN_IE14/LN_IE1)</f>
        <v>0</v>
      </c>
      <c r="E171" s="367">
        <f t="shared" si="18"/>
        <v>0</v>
      </c>
      <c r="F171" s="362">
        <f t="shared" si="19"/>
        <v>0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634</v>
      </c>
      <c r="C172" s="376">
        <f>C171*C156</f>
        <v>0</v>
      </c>
      <c r="D172" s="376">
        <f>LN_IE17*LN_IE4</f>
        <v>0</v>
      </c>
      <c r="E172" s="376">
        <f t="shared" si="18"/>
        <v>0</v>
      </c>
      <c r="F172" s="362">
        <f t="shared" si="19"/>
        <v>0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635</v>
      </c>
      <c r="C173" s="378">
        <f>IF(C172=0,0,C169/C172)</f>
        <v>0</v>
      </c>
      <c r="D173" s="378">
        <f>IF(LN_IE18=0,0,LN_IE15/LN_IE18)</f>
        <v>0</v>
      </c>
      <c r="E173" s="378">
        <f t="shared" si="18"/>
        <v>0</v>
      </c>
      <c r="F173" s="362">
        <f t="shared" si="19"/>
        <v>0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676</v>
      </c>
      <c r="C174" s="378">
        <f>C61-C173</f>
        <v>9971.3444814689592</v>
      </c>
      <c r="D174" s="378">
        <f>LN_IB18-LN_IE19</f>
        <v>12899.464638965084</v>
      </c>
      <c r="E174" s="378">
        <f t="shared" si="18"/>
        <v>2928.1201574961251</v>
      </c>
      <c r="F174" s="362">
        <f t="shared" si="19"/>
        <v>0.29365349506657101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677</v>
      </c>
      <c r="C175" s="378">
        <f>C32-C173</f>
        <v>6038.1491859053376</v>
      </c>
      <c r="D175" s="378">
        <f>LN_IA16-LN_IE19</f>
        <v>6841.8917011554695</v>
      </c>
      <c r="E175" s="378">
        <f t="shared" si="18"/>
        <v>803.74251525013187</v>
      </c>
      <c r="F175" s="362">
        <f t="shared" si="19"/>
        <v>0.13311074147129104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646</v>
      </c>
      <c r="C176" s="353">
        <f>C175*C172</f>
        <v>0</v>
      </c>
      <c r="D176" s="353">
        <f>LN_IE21*LN_IE18</f>
        <v>0</v>
      </c>
      <c r="E176" s="353">
        <f t="shared" si="18"/>
        <v>0</v>
      </c>
      <c r="F176" s="362">
        <f t="shared" si="19"/>
        <v>0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678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637</v>
      </c>
      <c r="C179" s="361">
        <f>C153+C168</f>
        <v>0</v>
      </c>
      <c r="D179" s="361">
        <f>LN_IE1+LN_IE14</f>
        <v>0</v>
      </c>
      <c r="E179" s="361">
        <f>D179-C179</f>
        <v>0</v>
      </c>
      <c r="F179" s="362">
        <f>IF(C179=0,0,E179/C179)</f>
        <v>0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638</v>
      </c>
      <c r="C180" s="361">
        <f>C154+C169</f>
        <v>0</v>
      </c>
      <c r="D180" s="361">
        <f>LN_IE15+LN_IE2</f>
        <v>0</v>
      </c>
      <c r="E180" s="361">
        <f>D180-C180</f>
        <v>0</v>
      </c>
      <c r="F180" s="362">
        <f>IF(C180=0,0,E180/C180)</f>
        <v>0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639</v>
      </c>
      <c r="C181" s="361">
        <f>C179-C180</f>
        <v>0</v>
      </c>
      <c r="D181" s="361">
        <f>LN_IE23-LN_IE24</f>
        <v>0</v>
      </c>
      <c r="E181" s="361">
        <f>D181-C181</f>
        <v>0</v>
      </c>
      <c r="F181" s="362">
        <f>IF(C181=0,0,E181/C181)</f>
        <v>0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679</v>
      </c>
      <c r="C183" s="361">
        <f>C162+C176</f>
        <v>0</v>
      </c>
      <c r="D183" s="361">
        <f>LN_IE10+LN_IE22</f>
        <v>0</v>
      </c>
      <c r="E183" s="353">
        <f>D183-C183</f>
        <v>0</v>
      </c>
      <c r="F183" s="362">
        <f>IF(C183=0,0,E183/C183)</f>
        <v>0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366</v>
      </c>
      <c r="B185" s="356" t="s">
        <v>680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681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621</v>
      </c>
      <c r="C188" s="361">
        <f>C118+C153</f>
        <v>4845721</v>
      </c>
      <c r="D188" s="361">
        <f>LN_ID1+LN_IE1</f>
        <v>6989943</v>
      </c>
      <c r="E188" s="361">
        <f t="shared" ref="E188:E200" si="20">D188-C188</f>
        <v>2144222</v>
      </c>
      <c r="F188" s="362">
        <f t="shared" ref="F188:F200" si="21">IF(C188=0,0,E188/C188)</f>
        <v>0.44249803073680882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622</v>
      </c>
      <c r="C189" s="361">
        <f>C119+C154</f>
        <v>1391859</v>
      </c>
      <c r="D189" s="361">
        <f>LN_1D2+LN_IE2</f>
        <v>1772603</v>
      </c>
      <c r="E189" s="361">
        <f t="shared" si="20"/>
        <v>380744</v>
      </c>
      <c r="F189" s="362">
        <f t="shared" si="21"/>
        <v>0.27355069730482756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623</v>
      </c>
      <c r="C190" s="366">
        <f>IF(C188=0,0,C189/C188)</f>
        <v>0.28723465506990603</v>
      </c>
      <c r="D190" s="366">
        <f>IF(LN_IF1=0,0,LN_IF2/LN_IF1)</f>
        <v>0.25359334117602961</v>
      </c>
      <c r="E190" s="367">
        <f t="shared" si="20"/>
        <v>-3.3641313893876423E-2</v>
      </c>
      <c r="F190" s="362">
        <f t="shared" si="21"/>
        <v>-0.117121361576962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268</v>
      </c>
      <c r="D191" s="369">
        <f>LN_ID4+LN_IE4</f>
        <v>266</v>
      </c>
      <c r="E191" s="369">
        <f t="shared" si="20"/>
        <v>-2</v>
      </c>
      <c r="F191" s="362">
        <f t="shared" si="21"/>
        <v>-7.462686567164179E-3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624</v>
      </c>
      <c r="C192" s="372">
        <f>IF((C121+C156)=0,0,(C123+C158)/(C121+C156))</f>
        <v>1.103</v>
      </c>
      <c r="D192" s="372">
        <f>IF((LN_ID4+LN_IE4)=0,0,(LN_ID6+LN_IE6)/(LN_ID4+LN_IE4))</f>
        <v>1.18327</v>
      </c>
      <c r="E192" s="373">
        <f t="shared" si="20"/>
        <v>8.0270000000000064E-2</v>
      </c>
      <c r="F192" s="362">
        <f t="shared" si="21"/>
        <v>7.2774252039891268E-2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625</v>
      </c>
      <c r="C193" s="376">
        <f>C123+C158</f>
        <v>295.60399999999998</v>
      </c>
      <c r="D193" s="376">
        <f>LN_IF4*LN_IF5</f>
        <v>314.74982</v>
      </c>
      <c r="E193" s="376">
        <f t="shared" si="20"/>
        <v>19.145820000000015</v>
      </c>
      <c r="F193" s="362">
        <f t="shared" si="21"/>
        <v>6.4768474039593557E-2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626</v>
      </c>
      <c r="C194" s="378">
        <f>IF(C193=0,0,C189/C193)</f>
        <v>4708.5255950528408</v>
      </c>
      <c r="D194" s="378">
        <f>IF(LN_IF6=0,0,LN_IF2/LN_IF6)</f>
        <v>5631.7839991139626</v>
      </c>
      <c r="E194" s="378">
        <f t="shared" si="20"/>
        <v>923.25840406112184</v>
      </c>
      <c r="F194" s="362">
        <f t="shared" si="21"/>
        <v>0.19608227361685621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682</v>
      </c>
      <c r="C195" s="378">
        <f>C48-C194</f>
        <v>3359.36605285521</v>
      </c>
      <c r="D195" s="378">
        <f>LN_IB7-LN_IF7</f>
        <v>2502.7979706595515</v>
      </c>
      <c r="E195" s="378">
        <f t="shared" si="20"/>
        <v>-856.56808219565846</v>
      </c>
      <c r="F195" s="362">
        <f t="shared" si="21"/>
        <v>-0.25497908495790139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683</v>
      </c>
      <c r="C196" s="378">
        <f>C21-C194</f>
        <v>1734.1329087578188</v>
      </c>
      <c r="D196" s="378">
        <f>LN_IA7-LN_IF7</f>
        <v>599.34991993212861</v>
      </c>
      <c r="E196" s="378">
        <f t="shared" si="20"/>
        <v>-1134.7829888256902</v>
      </c>
      <c r="F196" s="362">
        <f t="shared" si="21"/>
        <v>-0.65438063201196583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643</v>
      </c>
      <c r="C197" s="391">
        <f>C127+C162</f>
        <v>512616.62436044624</v>
      </c>
      <c r="D197" s="391">
        <f>LN_IF9*LN_IF6</f>
        <v>188645.27941565189</v>
      </c>
      <c r="E197" s="391">
        <f t="shared" si="20"/>
        <v>-323971.34494479431</v>
      </c>
      <c r="F197" s="362">
        <f t="shared" si="21"/>
        <v>-0.6319953929488521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1087</v>
      </c>
      <c r="D198" s="369">
        <f>LN_ID11+LN_IE11</f>
        <v>1362</v>
      </c>
      <c r="E198" s="369">
        <f t="shared" si="20"/>
        <v>275</v>
      </c>
      <c r="F198" s="362">
        <f t="shared" si="21"/>
        <v>0.25298988040478382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627</v>
      </c>
      <c r="C199" s="432">
        <f>IF(C198=0,0,C189/C198)</f>
        <v>1280.4590616375344</v>
      </c>
      <c r="D199" s="432">
        <f>IF(LN_IF11=0,0,LN_IF2/LN_IF11)</f>
        <v>1301.4706314243758</v>
      </c>
      <c r="E199" s="432">
        <f t="shared" si="20"/>
        <v>21.011569786841392</v>
      </c>
      <c r="F199" s="362">
        <f t="shared" si="21"/>
        <v>1.6409403796143571E-2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628</v>
      </c>
      <c r="C200" s="379">
        <f>IF(C191=0,0,C198/C191)</f>
        <v>4.0559701492537314</v>
      </c>
      <c r="D200" s="379">
        <f>IF(LN_IF4=0,0,LN_IF11/LN_IF4)</f>
        <v>5.1203007518796992</v>
      </c>
      <c r="E200" s="379">
        <f t="shared" si="20"/>
        <v>1.0643306026259678</v>
      </c>
      <c r="F200" s="362">
        <f t="shared" si="21"/>
        <v>0.26241085694918065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684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630</v>
      </c>
      <c r="C203" s="361">
        <f>C133+C168</f>
        <v>18272578</v>
      </c>
      <c r="D203" s="361">
        <f>LN_ID14+LN_IE14</f>
        <v>23256228</v>
      </c>
      <c r="E203" s="361">
        <f t="shared" ref="E203:E211" si="22">D203-C203</f>
        <v>4983650</v>
      </c>
      <c r="F203" s="362">
        <f t="shared" ref="F203:F211" si="23">IF(C203=0,0,E203/C203)</f>
        <v>0.27273929272596348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631</v>
      </c>
      <c r="C204" s="361">
        <f>C134+C169</f>
        <v>4333204</v>
      </c>
      <c r="D204" s="361">
        <f>LN_ID15+LN_IE15</f>
        <v>4149278</v>
      </c>
      <c r="E204" s="361">
        <f t="shared" si="22"/>
        <v>-183926</v>
      </c>
      <c r="F204" s="362">
        <f t="shared" si="23"/>
        <v>-4.2445728380200887E-2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632</v>
      </c>
      <c r="C205" s="366">
        <f>IF(C203=0,0,C204/C203)</f>
        <v>0.23714245466622169</v>
      </c>
      <c r="D205" s="366">
        <f>IF(LN_IF14=0,0,LN_IF15/LN_IF14)</f>
        <v>0.17841577748549764</v>
      </c>
      <c r="E205" s="367">
        <f t="shared" si="22"/>
        <v>-5.8726677180724052E-2</v>
      </c>
      <c r="F205" s="362">
        <f t="shared" si="23"/>
        <v>-0.24764303491494985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633</v>
      </c>
      <c r="C206" s="366">
        <f>IF(C188=0,0,C203/C188)</f>
        <v>3.770868772675934</v>
      </c>
      <c r="D206" s="366">
        <f>IF(LN_IF1=0,0,LN_IF14/LN_IF1)</f>
        <v>3.3270983754803152</v>
      </c>
      <c r="E206" s="367">
        <f t="shared" si="22"/>
        <v>-0.44377039719561884</v>
      </c>
      <c r="F206" s="362">
        <f t="shared" si="23"/>
        <v>-0.11768386118637181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634</v>
      </c>
      <c r="C207" s="376">
        <f>C137+C172</f>
        <v>1010.5928310771503</v>
      </c>
      <c r="D207" s="376">
        <f>LN_ID18+LN_IE18</f>
        <v>885.00816787776387</v>
      </c>
      <c r="E207" s="376">
        <f t="shared" si="22"/>
        <v>-125.58466319938645</v>
      </c>
      <c r="F207" s="362">
        <f t="shared" si="23"/>
        <v>-0.12426830998348841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635</v>
      </c>
      <c r="C208" s="378">
        <f>IF(C207=0,0,C204/C207)</f>
        <v>4287.7842259987256</v>
      </c>
      <c r="D208" s="378">
        <f>IF(LN_IF18=0,0,LN_IF15/LN_IF18)</f>
        <v>4688.4064470838794</v>
      </c>
      <c r="E208" s="378">
        <f t="shared" si="22"/>
        <v>400.6222210851538</v>
      </c>
      <c r="F208" s="362">
        <f t="shared" si="23"/>
        <v>9.3433391227106227E-2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685</v>
      </c>
      <c r="C209" s="378">
        <f>C61-C208</f>
        <v>5683.5602554702336</v>
      </c>
      <c r="D209" s="378">
        <f>LN_IB18-LN_IF19</f>
        <v>8211.0581918812059</v>
      </c>
      <c r="E209" s="378">
        <f t="shared" si="22"/>
        <v>2527.4979364109722</v>
      </c>
      <c r="F209" s="362">
        <f t="shared" si="23"/>
        <v>0.44470328857309843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686</v>
      </c>
      <c r="C210" s="378">
        <f>C32-C208</f>
        <v>1750.3649599066121</v>
      </c>
      <c r="D210" s="378">
        <f>LN_IA16-LN_IF19</f>
        <v>2153.4852540715901</v>
      </c>
      <c r="E210" s="378">
        <f t="shared" si="22"/>
        <v>403.12029416497808</v>
      </c>
      <c r="F210" s="362">
        <f t="shared" si="23"/>
        <v>0.23030642374518623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646</v>
      </c>
      <c r="C211" s="391">
        <f>C141+C176</f>
        <v>1768906.2802502657</v>
      </c>
      <c r="D211" s="353">
        <f>LN_IF21*LN_IF18</f>
        <v>1905852.0392576789</v>
      </c>
      <c r="E211" s="353">
        <f t="shared" si="22"/>
        <v>136945.75900741317</v>
      </c>
      <c r="F211" s="362">
        <f t="shared" si="23"/>
        <v>7.7418323704542463E-2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687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637</v>
      </c>
      <c r="C214" s="361">
        <f>C188+C203</f>
        <v>23118299</v>
      </c>
      <c r="D214" s="361">
        <f>LN_IF1+LN_IF14</f>
        <v>30246171</v>
      </c>
      <c r="E214" s="361">
        <f>D214-C214</f>
        <v>7127872</v>
      </c>
      <c r="F214" s="362">
        <f>IF(C214=0,0,E214/C214)</f>
        <v>0.30832164598269102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638</v>
      </c>
      <c r="C215" s="361">
        <f>C189+C204</f>
        <v>5725063</v>
      </c>
      <c r="D215" s="361">
        <f>LN_IF2+LN_IF15</f>
        <v>5921881</v>
      </c>
      <c r="E215" s="361">
        <f>D215-C215</f>
        <v>196818</v>
      </c>
      <c r="F215" s="362">
        <f>IF(C215=0,0,E215/C215)</f>
        <v>3.4378311644780155E-2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639</v>
      </c>
      <c r="C216" s="361">
        <f>C214-C215</f>
        <v>17393236</v>
      </c>
      <c r="D216" s="361">
        <f>LN_IF23-LN_IF24</f>
        <v>24324290</v>
      </c>
      <c r="E216" s="361">
        <f>D216-C216</f>
        <v>6931054</v>
      </c>
      <c r="F216" s="362">
        <f>IF(C216=0,0,E216/C216)</f>
        <v>0.39849134456635904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378</v>
      </c>
      <c r="B218" s="356" t="s">
        <v>688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689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621</v>
      </c>
      <c r="C221" s="361">
        <v>15966</v>
      </c>
      <c r="D221" s="361">
        <v>58007</v>
      </c>
      <c r="E221" s="361">
        <f t="shared" ref="E221:E230" si="24">D221-C221</f>
        <v>42041</v>
      </c>
      <c r="F221" s="362">
        <f t="shared" ref="F221:F230" si="25">IF(C221=0,0,E221/C221)</f>
        <v>2.6331579606664159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622</v>
      </c>
      <c r="C222" s="361">
        <v>5231</v>
      </c>
      <c r="D222" s="361">
        <v>45723</v>
      </c>
      <c r="E222" s="361">
        <f t="shared" si="24"/>
        <v>40492</v>
      </c>
      <c r="F222" s="362">
        <f t="shared" si="25"/>
        <v>7.7407761422290191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623</v>
      </c>
      <c r="C223" s="366">
        <f>IF(C221=0,0,C222/C221)</f>
        <v>0.32763372165852439</v>
      </c>
      <c r="D223" s="366">
        <f>IF(LN_IG1=0,0,LN_IG2/LN_IG1)</f>
        <v>0.7882324547037427</v>
      </c>
      <c r="E223" s="367">
        <f t="shared" si="24"/>
        <v>0.46059873304521831</v>
      </c>
      <c r="F223" s="362">
        <f t="shared" si="25"/>
        <v>1.4058343283884449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3</v>
      </c>
      <c r="D224" s="369">
        <v>4</v>
      </c>
      <c r="E224" s="369">
        <f t="shared" si="24"/>
        <v>1</v>
      </c>
      <c r="F224" s="362">
        <f t="shared" si="25"/>
        <v>0.33333333333333331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624</v>
      </c>
      <c r="C225" s="372">
        <v>0.78386999999999996</v>
      </c>
      <c r="D225" s="372">
        <v>1.29484</v>
      </c>
      <c r="E225" s="373">
        <f t="shared" si="24"/>
        <v>0.51097000000000004</v>
      </c>
      <c r="F225" s="362">
        <f t="shared" si="25"/>
        <v>0.65185553727021073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625</v>
      </c>
      <c r="C226" s="376">
        <f>C224*C225</f>
        <v>2.35161</v>
      </c>
      <c r="D226" s="376">
        <f>LN_IG3*LN_IG4</f>
        <v>5.17936</v>
      </c>
      <c r="E226" s="376">
        <f t="shared" si="24"/>
        <v>2.82775</v>
      </c>
      <c r="F226" s="362">
        <f t="shared" si="25"/>
        <v>1.2024740496936142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626</v>
      </c>
      <c r="C227" s="378">
        <f>IF(C226=0,0,C222/C226)</f>
        <v>2224.4334732374841</v>
      </c>
      <c r="D227" s="378">
        <f>IF(LN_IG5=0,0,LN_IG2/LN_IG5)</f>
        <v>8827.9246856754507</v>
      </c>
      <c r="E227" s="378">
        <f t="shared" si="24"/>
        <v>6603.4912124379662</v>
      </c>
      <c r="F227" s="362">
        <f t="shared" si="25"/>
        <v>2.9686170847029718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10</v>
      </c>
      <c r="D228" s="369">
        <v>9</v>
      </c>
      <c r="E228" s="369">
        <f t="shared" si="24"/>
        <v>-1</v>
      </c>
      <c r="F228" s="362">
        <f t="shared" si="25"/>
        <v>-0.1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627</v>
      </c>
      <c r="C229" s="378">
        <f>IF(C228=0,0,C222/C228)</f>
        <v>523.1</v>
      </c>
      <c r="D229" s="378">
        <f>IF(LN_IG6=0,0,LN_IG2/LN_IG6)</f>
        <v>5080.333333333333</v>
      </c>
      <c r="E229" s="378">
        <f t="shared" si="24"/>
        <v>4557.2333333333327</v>
      </c>
      <c r="F229" s="362">
        <f t="shared" si="25"/>
        <v>8.7119734913655762</v>
      </c>
      <c r="Q229" s="330"/>
      <c r="U229" s="375"/>
    </row>
    <row r="230" spans="1:21" ht="11.25" customHeight="1" x14ac:dyDescent="0.2">
      <c r="A230" s="364">
        <v>10</v>
      </c>
      <c r="B230" s="360" t="s">
        <v>628</v>
      </c>
      <c r="C230" s="379">
        <f>IF(C224=0,0,C228/C224)</f>
        <v>3.3333333333333335</v>
      </c>
      <c r="D230" s="379">
        <f>IF(LN_IG3=0,0,LN_IG6/LN_IG3)</f>
        <v>2.25</v>
      </c>
      <c r="E230" s="379">
        <f t="shared" si="24"/>
        <v>-1.0833333333333335</v>
      </c>
      <c r="F230" s="362">
        <f t="shared" si="25"/>
        <v>-0.32500000000000001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690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630</v>
      </c>
      <c r="C233" s="361">
        <v>482355</v>
      </c>
      <c r="D233" s="361">
        <v>659375</v>
      </c>
      <c r="E233" s="361">
        <f>D233-C233</f>
        <v>177020</v>
      </c>
      <c r="F233" s="362">
        <f>IF(C233=0,0,E233/C233)</f>
        <v>0.36699111650133198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631</v>
      </c>
      <c r="C234" s="361">
        <v>310999</v>
      </c>
      <c r="D234" s="361">
        <v>387769</v>
      </c>
      <c r="E234" s="361">
        <f>D234-C234</f>
        <v>76770</v>
      </c>
      <c r="F234" s="362">
        <f>IF(C234=0,0,E234/C234)</f>
        <v>0.2468496683269078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691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637</v>
      </c>
      <c r="C237" s="361">
        <f>C221+C233</f>
        <v>498321</v>
      </c>
      <c r="D237" s="361">
        <f>LN_IG1+LN_IG9</f>
        <v>717382</v>
      </c>
      <c r="E237" s="361">
        <f>D237-C237</f>
        <v>219061</v>
      </c>
      <c r="F237" s="362">
        <f>IF(C237=0,0,E237/C237)</f>
        <v>0.43959817065706641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638</v>
      </c>
      <c r="C238" s="361">
        <f>C222+C234</f>
        <v>316230</v>
      </c>
      <c r="D238" s="361">
        <f>LN_IG2+LN_IG10</f>
        <v>433492</v>
      </c>
      <c r="E238" s="361">
        <f>D238-C238</f>
        <v>117262</v>
      </c>
      <c r="F238" s="362">
        <f>IF(C238=0,0,E238/C238)</f>
        <v>0.37081238339183503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639</v>
      </c>
      <c r="C239" s="361">
        <f>C237-C238</f>
        <v>182091</v>
      </c>
      <c r="D239" s="361">
        <f>LN_IG13-LN_IG14</f>
        <v>283890</v>
      </c>
      <c r="E239" s="361">
        <f>D239-C239</f>
        <v>101799</v>
      </c>
      <c r="F239" s="362">
        <f>IF(C239=0,0,E239/C239)</f>
        <v>0.5590556370166565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382</v>
      </c>
      <c r="B241" s="356" t="s">
        <v>692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693</v>
      </c>
      <c r="C243" s="361">
        <v>4793055</v>
      </c>
      <c r="D243" s="361">
        <v>6871608</v>
      </c>
      <c r="E243" s="353">
        <f>D243-C243</f>
        <v>2078553</v>
      </c>
      <c r="F243" s="415">
        <f>IF(C243=0,0,E243/C243)</f>
        <v>0.43365932583707051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694</v>
      </c>
      <c r="C244" s="361">
        <v>68017199</v>
      </c>
      <c r="D244" s="361">
        <v>74038954</v>
      </c>
      <c r="E244" s="353">
        <f>D244-C244</f>
        <v>6021755</v>
      </c>
      <c r="F244" s="415">
        <f>IF(C244=0,0,E244/C244)</f>
        <v>8.8532828292444091E-2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695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696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697</v>
      </c>
      <c r="C248" s="353">
        <v>821721</v>
      </c>
      <c r="D248" s="353">
        <v>2192753</v>
      </c>
      <c r="E248" s="353">
        <f>D248-C248</f>
        <v>1371032</v>
      </c>
      <c r="F248" s="362">
        <f>IF(C248=0,0,E248/C248)</f>
        <v>1.6684884528933785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698</v>
      </c>
      <c r="C249" s="353">
        <v>2925278</v>
      </c>
      <c r="D249" s="353">
        <v>3309948</v>
      </c>
      <c r="E249" s="353">
        <f>D249-C249</f>
        <v>384670</v>
      </c>
      <c r="F249" s="362">
        <f>IF(C249=0,0,E249/C249)</f>
        <v>0.13149861312326555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699</v>
      </c>
      <c r="C250" s="353">
        <f>C248+C249</f>
        <v>3746999</v>
      </c>
      <c r="D250" s="353">
        <f>LN_IH4+LN_IH5</f>
        <v>5502701</v>
      </c>
      <c r="E250" s="353">
        <f>D250-C250</f>
        <v>1755702</v>
      </c>
      <c r="F250" s="362">
        <f>IF(C250=0,0,E250/C250)</f>
        <v>0.46856217468966499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700</v>
      </c>
      <c r="C251" s="353">
        <f>C250*C313</f>
        <v>1425033.03571563</v>
      </c>
      <c r="D251" s="353">
        <f>LN_IH6*LN_III10</f>
        <v>1750779.3514175557</v>
      </c>
      <c r="E251" s="353">
        <f>D251-C251</f>
        <v>325746.31570192566</v>
      </c>
      <c r="F251" s="362">
        <f>IF(C251=0,0,E251/C251)</f>
        <v>0.22858860639559894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701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637</v>
      </c>
      <c r="C254" s="353">
        <f>C188+C203</f>
        <v>23118299</v>
      </c>
      <c r="D254" s="353">
        <f>LN_IF23</f>
        <v>30246171</v>
      </c>
      <c r="E254" s="353">
        <f>D254-C254</f>
        <v>7127872</v>
      </c>
      <c r="F254" s="362">
        <f>IF(C254=0,0,E254/C254)</f>
        <v>0.30832164598269102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638</v>
      </c>
      <c r="C255" s="353">
        <f>C189+C204</f>
        <v>5725063</v>
      </c>
      <c r="D255" s="353">
        <f>LN_IF24</f>
        <v>5921881</v>
      </c>
      <c r="E255" s="353">
        <f>D255-C255</f>
        <v>196818</v>
      </c>
      <c r="F255" s="362">
        <f>IF(C255=0,0,E255/C255)</f>
        <v>3.4378311644780155E-2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702</v>
      </c>
      <c r="C256" s="353">
        <f>C254*C313</f>
        <v>8792193.3805030677</v>
      </c>
      <c r="D256" s="353">
        <f>LN_IH8*LN_III10</f>
        <v>9623341.6364517137</v>
      </c>
      <c r="E256" s="353">
        <f>D256-C256</f>
        <v>831148.25594864599</v>
      </c>
      <c r="F256" s="362">
        <f>IF(C256=0,0,E256/C256)</f>
        <v>9.4532526751713655E-2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703</v>
      </c>
      <c r="C257" s="353">
        <f>C256-C255</f>
        <v>3067130.3805030677</v>
      </c>
      <c r="D257" s="353">
        <f>LN_IH10-LN_IH9</f>
        <v>3701460.6364517137</v>
      </c>
      <c r="E257" s="353">
        <f>D257-C257</f>
        <v>634330.25594864599</v>
      </c>
      <c r="F257" s="362">
        <f>IF(C257=0,0,E257/C257)</f>
        <v>0.20681554979889827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704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705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706</v>
      </c>
      <c r="C261" s="361">
        <f>C15+C42+C188+C221</f>
        <v>54124323</v>
      </c>
      <c r="D261" s="361">
        <f>LN_IA1+LN_IB1+LN_IF1+LN_IG1</f>
        <v>69889896</v>
      </c>
      <c r="E261" s="361">
        <f t="shared" ref="E261:E274" si="26">D261-C261</f>
        <v>15765573</v>
      </c>
      <c r="F261" s="415">
        <f t="shared" ref="F261:F274" si="27">IF(C261=0,0,E261/C261)</f>
        <v>0.29128443786724134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707</v>
      </c>
      <c r="C262" s="361">
        <f>C16+C43+C189+C222</f>
        <v>23566590</v>
      </c>
      <c r="D262" s="361">
        <f>+LN_IA2+LN_IB2+LN_IF2+LN_IG2</f>
        <v>25199767</v>
      </c>
      <c r="E262" s="361">
        <f t="shared" si="26"/>
        <v>1633177</v>
      </c>
      <c r="F262" s="415">
        <f t="shared" si="27"/>
        <v>6.9300522476947235E-2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708</v>
      </c>
      <c r="C263" s="366">
        <f>IF(C261=0,0,C262/C261)</f>
        <v>0.43541588501716688</v>
      </c>
      <c r="D263" s="366">
        <f>IF(LN_IIA1=0,0,LN_IIA2/LN_IIA1)</f>
        <v>0.36056380739213006</v>
      </c>
      <c r="E263" s="367">
        <f t="shared" si="26"/>
        <v>-7.4852077625036817E-2</v>
      </c>
      <c r="F263" s="371">
        <f t="shared" si="27"/>
        <v>-0.17190938640671244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709</v>
      </c>
      <c r="C264" s="369">
        <f>C18+C45+C191+C224</f>
        <v>2515</v>
      </c>
      <c r="D264" s="369">
        <f>LN_IA4+LN_IB4+LN_IF4+LN_IG3</f>
        <v>2519</v>
      </c>
      <c r="E264" s="369">
        <f t="shared" si="26"/>
        <v>4</v>
      </c>
      <c r="F264" s="415">
        <f t="shared" si="27"/>
        <v>1.5904572564612327E-3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710</v>
      </c>
      <c r="C265" s="439">
        <f>IF(C264=0,0,C266/C264)</f>
        <v>1.3970120119284293</v>
      </c>
      <c r="D265" s="439">
        <f>IF(LN_IIA4=0,0,LN_IIA6/LN_IIA4)</f>
        <v>1.4974912107979359</v>
      </c>
      <c r="E265" s="439">
        <f t="shared" si="26"/>
        <v>0.10047919886950663</v>
      </c>
      <c r="F265" s="415">
        <f t="shared" si="27"/>
        <v>7.1924362862711241E-2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711</v>
      </c>
      <c r="C266" s="376">
        <f>C20+C47+C193+C226</f>
        <v>3513.4852099999998</v>
      </c>
      <c r="D266" s="376">
        <f>LN_IA6+LN_IB6+LN_IF6+LN_IG5</f>
        <v>3772.1803600000003</v>
      </c>
      <c r="E266" s="376">
        <f t="shared" si="26"/>
        <v>258.69515000000047</v>
      </c>
      <c r="F266" s="415">
        <f t="shared" si="27"/>
        <v>7.3629212744003691E-2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712</v>
      </c>
      <c r="C267" s="361">
        <f>C27+C56+C203+C233</f>
        <v>93948299</v>
      </c>
      <c r="D267" s="361">
        <f>LN_IA11+LN_IB13+LN_IF14+LN_IG9</f>
        <v>118179402</v>
      </c>
      <c r="E267" s="361">
        <f t="shared" si="26"/>
        <v>24231103</v>
      </c>
      <c r="F267" s="415">
        <f t="shared" si="27"/>
        <v>0.25791954998567884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633</v>
      </c>
      <c r="C268" s="366">
        <f>IF(C261=0,0,C267/C261)</f>
        <v>1.7357870508606639</v>
      </c>
      <c r="D268" s="366">
        <f>IF(LN_IIA1=0,0,LN_IIA7/LN_IIA1)</f>
        <v>1.690936870187931</v>
      </c>
      <c r="E268" s="367">
        <f t="shared" si="26"/>
        <v>-4.4850180672732831E-2</v>
      </c>
      <c r="F268" s="371">
        <f t="shared" si="27"/>
        <v>-2.5838527053473836E-2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713</v>
      </c>
      <c r="C269" s="361">
        <f>C28+C57+C204+C234</f>
        <v>36462630</v>
      </c>
      <c r="D269" s="361">
        <f>LN_IA12+LN_IB14+LN_IF15+LN_IG10</f>
        <v>40140429</v>
      </c>
      <c r="E269" s="361">
        <f t="shared" si="26"/>
        <v>3677799</v>
      </c>
      <c r="F269" s="415">
        <f t="shared" si="27"/>
        <v>0.10086488550057963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632</v>
      </c>
      <c r="C270" s="366">
        <f>IF(C267=0,0,C269/C267)</f>
        <v>0.38811378586002926</v>
      </c>
      <c r="D270" s="366">
        <f>IF(LN_IIA7=0,0,LN_IIA9/LN_IIA7)</f>
        <v>0.33965672799732055</v>
      </c>
      <c r="E270" s="367">
        <f t="shared" si="26"/>
        <v>-4.8457057862708708E-2</v>
      </c>
      <c r="F270" s="371">
        <f t="shared" si="27"/>
        <v>-0.12485270976739908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714</v>
      </c>
      <c r="C271" s="353">
        <f>C261+C267</f>
        <v>148072622</v>
      </c>
      <c r="D271" s="353">
        <f>LN_IIA1+LN_IIA7</f>
        <v>188069298</v>
      </c>
      <c r="E271" s="353">
        <f t="shared" si="26"/>
        <v>39996676</v>
      </c>
      <c r="F271" s="415">
        <f t="shared" si="27"/>
        <v>0.27011526816888543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715</v>
      </c>
      <c r="C272" s="353">
        <f>C262+C269</f>
        <v>60029220</v>
      </c>
      <c r="D272" s="353">
        <f>LN_IIA2+LN_IIA9</f>
        <v>65340196</v>
      </c>
      <c r="E272" s="353">
        <f t="shared" si="26"/>
        <v>5310976</v>
      </c>
      <c r="F272" s="415">
        <f t="shared" si="27"/>
        <v>8.8473180227895687E-2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716</v>
      </c>
      <c r="C273" s="366">
        <f>IF(C271=0,0,C272/C271)</f>
        <v>0.40540391052168984</v>
      </c>
      <c r="D273" s="366">
        <f>IF(LN_IIA11=0,0,LN_IIA12/LN_IIA11)</f>
        <v>0.34742617053847885</v>
      </c>
      <c r="E273" s="367">
        <f t="shared" si="26"/>
        <v>-5.7977739983210985E-2</v>
      </c>
      <c r="F273" s="371">
        <f t="shared" si="27"/>
        <v>-0.14301228596587273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12370</v>
      </c>
      <c r="D274" s="421">
        <f>LN_IA8+LN_IB10+LN_IF11+LN_IG6</f>
        <v>13056</v>
      </c>
      <c r="E274" s="442">
        <f t="shared" si="26"/>
        <v>686</v>
      </c>
      <c r="F274" s="371">
        <f t="shared" si="27"/>
        <v>5.5456750202101862E-2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717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718</v>
      </c>
      <c r="C277" s="361">
        <f>C15+C188+C221</f>
        <v>41772223</v>
      </c>
      <c r="D277" s="361">
        <f>LN_IA1+LN_IF1+LN_IG1</f>
        <v>53788190</v>
      </c>
      <c r="E277" s="361">
        <f t="shared" ref="E277:E291" si="28">D277-C277</f>
        <v>12015967</v>
      </c>
      <c r="F277" s="415">
        <f t="shared" ref="F277:F291" si="29">IF(C277=0,0,E277/C277)</f>
        <v>0.28765447795296889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719</v>
      </c>
      <c r="C278" s="361">
        <f>C16+C189+C222</f>
        <v>16353982</v>
      </c>
      <c r="D278" s="361">
        <f>LN_IA2+LN_IF2+LN_IG2</f>
        <v>17208122</v>
      </c>
      <c r="E278" s="361">
        <f t="shared" si="28"/>
        <v>854140</v>
      </c>
      <c r="F278" s="415">
        <f t="shared" si="29"/>
        <v>5.2228258536667092E-2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720</v>
      </c>
      <c r="C279" s="366">
        <f>IF(C277=0,0,C278/C277)</f>
        <v>0.39150375118891806</v>
      </c>
      <c r="D279" s="366">
        <f>IF(D277=0,0,LN_IIB2/D277)</f>
        <v>0.31992379739864829</v>
      </c>
      <c r="E279" s="367">
        <f t="shared" si="28"/>
        <v>-7.1579953790269768E-2</v>
      </c>
      <c r="F279" s="371">
        <f t="shared" si="29"/>
        <v>-0.18283337917681725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721</v>
      </c>
      <c r="C280" s="369">
        <f>C18+C191+C224</f>
        <v>1852</v>
      </c>
      <c r="D280" s="369">
        <f>LN_IA4+LN_IF4+LN_IG3</f>
        <v>1925</v>
      </c>
      <c r="E280" s="369">
        <f t="shared" si="28"/>
        <v>73</v>
      </c>
      <c r="F280" s="415">
        <f t="shared" si="29"/>
        <v>3.9416846652267822E-2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722</v>
      </c>
      <c r="C281" s="439">
        <f>IF(C280=0,0,C282/C280)</f>
        <v>1.4144146922246219</v>
      </c>
      <c r="D281" s="439">
        <f>IF(LN_IIB4=0,0,LN_IIB6/LN_IIB4)</f>
        <v>1.449221755844156</v>
      </c>
      <c r="E281" s="439">
        <f t="shared" si="28"/>
        <v>3.4807063619534118E-2</v>
      </c>
      <c r="F281" s="415">
        <f t="shared" si="29"/>
        <v>2.4608810846547993E-2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723</v>
      </c>
      <c r="C282" s="376">
        <f>C20+C193+C226</f>
        <v>2619.4960099999998</v>
      </c>
      <c r="D282" s="376">
        <f>LN_IA6+LN_IF6+LN_IG5</f>
        <v>2789.7518800000003</v>
      </c>
      <c r="E282" s="376">
        <f t="shared" si="28"/>
        <v>170.25587000000041</v>
      </c>
      <c r="F282" s="415">
        <f t="shared" si="29"/>
        <v>6.49956592222488E-2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724</v>
      </c>
      <c r="C283" s="361">
        <f>C27+C203+C233</f>
        <v>49220095</v>
      </c>
      <c r="D283" s="361">
        <f>LN_IA11+LN_IF14+LN_IG9</f>
        <v>63527953</v>
      </c>
      <c r="E283" s="361">
        <f t="shared" si="28"/>
        <v>14307858</v>
      </c>
      <c r="F283" s="415">
        <f t="shared" si="29"/>
        <v>0.29069139342376321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725</v>
      </c>
      <c r="C284" s="366">
        <f>IF(C277=0,0,C283/C277)</f>
        <v>1.1782972383346704</v>
      </c>
      <c r="D284" s="366">
        <f>IF(D277=0,0,LN_IIB7/D277)</f>
        <v>1.1810762362518612</v>
      </c>
      <c r="E284" s="367">
        <f t="shared" si="28"/>
        <v>2.7789979171908286E-3</v>
      </c>
      <c r="F284" s="371">
        <f t="shared" si="29"/>
        <v>2.3584863197324349E-3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726</v>
      </c>
      <c r="C285" s="361">
        <f>C28+C204+C234</f>
        <v>12523525</v>
      </c>
      <c r="D285" s="361">
        <f>LN_IA12+LN_IF15+LN_IG10</f>
        <v>14133569</v>
      </c>
      <c r="E285" s="361">
        <f t="shared" si="28"/>
        <v>1610044</v>
      </c>
      <c r="F285" s="415">
        <f t="shared" si="29"/>
        <v>0.12856156713066011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727</v>
      </c>
      <c r="C286" s="366">
        <f>IF(C283=0,0,C285/C283)</f>
        <v>0.2544392691643525</v>
      </c>
      <c r="D286" s="366">
        <f>IF(LN_IIB7=0,0,LN_IIB9/LN_IIB7)</f>
        <v>0.22247795391738814</v>
      </c>
      <c r="E286" s="367">
        <f t="shared" si="28"/>
        <v>-3.1961315246964356E-2</v>
      </c>
      <c r="F286" s="371">
        <f t="shared" si="29"/>
        <v>-0.12561471093646029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728</v>
      </c>
      <c r="C287" s="353">
        <f>C277+C283</f>
        <v>90992318</v>
      </c>
      <c r="D287" s="353">
        <f>D277+LN_IIB7</f>
        <v>117316143</v>
      </c>
      <c r="E287" s="353">
        <f t="shared" si="28"/>
        <v>26323825</v>
      </c>
      <c r="F287" s="415">
        <f t="shared" si="29"/>
        <v>0.28929722397004987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729</v>
      </c>
      <c r="C288" s="353">
        <f>C278+C285</f>
        <v>28877507</v>
      </c>
      <c r="D288" s="353">
        <f>LN_IIB2+LN_IIB9</f>
        <v>31341691</v>
      </c>
      <c r="E288" s="353">
        <f t="shared" si="28"/>
        <v>2464184</v>
      </c>
      <c r="F288" s="415">
        <f t="shared" si="29"/>
        <v>8.5332296863437698E-2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730</v>
      </c>
      <c r="C289" s="366">
        <f>IF(C287=0,0,C288/C287)</f>
        <v>0.31736203269379287</v>
      </c>
      <c r="D289" s="366">
        <f>IF(LN_IIB11=0,0,LN_IIB12/LN_IIB11)</f>
        <v>0.26715582526438836</v>
      </c>
      <c r="E289" s="367">
        <f t="shared" si="28"/>
        <v>-5.0206207429404515E-2</v>
      </c>
      <c r="F289" s="371">
        <f t="shared" si="29"/>
        <v>-0.15819853119558897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9737</v>
      </c>
      <c r="D290" s="421">
        <f>LN_IA8+LN_IF11+LN_IG6</f>
        <v>10705</v>
      </c>
      <c r="E290" s="442">
        <f t="shared" si="28"/>
        <v>968</v>
      </c>
      <c r="F290" s="371">
        <f t="shared" si="29"/>
        <v>9.9414604087501288E-2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731</v>
      </c>
      <c r="C291" s="361">
        <f>C287-C288</f>
        <v>62114811</v>
      </c>
      <c r="D291" s="429">
        <f>LN_IIB11-LN_IIB12</f>
        <v>85974452</v>
      </c>
      <c r="E291" s="353">
        <f t="shared" si="28"/>
        <v>23859641</v>
      </c>
      <c r="F291" s="415">
        <f t="shared" si="29"/>
        <v>0.3841216066808929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628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619</v>
      </c>
      <c r="C294" s="379">
        <f>IF(C18=0,0,C22/C18)</f>
        <v>5.4648956356736242</v>
      </c>
      <c r="D294" s="379">
        <f>IF(LN_IA4=0,0,LN_IA8/LN_IA4)</f>
        <v>5.6398791540785496</v>
      </c>
      <c r="E294" s="379">
        <f t="shared" ref="E294:E300" si="30">D294-C294</f>
        <v>0.17498351840492532</v>
      </c>
      <c r="F294" s="415">
        <f t="shared" ref="F294:F300" si="31">IF(C294=0,0,E294/C294)</f>
        <v>3.2019553541456823E-2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640</v>
      </c>
      <c r="C295" s="379">
        <f>IF(C45=0,0,C51/C45)</f>
        <v>3.9713423831070891</v>
      </c>
      <c r="D295" s="379">
        <f>IF(LN_IB4=0,0,(LN_IB10)/(LN_IB4))</f>
        <v>3.957912457912458</v>
      </c>
      <c r="E295" s="379">
        <f t="shared" si="30"/>
        <v>-1.3429925194631043E-2</v>
      </c>
      <c r="F295" s="415">
        <f t="shared" si="31"/>
        <v>-3.3817092305508472E-3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655</v>
      </c>
      <c r="C296" s="379">
        <f>IF(C86=0,0,C93/C86)</f>
        <v>4.9841269841269842</v>
      </c>
      <c r="D296" s="379">
        <f>IF(LN_IC4=0,0,LN_IC11/LN_IC4)</f>
        <v>5.1379310344827589</v>
      </c>
      <c r="E296" s="379">
        <f t="shared" si="30"/>
        <v>0.15380405035577471</v>
      </c>
      <c r="F296" s="415">
        <f t="shared" si="31"/>
        <v>3.0858774434438876E-2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4.0559701492537314</v>
      </c>
      <c r="D297" s="379">
        <f>IF(LN_ID4=0,0,LN_ID11/LN_ID4)</f>
        <v>5.1203007518796992</v>
      </c>
      <c r="E297" s="379">
        <f t="shared" si="30"/>
        <v>1.0643306026259678</v>
      </c>
      <c r="F297" s="415">
        <f t="shared" si="31"/>
        <v>0.26241085694918065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732</v>
      </c>
      <c r="C298" s="379">
        <f>IF(C156=0,0,C163/C156)</f>
        <v>0</v>
      </c>
      <c r="D298" s="379">
        <f>IF(LN_IE4=0,0,LN_IE11/LN_IE4)</f>
        <v>0</v>
      </c>
      <c r="E298" s="379">
        <f t="shared" si="30"/>
        <v>0</v>
      </c>
      <c r="F298" s="415">
        <f t="shared" si="31"/>
        <v>0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430</v>
      </c>
      <c r="C299" s="379">
        <f>IF(C224=0,0,C228/C224)</f>
        <v>3.3333333333333335</v>
      </c>
      <c r="D299" s="379">
        <f>IF(LN_IG3=0,0,LN_IG6/LN_IG3)</f>
        <v>2.25</v>
      </c>
      <c r="E299" s="379">
        <f t="shared" si="30"/>
        <v>-1.0833333333333335</v>
      </c>
      <c r="F299" s="415">
        <f t="shared" si="31"/>
        <v>-0.32500000000000001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733</v>
      </c>
      <c r="C300" s="379">
        <f>IF(C264=0,0,C274/C264)</f>
        <v>4.9184890656063622</v>
      </c>
      <c r="D300" s="379">
        <f>IF(LN_IIA4=0,0,LN_IIA14/LN_IIA4)</f>
        <v>5.1830091306073838</v>
      </c>
      <c r="E300" s="379">
        <f t="shared" si="30"/>
        <v>0.26452006500102154</v>
      </c>
      <c r="F300" s="415">
        <f t="shared" si="31"/>
        <v>5.378075695049063E-2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734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728</v>
      </c>
      <c r="C304" s="353">
        <f>C35+C66+C214+C221+C233</f>
        <v>148072622</v>
      </c>
      <c r="D304" s="353">
        <f>LN_IIA11</f>
        <v>188069298</v>
      </c>
      <c r="E304" s="353">
        <f t="shared" ref="E304:E316" si="32">D304-C304</f>
        <v>39996676</v>
      </c>
      <c r="F304" s="362">
        <f>IF(C304=0,0,E304/C304)</f>
        <v>0.27011526816888543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731</v>
      </c>
      <c r="C305" s="353">
        <f>C291</f>
        <v>62114811</v>
      </c>
      <c r="D305" s="353">
        <f>LN_IIB14</f>
        <v>85974452</v>
      </c>
      <c r="E305" s="353">
        <f t="shared" si="32"/>
        <v>23859641</v>
      </c>
      <c r="F305" s="362">
        <f>IF(C305=0,0,E305/C305)</f>
        <v>0.3841216066808929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735</v>
      </c>
      <c r="C306" s="353">
        <f>C250</f>
        <v>3746999</v>
      </c>
      <c r="D306" s="353">
        <f>LN_IH6</f>
        <v>5502701</v>
      </c>
      <c r="E306" s="353">
        <f t="shared" si="32"/>
        <v>1755702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736</v>
      </c>
      <c r="C307" s="353">
        <f>C73-C74</f>
        <v>25896845</v>
      </c>
      <c r="D307" s="353">
        <f>LN_IB32-LN_IB33</f>
        <v>36754650</v>
      </c>
      <c r="E307" s="353">
        <f t="shared" si="32"/>
        <v>10857805</v>
      </c>
      <c r="F307" s="362">
        <f t="shared" ref="F307:F316" si="33">IF(C307=0,0,E307/C307)</f>
        <v>0.4192713436714009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737</v>
      </c>
      <c r="C308" s="353">
        <v>0</v>
      </c>
      <c r="D308" s="353">
        <v>0</v>
      </c>
      <c r="E308" s="353">
        <f t="shared" si="32"/>
        <v>0</v>
      </c>
      <c r="F308" s="362">
        <f t="shared" si="33"/>
        <v>0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738</v>
      </c>
      <c r="C309" s="353">
        <f>C305+C307+C308+C306</f>
        <v>91758655</v>
      </c>
      <c r="D309" s="353">
        <f>LN_III2+LN_III3+LN_III4+LN_III5</f>
        <v>128231803</v>
      </c>
      <c r="E309" s="353">
        <f t="shared" si="32"/>
        <v>36473148</v>
      </c>
      <c r="F309" s="362">
        <f t="shared" si="33"/>
        <v>0.39749000244173149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739</v>
      </c>
      <c r="C310" s="353">
        <f>C304-C309</f>
        <v>56313967</v>
      </c>
      <c r="D310" s="353">
        <f>LN_III1-LN_III6</f>
        <v>59837495</v>
      </c>
      <c r="E310" s="353">
        <f t="shared" si="32"/>
        <v>3523528</v>
      </c>
      <c r="F310" s="362">
        <f t="shared" si="33"/>
        <v>6.2569344475412292E-2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740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741</v>
      </c>
      <c r="C312" s="353">
        <f>C310+C311</f>
        <v>56313967</v>
      </c>
      <c r="D312" s="353">
        <f>LN_III7+LN_III8</f>
        <v>59837495</v>
      </c>
      <c r="E312" s="353">
        <f t="shared" si="32"/>
        <v>3523528</v>
      </c>
      <c r="F312" s="362">
        <f t="shared" si="33"/>
        <v>6.2569344475412292E-2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742</v>
      </c>
      <c r="C313" s="448">
        <f>IF(C304=0,0,C312/C304)</f>
        <v>0.38031316147018723</v>
      </c>
      <c r="D313" s="448">
        <f>IF(LN_III1=0,0,LN_III9/LN_III1)</f>
        <v>0.31816726938598983</v>
      </c>
      <c r="E313" s="448">
        <f t="shared" si="32"/>
        <v>-6.2145892084197407E-2</v>
      </c>
      <c r="F313" s="362">
        <f t="shared" si="33"/>
        <v>-0.16340715594474378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700</v>
      </c>
      <c r="C314" s="353">
        <f>C306*C313</f>
        <v>1425033.03571563</v>
      </c>
      <c r="D314" s="353">
        <f>D313*LN_III5</f>
        <v>1750779.3514175557</v>
      </c>
      <c r="E314" s="353">
        <f t="shared" si="32"/>
        <v>325746.31570192566</v>
      </c>
      <c r="F314" s="362">
        <f t="shared" si="33"/>
        <v>0.22858860639559894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703</v>
      </c>
      <c r="C315" s="353">
        <f>(C214*C313)-C215</f>
        <v>3067130.3805030677</v>
      </c>
      <c r="D315" s="353">
        <f>D313*LN_IH8-LN_IH9</f>
        <v>3701460.6364517137</v>
      </c>
      <c r="E315" s="353">
        <f t="shared" si="32"/>
        <v>634330.25594864599</v>
      </c>
      <c r="F315" s="362">
        <f t="shared" si="33"/>
        <v>0.20681554979889827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743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744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745</v>
      </c>
      <c r="C318" s="353">
        <f>C314+C315+C316</f>
        <v>4492163.416218698</v>
      </c>
      <c r="D318" s="353">
        <f>D314+D315+D316</f>
        <v>5452239.9878692692</v>
      </c>
      <c r="E318" s="353">
        <f>D318-C318</f>
        <v>960076.57165057119</v>
      </c>
      <c r="F318" s="362">
        <f>IF(C318=0,0,E318/C318)</f>
        <v>0.21372253916326148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746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1768906.2802502657</v>
      </c>
      <c r="D322" s="353">
        <f>LN_ID22</f>
        <v>1905852.0392576789</v>
      </c>
      <c r="E322" s="353">
        <f>LN_IV2-C322</f>
        <v>136945.75900741317</v>
      </c>
      <c r="F322" s="362">
        <f>IF(C322=0,0,E322/C322)</f>
        <v>7.7418323704542463E-2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732</v>
      </c>
      <c r="C323" s="353">
        <f>C162+C176</f>
        <v>0</v>
      </c>
      <c r="D323" s="353">
        <f>LN_IE10+LN_IE22</f>
        <v>0</v>
      </c>
      <c r="E323" s="353">
        <f>LN_IV3-C323</f>
        <v>0</v>
      </c>
      <c r="F323" s="362">
        <f>IF(C323=0,0,E323/C323)</f>
        <v>0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747</v>
      </c>
      <c r="C324" s="353">
        <f>C92+C106</f>
        <v>1824295.9309675288</v>
      </c>
      <c r="D324" s="353">
        <f>LN_IC10+LN_IC22</f>
        <v>1816018.1518295542</v>
      </c>
      <c r="E324" s="353">
        <f>LN_IV1-C324</f>
        <v>-8277.779137974605</v>
      </c>
      <c r="F324" s="362">
        <f>IF(C324=0,0,E324/C324)</f>
        <v>-4.5375199261582649E-3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748</v>
      </c>
      <c r="C325" s="429">
        <f>C324+C322+C323</f>
        <v>3593202.2112177946</v>
      </c>
      <c r="D325" s="429">
        <f>LN_IV1+LN_IV2+LN_IV3</f>
        <v>3721870.1910872329</v>
      </c>
      <c r="E325" s="353">
        <f>LN_IV4-C325</f>
        <v>128667.97986943834</v>
      </c>
      <c r="F325" s="362">
        <f>IF(C325=0,0,E325/C325)</f>
        <v>3.5808722222129177E-2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749</v>
      </c>
      <c r="B327" s="446" t="s">
        <v>750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751</v>
      </c>
      <c r="C329" s="431">
        <v>0</v>
      </c>
      <c r="D329" s="431">
        <v>0</v>
      </c>
      <c r="E329" s="431">
        <f t="shared" ref="E329:E335" si="34">D329-C329</f>
        <v>0</v>
      </c>
      <c r="F329" s="462">
        <f t="shared" ref="F329:F335" si="35">IF(C329=0,0,E329/C329)</f>
        <v>0</v>
      </c>
    </row>
    <row r="330" spans="1:22" s="333" customFormat="1" ht="11.25" customHeight="1" x14ac:dyDescent="0.2">
      <c r="A330" s="364">
        <v>2</v>
      </c>
      <c r="B330" s="360" t="s">
        <v>752</v>
      </c>
      <c r="C330" s="429">
        <v>3357906</v>
      </c>
      <c r="D330" s="429">
        <v>2507443</v>
      </c>
      <c r="E330" s="431">
        <f t="shared" si="34"/>
        <v>-850463</v>
      </c>
      <c r="F330" s="463">
        <f t="shared" si="35"/>
        <v>-0.25327183071831078</v>
      </c>
    </row>
    <row r="331" spans="1:22" s="333" customFormat="1" ht="11.25" customHeight="1" x14ac:dyDescent="0.2">
      <c r="A331" s="339">
        <v>3</v>
      </c>
      <c r="B331" s="360" t="s">
        <v>753</v>
      </c>
      <c r="C331" s="429">
        <v>63387116</v>
      </c>
      <c r="D331" s="429">
        <v>67847638</v>
      </c>
      <c r="E331" s="431">
        <f t="shared" si="34"/>
        <v>4460522</v>
      </c>
      <c r="F331" s="462">
        <f t="shared" si="35"/>
        <v>7.0369536926084469E-2</v>
      </c>
    </row>
    <row r="332" spans="1:22" s="333" customFormat="1" ht="11.25" customHeight="1" x14ac:dyDescent="0.2">
      <c r="A332" s="364">
        <v>4</v>
      </c>
      <c r="B332" s="360" t="s">
        <v>754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755</v>
      </c>
      <c r="C333" s="429">
        <v>148072623</v>
      </c>
      <c r="D333" s="429">
        <v>188069273</v>
      </c>
      <c r="E333" s="431">
        <f t="shared" si="34"/>
        <v>39996650</v>
      </c>
      <c r="F333" s="462">
        <f t="shared" si="35"/>
        <v>0.27011509075516277</v>
      </c>
    </row>
    <row r="334" spans="1:22" s="333" customFormat="1" ht="11.25" customHeight="1" x14ac:dyDescent="0.2">
      <c r="A334" s="339">
        <v>6</v>
      </c>
      <c r="B334" s="360" t="s">
        <v>756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757</v>
      </c>
      <c r="C335" s="429">
        <v>3746999</v>
      </c>
      <c r="D335" s="429">
        <v>5502701</v>
      </c>
      <c r="E335" s="429">
        <f t="shared" si="34"/>
        <v>1755702</v>
      </c>
      <c r="F335" s="462">
        <f t="shared" si="35"/>
        <v>0.46856217468966499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FILING&amp;RROCKVILLE GENERAL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610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758</v>
      </c>
      <c r="B5" s="710"/>
      <c r="C5" s="710"/>
      <c r="D5" s="710"/>
      <c r="E5" s="710"/>
    </row>
    <row r="6" spans="1:5" s="338" customFormat="1" ht="15.75" customHeight="1" x14ac:dyDescent="0.25">
      <c r="A6" s="710" t="s">
        <v>759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760</v>
      </c>
      <c r="D9" s="494" t="s">
        <v>761</v>
      </c>
      <c r="E9" s="495" t="s">
        <v>762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763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764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640</v>
      </c>
      <c r="C14" s="513">
        <v>12352100</v>
      </c>
      <c r="D14" s="513">
        <v>16101706</v>
      </c>
      <c r="E14" s="514">
        <f t="shared" ref="E14:E22" si="0">D14-C14</f>
        <v>3749606</v>
      </c>
    </row>
    <row r="15" spans="1:5" s="506" customFormat="1" x14ac:dyDescent="0.2">
      <c r="A15" s="512">
        <v>2</v>
      </c>
      <c r="B15" s="511" t="s">
        <v>619</v>
      </c>
      <c r="C15" s="513">
        <v>36910536</v>
      </c>
      <c r="D15" s="515">
        <v>46740240</v>
      </c>
      <c r="E15" s="514">
        <f t="shared" si="0"/>
        <v>9829704</v>
      </c>
    </row>
    <row r="16" spans="1:5" s="506" customFormat="1" x14ac:dyDescent="0.2">
      <c r="A16" s="512">
        <v>3</v>
      </c>
      <c r="B16" s="511" t="s">
        <v>765</v>
      </c>
      <c r="C16" s="513">
        <v>4845721</v>
      </c>
      <c r="D16" s="515">
        <v>6989943</v>
      </c>
      <c r="E16" s="514">
        <f t="shared" si="0"/>
        <v>2144222</v>
      </c>
    </row>
    <row r="17" spans="1:5" s="506" customFormat="1" x14ac:dyDescent="0.2">
      <c r="A17" s="512">
        <v>4</v>
      </c>
      <c r="B17" s="511" t="s">
        <v>114</v>
      </c>
      <c r="C17" s="513">
        <v>4845721</v>
      </c>
      <c r="D17" s="515">
        <v>6989943</v>
      </c>
      <c r="E17" s="514">
        <f t="shared" si="0"/>
        <v>2144222</v>
      </c>
    </row>
    <row r="18" spans="1:5" s="506" customFormat="1" x14ac:dyDescent="0.2">
      <c r="A18" s="512">
        <v>5</v>
      </c>
      <c r="B18" s="511" t="s">
        <v>732</v>
      </c>
      <c r="C18" s="513">
        <v>0</v>
      </c>
      <c r="D18" s="515">
        <v>0</v>
      </c>
      <c r="E18" s="514">
        <f t="shared" si="0"/>
        <v>0</v>
      </c>
    </row>
    <row r="19" spans="1:5" s="506" customFormat="1" x14ac:dyDescent="0.2">
      <c r="A19" s="512">
        <v>6</v>
      </c>
      <c r="B19" s="511" t="s">
        <v>430</v>
      </c>
      <c r="C19" s="513">
        <v>15966</v>
      </c>
      <c r="D19" s="515">
        <v>58007</v>
      </c>
      <c r="E19" s="514">
        <f t="shared" si="0"/>
        <v>42041</v>
      </c>
    </row>
    <row r="20" spans="1:5" s="506" customFormat="1" x14ac:dyDescent="0.2">
      <c r="A20" s="512">
        <v>7</v>
      </c>
      <c r="B20" s="511" t="s">
        <v>747</v>
      </c>
      <c r="C20" s="513">
        <v>786334</v>
      </c>
      <c r="D20" s="515">
        <v>1107951</v>
      </c>
      <c r="E20" s="514">
        <f t="shared" si="0"/>
        <v>321617</v>
      </c>
    </row>
    <row r="21" spans="1:5" s="506" customFormat="1" x14ac:dyDescent="0.2">
      <c r="A21" s="512"/>
      <c r="B21" s="516" t="s">
        <v>766</v>
      </c>
      <c r="C21" s="517">
        <f>SUM(C15+C16+C19)</f>
        <v>41772223</v>
      </c>
      <c r="D21" s="517">
        <f>SUM(D15+D16+D19)</f>
        <v>53788190</v>
      </c>
      <c r="E21" s="517">
        <f t="shared" si="0"/>
        <v>12015967</v>
      </c>
    </row>
    <row r="22" spans="1:5" s="506" customFormat="1" x14ac:dyDescent="0.2">
      <c r="A22" s="512"/>
      <c r="B22" s="516" t="s">
        <v>706</v>
      </c>
      <c r="C22" s="517">
        <f>SUM(C14+C21)</f>
        <v>54124323</v>
      </c>
      <c r="D22" s="517">
        <f>SUM(D14+D21)</f>
        <v>69889896</v>
      </c>
      <c r="E22" s="517">
        <f t="shared" si="0"/>
        <v>15765573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767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640</v>
      </c>
      <c r="C25" s="513">
        <v>44728204</v>
      </c>
      <c r="D25" s="513">
        <v>54651449</v>
      </c>
      <c r="E25" s="514">
        <f t="shared" ref="E25:E33" si="1">D25-C25</f>
        <v>9923245</v>
      </c>
    </row>
    <row r="26" spans="1:5" s="506" customFormat="1" x14ac:dyDescent="0.2">
      <c r="A26" s="512">
        <v>2</v>
      </c>
      <c r="B26" s="511" t="s">
        <v>619</v>
      </c>
      <c r="C26" s="513">
        <v>30465162</v>
      </c>
      <c r="D26" s="515">
        <v>39612350</v>
      </c>
      <c r="E26" s="514">
        <f t="shared" si="1"/>
        <v>9147188</v>
      </c>
    </row>
    <row r="27" spans="1:5" s="506" customFormat="1" x14ac:dyDescent="0.2">
      <c r="A27" s="512">
        <v>3</v>
      </c>
      <c r="B27" s="511" t="s">
        <v>765</v>
      </c>
      <c r="C27" s="513">
        <v>18272578</v>
      </c>
      <c r="D27" s="515">
        <v>23256228</v>
      </c>
      <c r="E27" s="514">
        <f t="shared" si="1"/>
        <v>4983650</v>
      </c>
    </row>
    <row r="28" spans="1:5" s="506" customFormat="1" x14ac:dyDescent="0.2">
      <c r="A28" s="512">
        <v>4</v>
      </c>
      <c r="B28" s="511" t="s">
        <v>114</v>
      </c>
      <c r="C28" s="513">
        <v>18272578</v>
      </c>
      <c r="D28" s="515">
        <v>23256228</v>
      </c>
      <c r="E28" s="514">
        <f t="shared" si="1"/>
        <v>4983650</v>
      </c>
    </row>
    <row r="29" spans="1:5" s="506" customFormat="1" x14ac:dyDescent="0.2">
      <c r="A29" s="512">
        <v>5</v>
      </c>
      <c r="B29" s="511" t="s">
        <v>732</v>
      </c>
      <c r="C29" s="513">
        <v>0</v>
      </c>
      <c r="D29" s="515">
        <v>0</v>
      </c>
      <c r="E29" s="514">
        <f t="shared" si="1"/>
        <v>0</v>
      </c>
    </row>
    <row r="30" spans="1:5" s="506" customFormat="1" x14ac:dyDescent="0.2">
      <c r="A30" s="512">
        <v>6</v>
      </c>
      <c r="B30" s="511" t="s">
        <v>430</v>
      </c>
      <c r="C30" s="513">
        <v>482355</v>
      </c>
      <c r="D30" s="515">
        <v>659375</v>
      </c>
      <c r="E30" s="514">
        <f t="shared" si="1"/>
        <v>177020</v>
      </c>
    </row>
    <row r="31" spans="1:5" s="506" customFormat="1" x14ac:dyDescent="0.2">
      <c r="A31" s="512">
        <v>7</v>
      </c>
      <c r="B31" s="511" t="s">
        <v>747</v>
      </c>
      <c r="C31" s="514">
        <v>3146480</v>
      </c>
      <c r="D31" s="518">
        <v>4649453</v>
      </c>
      <c r="E31" s="514">
        <f t="shared" si="1"/>
        <v>1502973</v>
      </c>
    </row>
    <row r="32" spans="1:5" s="506" customFormat="1" x14ac:dyDescent="0.2">
      <c r="A32" s="512"/>
      <c r="B32" s="516" t="s">
        <v>768</v>
      </c>
      <c r="C32" s="517">
        <f>SUM(C26+C27+C30)</f>
        <v>49220095</v>
      </c>
      <c r="D32" s="517">
        <f>SUM(D26+D27+D30)</f>
        <v>63527953</v>
      </c>
      <c r="E32" s="517">
        <f t="shared" si="1"/>
        <v>14307858</v>
      </c>
    </row>
    <row r="33" spans="1:5" s="506" customFormat="1" x14ac:dyDescent="0.2">
      <c r="A33" s="512"/>
      <c r="B33" s="516" t="s">
        <v>712</v>
      </c>
      <c r="C33" s="517">
        <f>SUM(C25+C32)</f>
        <v>93948299</v>
      </c>
      <c r="D33" s="517">
        <f>SUM(D25+D32)</f>
        <v>118179402</v>
      </c>
      <c r="E33" s="517">
        <f t="shared" si="1"/>
        <v>24231103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637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769</v>
      </c>
      <c r="C36" s="514">
        <f t="shared" ref="C36:D42" si="2">C14+C25</f>
        <v>57080304</v>
      </c>
      <c r="D36" s="514">
        <f t="shared" si="2"/>
        <v>70753155</v>
      </c>
      <c r="E36" s="514">
        <f t="shared" ref="E36:E44" si="3">D36-C36</f>
        <v>13672851</v>
      </c>
    </row>
    <row r="37" spans="1:5" s="506" customFormat="1" x14ac:dyDescent="0.2">
      <c r="A37" s="512">
        <v>2</v>
      </c>
      <c r="B37" s="511" t="s">
        <v>770</v>
      </c>
      <c r="C37" s="514">
        <f t="shared" si="2"/>
        <v>67375698</v>
      </c>
      <c r="D37" s="514">
        <f t="shared" si="2"/>
        <v>86352590</v>
      </c>
      <c r="E37" s="514">
        <f t="shared" si="3"/>
        <v>18976892</v>
      </c>
    </row>
    <row r="38" spans="1:5" s="506" customFormat="1" x14ac:dyDescent="0.2">
      <c r="A38" s="512">
        <v>3</v>
      </c>
      <c r="B38" s="511" t="s">
        <v>771</v>
      </c>
      <c r="C38" s="514">
        <f t="shared" si="2"/>
        <v>23118299</v>
      </c>
      <c r="D38" s="514">
        <f t="shared" si="2"/>
        <v>30246171</v>
      </c>
      <c r="E38" s="514">
        <f t="shared" si="3"/>
        <v>7127872</v>
      </c>
    </row>
    <row r="39" spans="1:5" s="506" customFormat="1" x14ac:dyDescent="0.2">
      <c r="A39" s="512">
        <v>4</v>
      </c>
      <c r="B39" s="511" t="s">
        <v>772</v>
      </c>
      <c r="C39" s="514">
        <f t="shared" si="2"/>
        <v>23118299</v>
      </c>
      <c r="D39" s="514">
        <f t="shared" si="2"/>
        <v>30246171</v>
      </c>
      <c r="E39" s="514">
        <f t="shared" si="3"/>
        <v>7127872</v>
      </c>
    </row>
    <row r="40" spans="1:5" s="506" customFormat="1" x14ac:dyDescent="0.2">
      <c r="A40" s="512">
        <v>5</v>
      </c>
      <c r="B40" s="511" t="s">
        <v>773</v>
      </c>
      <c r="C40" s="514">
        <f t="shared" si="2"/>
        <v>0</v>
      </c>
      <c r="D40" s="514">
        <f t="shared" si="2"/>
        <v>0</v>
      </c>
      <c r="E40" s="514">
        <f t="shared" si="3"/>
        <v>0</v>
      </c>
    </row>
    <row r="41" spans="1:5" s="506" customFormat="1" x14ac:dyDescent="0.2">
      <c r="A41" s="512">
        <v>6</v>
      </c>
      <c r="B41" s="511" t="s">
        <v>774</v>
      </c>
      <c r="C41" s="514">
        <f t="shared" si="2"/>
        <v>498321</v>
      </c>
      <c r="D41" s="514">
        <f t="shared" si="2"/>
        <v>717382</v>
      </c>
      <c r="E41" s="514">
        <f t="shared" si="3"/>
        <v>219061</v>
      </c>
    </row>
    <row r="42" spans="1:5" s="506" customFormat="1" x14ac:dyDescent="0.2">
      <c r="A42" s="512">
        <v>7</v>
      </c>
      <c r="B42" s="511" t="s">
        <v>775</v>
      </c>
      <c r="C42" s="514">
        <f t="shared" si="2"/>
        <v>3932814</v>
      </c>
      <c r="D42" s="514">
        <f t="shared" si="2"/>
        <v>5757404</v>
      </c>
      <c r="E42" s="514">
        <f t="shared" si="3"/>
        <v>1824590</v>
      </c>
    </row>
    <row r="43" spans="1:5" s="506" customFormat="1" x14ac:dyDescent="0.2">
      <c r="A43" s="512"/>
      <c r="B43" s="516" t="s">
        <v>776</v>
      </c>
      <c r="C43" s="517">
        <f>SUM(C37+C38+C41)</f>
        <v>90992318</v>
      </c>
      <c r="D43" s="517">
        <f>SUM(D37+D38+D41)</f>
        <v>117316143</v>
      </c>
      <c r="E43" s="517">
        <f t="shared" si="3"/>
        <v>26323825</v>
      </c>
    </row>
    <row r="44" spans="1:5" s="506" customFormat="1" x14ac:dyDescent="0.2">
      <c r="A44" s="512"/>
      <c r="B44" s="516" t="s">
        <v>714</v>
      </c>
      <c r="C44" s="517">
        <f>SUM(C36+C43)</f>
        <v>148072622</v>
      </c>
      <c r="D44" s="517">
        <f>SUM(D36+D43)</f>
        <v>188069298</v>
      </c>
      <c r="E44" s="517">
        <f t="shared" si="3"/>
        <v>39996676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333</v>
      </c>
      <c r="B46" s="509" t="s">
        <v>777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640</v>
      </c>
      <c r="C47" s="513">
        <v>7212608</v>
      </c>
      <c r="D47" s="513">
        <v>7991645</v>
      </c>
      <c r="E47" s="514">
        <f t="shared" ref="E47:E55" si="4">D47-C47</f>
        <v>779037</v>
      </c>
    </row>
    <row r="48" spans="1:5" s="506" customFormat="1" x14ac:dyDescent="0.2">
      <c r="A48" s="512">
        <v>2</v>
      </c>
      <c r="B48" s="511" t="s">
        <v>619</v>
      </c>
      <c r="C48" s="513">
        <v>14956892</v>
      </c>
      <c r="D48" s="515">
        <v>15389796</v>
      </c>
      <c r="E48" s="514">
        <f t="shared" si="4"/>
        <v>432904</v>
      </c>
    </row>
    <row r="49" spans="1:5" s="506" customFormat="1" x14ac:dyDescent="0.2">
      <c r="A49" s="512">
        <v>3</v>
      </c>
      <c r="B49" s="511" t="s">
        <v>765</v>
      </c>
      <c r="C49" s="513">
        <v>1391859</v>
      </c>
      <c r="D49" s="515">
        <v>1772603</v>
      </c>
      <c r="E49" s="514">
        <f t="shared" si="4"/>
        <v>380744</v>
      </c>
    </row>
    <row r="50" spans="1:5" s="506" customFormat="1" x14ac:dyDescent="0.2">
      <c r="A50" s="512">
        <v>4</v>
      </c>
      <c r="B50" s="511" t="s">
        <v>114</v>
      </c>
      <c r="C50" s="513">
        <v>1391859</v>
      </c>
      <c r="D50" s="515">
        <v>1772603</v>
      </c>
      <c r="E50" s="514">
        <f t="shared" si="4"/>
        <v>380744</v>
      </c>
    </row>
    <row r="51" spans="1:5" s="506" customFormat="1" x14ac:dyDescent="0.2">
      <c r="A51" s="512">
        <v>5</v>
      </c>
      <c r="B51" s="511" t="s">
        <v>732</v>
      </c>
      <c r="C51" s="513">
        <v>0</v>
      </c>
      <c r="D51" s="515">
        <v>0</v>
      </c>
      <c r="E51" s="514">
        <f t="shared" si="4"/>
        <v>0</v>
      </c>
    </row>
    <row r="52" spans="1:5" s="506" customFormat="1" x14ac:dyDescent="0.2">
      <c r="A52" s="512">
        <v>6</v>
      </c>
      <c r="B52" s="511" t="s">
        <v>430</v>
      </c>
      <c r="C52" s="513">
        <v>5231</v>
      </c>
      <c r="D52" s="515">
        <v>45723</v>
      </c>
      <c r="E52" s="514">
        <f t="shared" si="4"/>
        <v>40492</v>
      </c>
    </row>
    <row r="53" spans="1:5" s="506" customFormat="1" x14ac:dyDescent="0.2">
      <c r="A53" s="512">
        <v>7</v>
      </c>
      <c r="B53" s="511" t="s">
        <v>747</v>
      </c>
      <c r="C53" s="513">
        <v>4157</v>
      </c>
      <c r="D53" s="515">
        <v>32437</v>
      </c>
      <c r="E53" s="514">
        <f t="shared" si="4"/>
        <v>28280</v>
      </c>
    </row>
    <row r="54" spans="1:5" s="506" customFormat="1" x14ac:dyDescent="0.2">
      <c r="A54" s="512"/>
      <c r="B54" s="516" t="s">
        <v>778</v>
      </c>
      <c r="C54" s="517">
        <f>SUM(C48+C49+C52)</f>
        <v>16353982</v>
      </c>
      <c r="D54" s="517">
        <f>SUM(D48+D49+D52)</f>
        <v>17208122</v>
      </c>
      <c r="E54" s="517">
        <f t="shared" si="4"/>
        <v>854140</v>
      </c>
    </row>
    <row r="55" spans="1:5" s="506" customFormat="1" x14ac:dyDescent="0.2">
      <c r="A55" s="512"/>
      <c r="B55" s="516" t="s">
        <v>707</v>
      </c>
      <c r="C55" s="517">
        <f>SUM(C47+C54)</f>
        <v>23566590</v>
      </c>
      <c r="D55" s="517">
        <f>SUM(D47+D54)</f>
        <v>25199767</v>
      </c>
      <c r="E55" s="517">
        <f t="shared" si="4"/>
        <v>1633177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354</v>
      </c>
      <c r="B57" s="509" t="s">
        <v>779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640</v>
      </c>
      <c r="C58" s="513">
        <v>23939105</v>
      </c>
      <c r="D58" s="513">
        <v>26006860</v>
      </c>
      <c r="E58" s="514">
        <f t="shared" ref="E58:E66" si="5">D58-C58</f>
        <v>2067755</v>
      </c>
    </row>
    <row r="59" spans="1:5" s="506" customFormat="1" x14ac:dyDescent="0.2">
      <c r="A59" s="512">
        <v>2</v>
      </c>
      <c r="B59" s="511" t="s">
        <v>619</v>
      </c>
      <c r="C59" s="513">
        <v>7879322</v>
      </c>
      <c r="D59" s="515">
        <v>9596522</v>
      </c>
      <c r="E59" s="514">
        <f t="shared" si="5"/>
        <v>1717200</v>
      </c>
    </row>
    <row r="60" spans="1:5" s="506" customFormat="1" x14ac:dyDescent="0.2">
      <c r="A60" s="512">
        <v>3</v>
      </c>
      <c r="B60" s="511" t="s">
        <v>765</v>
      </c>
      <c r="C60" s="513">
        <f>C61+C62</f>
        <v>4333204</v>
      </c>
      <c r="D60" s="515">
        <f>D61+D62</f>
        <v>4149278</v>
      </c>
      <c r="E60" s="514">
        <f t="shared" si="5"/>
        <v>-183926</v>
      </c>
    </row>
    <row r="61" spans="1:5" s="506" customFormat="1" x14ac:dyDescent="0.2">
      <c r="A61" s="512">
        <v>4</v>
      </c>
      <c r="B61" s="511" t="s">
        <v>114</v>
      </c>
      <c r="C61" s="513">
        <v>4333204</v>
      </c>
      <c r="D61" s="515">
        <v>4149278</v>
      </c>
      <c r="E61" s="514">
        <f t="shared" si="5"/>
        <v>-183926</v>
      </c>
    </row>
    <row r="62" spans="1:5" s="506" customFormat="1" x14ac:dyDescent="0.2">
      <c r="A62" s="512">
        <v>5</v>
      </c>
      <c r="B62" s="511" t="s">
        <v>732</v>
      </c>
      <c r="C62" s="513">
        <v>0</v>
      </c>
      <c r="D62" s="515">
        <v>0</v>
      </c>
      <c r="E62" s="514">
        <f t="shared" si="5"/>
        <v>0</v>
      </c>
    </row>
    <row r="63" spans="1:5" s="506" customFormat="1" x14ac:dyDescent="0.2">
      <c r="A63" s="512">
        <v>6</v>
      </c>
      <c r="B63" s="511" t="s">
        <v>430</v>
      </c>
      <c r="C63" s="513">
        <v>310999</v>
      </c>
      <c r="D63" s="515">
        <v>387769</v>
      </c>
      <c r="E63" s="514">
        <f t="shared" si="5"/>
        <v>76770</v>
      </c>
    </row>
    <row r="64" spans="1:5" s="506" customFormat="1" x14ac:dyDescent="0.2">
      <c r="A64" s="512">
        <v>7</v>
      </c>
      <c r="B64" s="511" t="s">
        <v>747</v>
      </c>
      <c r="C64" s="513">
        <v>183945</v>
      </c>
      <c r="D64" s="515">
        <v>224697</v>
      </c>
      <c r="E64" s="514">
        <f t="shared" si="5"/>
        <v>40752</v>
      </c>
    </row>
    <row r="65" spans="1:5" s="506" customFormat="1" x14ac:dyDescent="0.2">
      <c r="A65" s="512"/>
      <c r="B65" s="516" t="s">
        <v>780</v>
      </c>
      <c r="C65" s="517">
        <f>SUM(C59+C60+C63)</f>
        <v>12523525</v>
      </c>
      <c r="D65" s="517">
        <f>SUM(D59+D60+D63)</f>
        <v>14133569</v>
      </c>
      <c r="E65" s="517">
        <f t="shared" si="5"/>
        <v>1610044</v>
      </c>
    </row>
    <row r="66" spans="1:5" s="506" customFormat="1" x14ac:dyDescent="0.2">
      <c r="A66" s="512"/>
      <c r="B66" s="516" t="s">
        <v>713</v>
      </c>
      <c r="C66" s="517">
        <f>SUM(C58+C65)</f>
        <v>36462630</v>
      </c>
      <c r="D66" s="517">
        <f>SUM(D58+D65)</f>
        <v>40140429</v>
      </c>
      <c r="E66" s="517">
        <f t="shared" si="5"/>
        <v>3677799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366</v>
      </c>
      <c r="B68" s="521" t="s">
        <v>638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769</v>
      </c>
      <c r="C69" s="514">
        <f t="shared" ref="C69:D75" si="6">C47+C58</f>
        <v>31151713</v>
      </c>
      <c r="D69" s="514">
        <f t="shared" si="6"/>
        <v>33998505</v>
      </c>
      <c r="E69" s="514">
        <f t="shared" ref="E69:E77" si="7">D69-C69</f>
        <v>2846792</v>
      </c>
    </row>
    <row r="70" spans="1:5" s="506" customFormat="1" x14ac:dyDescent="0.2">
      <c r="A70" s="512">
        <v>2</v>
      </c>
      <c r="B70" s="511" t="s">
        <v>770</v>
      </c>
      <c r="C70" s="514">
        <f t="shared" si="6"/>
        <v>22836214</v>
      </c>
      <c r="D70" s="514">
        <f t="shared" si="6"/>
        <v>24986318</v>
      </c>
      <c r="E70" s="514">
        <f t="shared" si="7"/>
        <v>2150104</v>
      </c>
    </row>
    <row r="71" spans="1:5" s="506" customFormat="1" x14ac:dyDescent="0.2">
      <c r="A71" s="512">
        <v>3</v>
      </c>
      <c r="B71" s="511" t="s">
        <v>771</v>
      </c>
      <c r="C71" s="514">
        <f t="shared" si="6"/>
        <v>5725063</v>
      </c>
      <c r="D71" s="514">
        <f t="shared" si="6"/>
        <v>5921881</v>
      </c>
      <c r="E71" s="514">
        <f t="shared" si="7"/>
        <v>196818</v>
      </c>
    </row>
    <row r="72" spans="1:5" s="506" customFormat="1" x14ac:dyDescent="0.2">
      <c r="A72" s="512">
        <v>4</v>
      </c>
      <c r="B72" s="511" t="s">
        <v>772</v>
      </c>
      <c r="C72" s="514">
        <f t="shared" si="6"/>
        <v>5725063</v>
      </c>
      <c r="D72" s="514">
        <f t="shared" si="6"/>
        <v>5921881</v>
      </c>
      <c r="E72" s="514">
        <f t="shared" si="7"/>
        <v>196818</v>
      </c>
    </row>
    <row r="73" spans="1:5" s="506" customFormat="1" x14ac:dyDescent="0.2">
      <c r="A73" s="512">
        <v>5</v>
      </c>
      <c r="B73" s="511" t="s">
        <v>773</v>
      </c>
      <c r="C73" s="514">
        <f t="shared" si="6"/>
        <v>0</v>
      </c>
      <c r="D73" s="514">
        <f t="shared" si="6"/>
        <v>0</v>
      </c>
      <c r="E73" s="514">
        <f t="shared" si="7"/>
        <v>0</v>
      </c>
    </row>
    <row r="74" spans="1:5" s="506" customFormat="1" x14ac:dyDescent="0.2">
      <c r="A74" s="512">
        <v>6</v>
      </c>
      <c r="B74" s="511" t="s">
        <v>774</v>
      </c>
      <c r="C74" s="514">
        <f t="shared" si="6"/>
        <v>316230</v>
      </c>
      <c r="D74" s="514">
        <f t="shared" si="6"/>
        <v>433492</v>
      </c>
      <c r="E74" s="514">
        <f t="shared" si="7"/>
        <v>117262</v>
      </c>
    </row>
    <row r="75" spans="1:5" s="506" customFormat="1" x14ac:dyDescent="0.2">
      <c r="A75" s="512">
        <v>7</v>
      </c>
      <c r="B75" s="511" t="s">
        <v>775</v>
      </c>
      <c r="C75" s="514">
        <f t="shared" si="6"/>
        <v>188102</v>
      </c>
      <c r="D75" s="514">
        <f t="shared" si="6"/>
        <v>257134</v>
      </c>
      <c r="E75" s="514">
        <f t="shared" si="7"/>
        <v>69032</v>
      </c>
    </row>
    <row r="76" spans="1:5" s="506" customFormat="1" x14ac:dyDescent="0.2">
      <c r="A76" s="512"/>
      <c r="B76" s="516" t="s">
        <v>781</v>
      </c>
      <c r="C76" s="517">
        <f>SUM(C70+C71+C74)</f>
        <v>28877507</v>
      </c>
      <c r="D76" s="517">
        <f>SUM(D70+D71+D74)</f>
        <v>31341691</v>
      </c>
      <c r="E76" s="517">
        <f t="shared" si="7"/>
        <v>2464184</v>
      </c>
    </row>
    <row r="77" spans="1:5" s="506" customFormat="1" x14ac:dyDescent="0.2">
      <c r="A77" s="512"/>
      <c r="B77" s="516" t="s">
        <v>715</v>
      </c>
      <c r="C77" s="517">
        <f>SUM(C69+C76)</f>
        <v>60029220</v>
      </c>
      <c r="D77" s="517">
        <f>SUM(D69+D76)</f>
        <v>65340196</v>
      </c>
      <c r="E77" s="517">
        <f t="shared" si="7"/>
        <v>5310976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782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783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640</v>
      </c>
      <c r="C83" s="523">
        <f t="shared" ref="C83:D89" si="8">IF(C$44=0,0,C14/C$44)</f>
        <v>8.3419202234427919E-2</v>
      </c>
      <c r="D83" s="523">
        <f t="shared" si="8"/>
        <v>8.5615813804973101E-2</v>
      </c>
      <c r="E83" s="523">
        <f t="shared" ref="E83:E91" si="9">D83-C83</f>
        <v>2.1966115705451816E-3</v>
      </c>
    </row>
    <row r="84" spans="1:5" s="506" customFormat="1" x14ac:dyDescent="0.2">
      <c r="A84" s="512">
        <v>2</v>
      </c>
      <c r="B84" s="511" t="s">
        <v>619</v>
      </c>
      <c r="C84" s="523">
        <f t="shared" si="8"/>
        <v>0.24927319785017382</v>
      </c>
      <c r="D84" s="523">
        <f t="shared" si="8"/>
        <v>0.24852668934830607</v>
      </c>
      <c r="E84" s="523">
        <f t="shared" si="9"/>
        <v>-7.4650850186774864E-4</v>
      </c>
    </row>
    <row r="85" spans="1:5" s="506" customFormat="1" x14ac:dyDescent="0.2">
      <c r="A85" s="512">
        <v>3</v>
      </c>
      <c r="B85" s="511" t="s">
        <v>765</v>
      </c>
      <c r="C85" s="523">
        <f t="shared" si="8"/>
        <v>3.2725300157108041E-2</v>
      </c>
      <c r="D85" s="523">
        <f t="shared" si="8"/>
        <v>3.71668479349564E-2</v>
      </c>
      <c r="E85" s="523">
        <f t="shared" si="9"/>
        <v>4.4415477778483592E-3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3.2725300157108041E-2</v>
      </c>
      <c r="D86" s="523">
        <f t="shared" si="8"/>
        <v>3.71668479349564E-2</v>
      </c>
      <c r="E86" s="523">
        <f t="shared" si="9"/>
        <v>4.4415477778483592E-3</v>
      </c>
    </row>
    <row r="87" spans="1:5" s="506" customFormat="1" x14ac:dyDescent="0.2">
      <c r="A87" s="512">
        <v>5</v>
      </c>
      <c r="B87" s="511" t="s">
        <v>732</v>
      </c>
      <c r="C87" s="523">
        <f t="shared" si="8"/>
        <v>0</v>
      </c>
      <c r="D87" s="523">
        <f t="shared" si="8"/>
        <v>0</v>
      </c>
      <c r="E87" s="523">
        <f t="shared" si="9"/>
        <v>0</v>
      </c>
    </row>
    <row r="88" spans="1:5" s="506" customFormat="1" x14ac:dyDescent="0.2">
      <c r="A88" s="512">
        <v>6</v>
      </c>
      <c r="B88" s="511" t="s">
        <v>430</v>
      </c>
      <c r="C88" s="523">
        <f t="shared" si="8"/>
        <v>1.0782546958613322E-4</v>
      </c>
      <c r="D88" s="523">
        <f t="shared" si="8"/>
        <v>3.0843418153238386E-4</v>
      </c>
      <c r="E88" s="523">
        <f t="shared" si="9"/>
        <v>2.0060871194625064E-4</v>
      </c>
    </row>
    <row r="89" spans="1:5" s="506" customFormat="1" x14ac:dyDescent="0.2">
      <c r="A89" s="512">
        <v>7</v>
      </c>
      <c r="B89" s="511" t="s">
        <v>747</v>
      </c>
      <c r="C89" s="523">
        <f t="shared" si="8"/>
        <v>5.310461781381841E-3</v>
      </c>
      <c r="D89" s="523">
        <f t="shared" si="8"/>
        <v>5.8911848546379965E-3</v>
      </c>
      <c r="E89" s="523">
        <f t="shared" si="9"/>
        <v>5.8072307325615549E-4</v>
      </c>
    </row>
    <row r="90" spans="1:5" s="506" customFormat="1" x14ac:dyDescent="0.2">
      <c r="A90" s="512"/>
      <c r="B90" s="516" t="s">
        <v>784</v>
      </c>
      <c r="C90" s="524">
        <f>SUM(C84+C85+C88)</f>
        <v>0.28210632347686804</v>
      </c>
      <c r="D90" s="524">
        <f>SUM(D84+D85+D88)</f>
        <v>0.28600197146479484</v>
      </c>
      <c r="E90" s="525">
        <f t="shared" si="9"/>
        <v>3.895647987926798E-3</v>
      </c>
    </row>
    <row r="91" spans="1:5" s="506" customFormat="1" x14ac:dyDescent="0.2">
      <c r="A91" s="512"/>
      <c r="B91" s="516" t="s">
        <v>785</v>
      </c>
      <c r="C91" s="524">
        <f>SUM(C83+C90)</f>
        <v>0.36552552571129593</v>
      </c>
      <c r="D91" s="524">
        <f>SUM(D83+D90)</f>
        <v>0.37161778526976796</v>
      </c>
      <c r="E91" s="525">
        <f t="shared" si="9"/>
        <v>6.0922595584720352E-3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786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640</v>
      </c>
      <c r="C95" s="523">
        <f t="shared" ref="C95:D101" si="10">IF(C$44=0,0,C25/C$44)</f>
        <v>0.30206937241916337</v>
      </c>
      <c r="D95" s="523">
        <f t="shared" si="10"/>
        <v>0.29059208271197995</v>
      </c>
      <c r="E95" s="523">
        <f t="shared" ref="E95:E103" si="11">D95-C95</f>
        <v>-1.1477289707183425E-2</v>
      </c>
    </row>
    <row r="96" spans="1:5" s="506" customFormat="1" x14ac:dyDescent="0.2">
      <c r="A96" s="512">
        <v>2</v>
      </c>
      <c r="B96" s="511" t="s">
        <v>619</v>
      </c>
      <c r="C96" s="523">
        <f t="shared" si="10"/>
        <v>0.20574473247323194</v>
      </c>
      <c r="D96" s="523">
        <f t="shared" si="10"/>
        <v>0.21062635114424685</v>
      </c>
      <c r="E96" s="523">
        <f t="shared" si="11"/>
        <v>4.8816186710149145E-3</v>
      </c>
    </row>
    <row r="97" spans="1:5" s="506" customFormat="1" x14ac:dyDescent="0.2">
      <c r="A97" s="512">
        <v>3</v>
      </c>
      <c r="B97" s="511" t="s">
        <v>765</v>
      </c>
      <c r="C97" s="523">
        <f t="shared" si="10"/>
        <v>0.12340281243888557</v>
      </c>
      <c r="D97" s="523">
        <f t="shared" si="10"/>
        <v>0.12365775938611734</v>
      </c>
      <c r="E97" s="523">
        <f t="shared" si="11"/>
        <v>2.5494694723177114E-4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0.12340281243888557</v>
      </c>
      <c r="D98" s="523">
        <f t="shared" si="10"/>
        <v>0.12365775938611734</v>
      </c>
      <c r="E98" s="523">
        <f t="shared" si="11"/>
        <v>2.5494694723177114E-4</v>
      </c>
    </row>
    <row r="99" spans="1:5" s="506" customFormat="1" x14ac:dyDescent="0.2">
      <c r="A99" s="512">
        <v>5</v>
      </c>
      <c r="B99" s="511" t="s">
        <v>732</v>
      </c>
      <c r="C99" s="523">
        <f t="shared" si="10"/>
        <v>0</v>
      </c>
      <c r="D99" s="523">
        <f t="shared" si="10"/>
        <v>0</v>
      </c>
      <c r="E99" s="523">
        <f t="shared" si="11"/>
        <v>0</v>
      </c>
    </row>
    <row r="100" spans="1:5" s="506" customFormat="1" x14ac:dyDescent="0.2">
      <c r="A100" s="512">
        <v>6</v>
      </c>
      <c r="B100" s="511" t="s">
        <v>430</v>
      </c>
      <c r="C100" s="523">
        <f t="shared" si="10"/>
        <v>3.2575569574232297E-3</v>
      </c>
      <c r="D100" s="523">
        <f t="shared" si="10"/>
        <v>3.5060214878879382E-3</v>
      </c>
      <c r="E100" s="523">
        <f t="shared" si="11"/>
        <v>2.4846453046470851E-4</v>
      </c>
    </row>
    <row r="101" spans="1:5" s="506" customFormat="1" x14ac:dyDescent="0.2">
      <c r="A101" s="512">
        <v>7</v>
      </c>
      <c r="B101" s="511" t="s">
        <v>747</v>
      </c>
      <c r="C101" s="523">
        <f t="shared" si="10"/>
        <v>2.12495730642225E-2</v>
      </c>
      <c r="D101" s="523">
        <f t="shared" si="10"/>
        <v>2.4722020284246502E-2</v>
      </c>
      <c r="E101" s="523">
        <f t="shared" si="11"/>
        <v>3.4724472200240025E-3</v>
      </c>
    </row>
    <row r="102" spans="1:5" s="506" customFormat="1" x14ac:dyDescent="0.2">
      <c r="A102" s="512"/>
      <c r="B102" s="516" t="s">
        <v>787</v>
      </c>
      <c r="C102" s="524">
        <f>SUM(C96+C97+C100)</f>
        <v>0.33240510186954075</v>
      </c>
      <c r="D102" s="524">
        <f>SUM(D96+D97+D100)</f>
        <v>0.33779013201825214</v>
      </c>
      <c r="E102" s="525">
        <f t="shared" si="11"/>
        <v>5.3850301487113894E-3</v>
      </c>
    </row>
    <row r="103" spans="1:5" s="506" customFormat="1" x14ac:dyDescent="0.2">
      <c r="A103" s="512"/>
      <c r="B103" s="516" t="s">
        <v>788</v>
      </c>
      <c r="C103" s="524">
        <f>SUM(C95+C102)</f>
        <v>0.63447447428870407</v>
      </c>
      <c r="D103" s="524">
        <f>SUM(D95+D102)</f>
        <v>0.62838221473023204</v>
      </c>
      <c r="E103" s="525">
        <f t="shared" si="11"/>
        <v>-6.0922595584720352E-3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789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790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640</v>
      </c>
      <c r="C109" s="523">
        <f t="shared" ref="C109:D115" si="12">IF(C$77=0,0,C47/C$77)</f>
        <v>0.12015161949463944</v>
      </c>
      <c r="D109" s="523">
        <f t="shared" si="12"/>
        <v>0.12230824958039611</v>
      </c>
      <c r="E109" s="523">
        <f t="shared" ref="E109:E117" si="13">D109-C109</f>
        <v>2.1566300857566723E-3</v>
      </c>
    </row>
    <row r="110" spans="1:5" s="506" customFormat="1" x14ac:dyDescent="0.2">
      <c r="A110" s="512">
        <v>2</v>
      </c>
      <c r="B110" s="511" t="s">
        <v>619</v>
      </c>
      <c r="C110" s="523">
        <f t="shared" si="12"/>
        <v>0.24916019231967365</v>
      </c>
      <c r="D110" s="523">
        <f t="shared" si="12"/>
        <v>0.23553336142426018</v>
      </c>
      <c r="E110" s="523">
        <f t="shared" si="13"/>
        <v>-1.3626830895413472E-2</v>
      </c>
    </row>
    <row r="111" spans="1:5" s="506" customFormat="1" x14ac:dyDescent="0.2">
      <c r="A111" s="512">
        <v>3</v>
      </c>
      <c r="B111" s="511" t="s">
        <v>765</v>
      </c>
      <c r="C111" s="523">
        <f t="shared" si="12"/>
        <v>2.3186358243535397E-2</v>
      </c>
      <c r="D111" s="523">
        <f t="shared" si="12"/>
        <v>2.7128828937091037E-2</v>
      </c>
      <c r="E111" s="523">
        <f t="shared" si="13"/>
        <v>3.94247069355564E-3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2.3186358243535397E-2</v>
      </c>
      <c r="D112" s="523">
        <f t="shared" si="12"/>
        <v>2.7128828937091037E-2</v>
      </c>
      <c r="E112" s="523">
        <f t="shared" si="13"/>
        <v>3.94247069355564E-3</v>
      </c>
    </row>
    <row r="113" spans="1:5" s="506" customFormat="1" x14ac:dyDescent="0.2">
      <c r="A113" s="512">
        <v>5</v>
      </c>
      <c r="B113" s="511" t="s">
        <v>732</v>
      </c>
      <c r="C113" s="523">
        <f t="shared" si="12"/>
        <v>0</v>
      </c>
      <c r="D113" s="523">
        <f t="shared" si="12"/>
        <v>0</v>
      </c>
      <c r="E113" s="523">
        <f t="shared" si="13"/>
        <v>0</v>
      </c>
    </row>
    <row r="114" spans="1:5" s="506" customFormat="1" x14ac:dyDescent="0.2">
      <c r="A114" s="512">
        <v>6</v>
      </c>
      <c r="B114" s="511" t="s">
        <v>430</v>
      </c>
      <c r="C114" s="523">
        <f t="shared" si="12"/>
        <v>8.7140895717119097E-5</v>
      </c>
      <c r="D114" s="523">
        <f t="shared" si="12"/>
        <v>6.9976833249780883E-4</v>
      </c>
      <c r="E114" s="523">
        <f t="shared" si="13"/>
        <v>6.1262743678068977E-4</v>
      </c>
    </row>
    <row r="115" spans="1:5" s="506" customFormat="1" x14ac:dyDescent="0.2">
      <c r="A115" s="512">
        <v>7</v>
      </c>
      <c r="B115" s="511" t="s">
        <v>747</v>
      </c>
      <c r="C115" s="523">
        <f t="shared" si="12"/>
        <v>6.9249608773860465E-5</v>
      </c>
      <c r="D115" s="523">
        <f t="shared" si="12"/>
        <v>4.9643254819743731E-4</v>
      </c>
      <c r="E115" s="523">
        <f t="shared" si="13"/>
        <v>4.2718293942357682E-4</v>
      </c>
    </row>
    <row r="116" spans="1:5" s="506" customFormat="1" x14ac:dyDescent="0.2">
      <c r="A116" s="512"/>
      <c r="B116" s="516" t="s">
        <v>784</v>
      </c>
      <c r="C116" s="524">
        <f>SUM(C110+C111+C114)</f>
        <v>0.27243369145892615</v>
      </c>
      <c r="D116" s="524">
        <f>SUM(D110+D111+D114)</f>
        <v>0.26336195869384899</v>
      </c>
      <c r="E116" s="525">
        <f t="shared" si="13"/>
        <v>-9.0717327650771673E-3</v>
      </c>
    </row>
    <row r="117" spans="1:5" s="506" customFormat="1" x14ac:dyDescent="0.2">
      <c r="A117" s="512"/>
      <c r="B117" s="516" t="s">
        <v>785</v>
      </c>
      <c r="C117" s="524">
        <f>SUM(C109+C116)</f>
        <v>0.39258531095356558</v>
      </c>
      <c r="D117" s="524">
        <f>SUM(D109+D116)</f>
        <v>0.38567020827424509</v>
      </c>
      <c r="E117" s="525">
        <f t="shared" si="13"/>
        <v>-6.915102679320495E-3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333</v>
      </c>
      <c r="B119" s="522" t="s">
        <v>791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640</v>
      </c>
      <c r="C121" s="523">
        <f t="shared" ref="C121:D127" si="14">IF(C$77=0,0,C58/C$77)</f>
        <v>0.39879087217858239</v>
      </c>
      <c r="D121" s="523">
        <f t="shared" si="14"/>
        <v>0.39802237507827493</v>
      </c>
      <c r="E121" s="523">
        <f t="shared" ref="E121:E129" si="15">D121-C121</f>
        <v>-7.6849710030746365E-4</v>
      </c>
    </row>
    <row r="122" spans="1:5" s="506" customFormat="1" x14ac:dyDescent="0.2">
      <c r="A122" s="512">
        <v>2</v>
      </c>
      <c r="B122" s="511" t="s">
        <v>619</v>
      </c>
      <c r="C122" s="523">
        <f t="shared" si="14"/>
        <v>0.13125811063345483</v>
      </c>
      <c r="D122" s="523">
        <f t="shared" si="14"/>
        <v>0.14687011345971476</v>
      </c>
      <c r="E122" s="523">
        <f t="shared" si="15"/>
        <v>1.5612002826259935E-2</v>
      </c>
    </row>
    <row r="123" spans="1:5" s="506" customFormat="1" x14ac:dyDescent="0.2">
      <c r="A123" s="512">
        <v>3</v>
      </c>
      <c r="B123" s="511" t="s">
        <v>765</v>
      </c>
      <c r="C123" s="523">
        <f t="shared" si="14"/>
        <v>7.2184912614223537E-2</v>
      </c>
      <c r="D123" s="523">
        <f t="shared" si="14"/>
        <v>6.3502686768800026E-2</v>
      </c>
      <c r="E123" s="523">
        <f t="shared" si="15"/>
        <v>-8.6822258454235107E-3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7.2184912614223537E-2</v>
      </c>
      <c r="D124" s="523">
        <f t="shared" si="14"/>
        <v>6.3502686768800026E-2</v>
      </c>
      <c r="E124" s="523">
        <f t="shared" si="15"/>
        <v>-8.6822258454235107E-3</v>
      </c>
    </row>
    <row r="125" spans="1:5" s="506" customFormat="1" x14ac:dyDescent="0.2">
      <c r="A125" s="512">
        <v>5</v>
      </c>
      <c r="B125" s="511" t="s">
        <v>732</v>
      </c>
      <c r="C125" s="523">
        <f t="shared" si="14"/>
        <v>0</v>
      </c>
      <c r="D125" s="523">
        <f t="shared" si="14"/>
        <v>0</v>
      </c>
      <c r="E125" s="523">
        <f t="shared" si="15"/>
        <v>0</v>
      </c>
    </row>
    <row r="126" spans="1:5" s="506" customFormat="1" x14ac:dyDescent="0.2">
      <c r="A126" s="512">
        <v>6</v>
      </c>
      <c r="B126" s="511" t="s">
        <v>430</v>
      </c>
      <c r="C126" s="523">
        <f t="shared" si="14"/>
        <v>5.180793620173642E-3</v>
      </c>
      <c r="D126" s="523">
        <f t="shared" si="14"/>
        <v>5.9346164189651345E-3</v>
      </c>
      <c r="E126" s="523">
        <f t="shared" si="15"/>
        <v>7.538227987914925E-4</v>
      </c>
    </row>
    <row r="127" spans="1:5" s="506" customFormat="1" x14ac:dyDescent="0.2">
      <c r="A127" s="512">
        <v>7</v>
      </c>
      <c r="B127" s="511" t="s">
        <v>747</v>
      </c>
      <c r="C127" s="523">
        <f t="shared" si="14"/>
        <v>3.064257706496936E-3</v>
      </c>
      <c r="D127" s="523">
        <f t="shared" si="14"/>
        <v>3.4388785733057794E-3</v>
      </c>
      <c r="E127" s="523">
        <f t="shared" si="15"/>
        <v>3.7462086680884344E-4</v>
      </c>
    </row>
    <row r="128" spans="1:5" s="506" customFormat="1" x14ac:dyDescent="0.2">
      <c r="A128" s="512"/>
      <c r="B128" s="516" t="s">
        <v>787</v>
      </c>
      <c r="C128" s="524">
        <f>SUM(C122+C123+C126)</f>
        <v>0.20862381686785203</v>
      </c>
      <c r="D128" s="524">
        <f>SUM(D122+D123+D126)</f>
        <v>0.21630741664747993</v>
      </c>
      <c r="E128" s="525">
        <f t="shared" si="15"/>
        <v>7.6835997796279032E-3</v>
      </c>
    </row>
    <row r="129" spans="1:5" s="506" customFormat="1" x14ac:dyDescent="0.2">
      <c r="A129" s="512"/>
      <c r="B129" s="516" t="s">
        <v>788</v>
      </c>
      <c r="C129" s="524">
        <f>SUM(C121+C128)</f>
        <v>0.60741468904643448</v>
      </c>
      <c r="D129" s="524">
        <f>SUM(D121+D128)</f>
        <v>0.61432979172575486</v>
      </c>
      <c r="E129" s="525">
        <f t="shared" si="15"/>
        <v>6.915102679320384E-3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792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793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794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640</v>
      </c>
      <c r="C137" s="530">
        <v>663</v>
      </c>
      <c r="D137" s="530">
        <v>594</v>
      </c>
      <c r="E137" s="531">
        <f t="shared" ref="E137:E145" si="16">D137-C137</f>
        <v>-69</v>
      </c>
    </row>
    <row r="138" spans="1:5" s="506" customFormat="1" x14ac:dyDescent="0.2">
      <c r="A138" s="512">
        <v>2</v>
      </c>
      <c r="B138" s="511" t="s">
        <v>619</v>
      </c>
      <c r="C138" s="530">
        <v>1581</v>
      </c>
      <c r="D138" s="530">
        <v>1655</v>
      </c>
      <c r="E138" s="531">
        <f t="shared" si="16"/>
        <v>74</v>
      </c>
    </row>
    <row r="139" spans="1:5" s="506" customFormat="1" x14ac:dyDescent="0.2">
      <c r="A139" s="512">
        <v>3</v>
      </c>
      <c r="B139" s="511" t="s">
        <v>765</v>
      </c>
      <c r="C139" s="530">
        <f>C140+C141</f>
        <v>268</v>
      </c>
      <c r="D139" s="530">
        <f>D140+D141</f>
        <v>266</v>
      </c>
      <c r="E139" s="531">
        <f t="shared" si="16"/>
        <v>-2</v>
      </c>
    </row>
    <row r="140" spans="1:5" s="506" customFormat="1" x14ac:dyDescent="0.2">
      <c r="A140" s="512">
        <v>4</v>
      </c>
      <c r="B140" s="511" t="s">
        <v>114</v>
      </c>
      <c r="C140" s="530">
        <v>268</v>
      </c>
      <c r="D140" s="530">
        <v>266</v>
      </c>
      <c r="E140" s="531">
        <f t="shared" si="16"/>
        <v>-2</v>
      </c>
    </row>
    <row r="141" spans="1:5" s="506" customFormat="1" x14ac:dyDescent="0.2">
      <c r="A141" s="512">
        <v>5</v>
      </c>
      <c r="B141" s="511" t="s">
        <v>732</v>
      </c>
      <c r="C141" s="530">
        <v>0</v>
      </c>
      <c r="D141" s="530">
        <v>0</v>
      </c>
      <c r="E141" s="531">
        <f t="shared" si="16"/>
        <v>0</v>
      </c>
    </row>
    <row r="142" spans="1:5" s="506" customFormat="1" x14ac:dyDescent="0.2">
      <c r="A142" s="512">
        <v>6</v>
      </c>
      <c r="B142" s="511" t="s">
        <v>430</v>
      </c>
      <c r="C142" s="530">
        <v>3</v>
      </c>
      <c r="D142" s="530">
        <v>4</v>
      </c>
      <c r="E142" s="531">
        <f t="shared" si="16"/>
        <v>1</v>
      </c>
    </row>
    <row r="143" spans="1:5" s="506" customFormat="1" x14ac:dyDescent="0.2">
      <c r="A143" s="512">
        <v>7</v>
      </c>
      <c r="B143" s="511" t="s">
        <v>747</v>
      </c>
      <c r="C143" s="530">
        <v>63</v>
      </c>
      <c r="D143" s="530">
        <v>58</v>
      </c>
      <c r="E143" s="531">
        <f t="shared" si="16"/>
        <v>-5</v>
      </c>
    </row>
    <row r="144" spans="1:5" s="506" customFormat="1" x14ac:dyDescent="0.2">
      <c r="A144" s="512"/>
      <c r="B144" s="516" t="s">
        <v>795</v>
      </c>
      <c r="C144" s="532">
        <f>SUM(C138+C139+C142)</f>
        <v>1852</v>
      </c>
      <c r="D144" s="532">
        <f>SUM(D138+D139+D142)</f>
        <v>1925</v>
      </c>
      <c r="E144" s="533">
        <f t="shared" si="16"/>
        <v>73</v>
      </c>
    </row>
    <row r="145" spans="1:5" s="506" customFormat="1" x14ac:dyDescent="0.2">
      <c r="A145" s="512"/>
      <c r="B145" s="516" t="s">
        <v>709</v>
      </c>
      <c r="C145" s="532">
        <f>SUM(C137+C144)</f>
        <v>2515</v>
      </c>
      <c r="D145" s="532">
        <f>SUM(D137+D144)</f>
        <v>2519</v>
      </c>
      <c r="E145" s="533">
        <f t="shared" si="16"/>
        <v>4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640</v>
      </c>
      <c r="C149" s="534">
        <v>2633</v>
      </c>
      <c r="D149" s="534">
        <v>2351</v>
      </c>
      <c r="E149" s="531">
        <f t="shared" ref="E149:E157" si="17">D149-C149</f>
        <v>-282</v>
      </c>
    </row>
    <row r="150" spans="1:5" s="506" customFormat="1" x14ac:dyDescent="0.2">
      <c r="A150" s="512">
        <v>2</v>
      </c>
      <c r="B150" s="511" t="s">
        <v>619</v>
      </c>
      <c r="C150" s="534">
        <v>8640</v>
      </c>
      <c r="D150" s="534">
        <v>9334</v>
      </c>
      <c r="E150" s="531">
        <f t="shared" si="17"/>
        <v>694</v>
      </c>
    </row>
    <row r="151" spans="1:5" s="506" customFormat="1" x14ac:dyDescent="0.2">
      <c r="A151" s="512">
        <v>3</v>
      </c>
      <c r="B151" s="511" t="s">
        <v>765</v>
      </c>
      <c r="C151" s="534">
        <f>C152+C153</f>
        <v>1087</v>
      </c>
      <c r="D151" s="534">
        <f>D152+D153</f>
        <v>1362</v>
      </c>
      <c r="E151" s="531">
        <f t="shared" si="17"/>
        <v>275</v>
      </c>
    </row>
    <row r="152" spans="1:5" s="506" customFormat="1" x14ac:dyDescent="0.2">
      <c r="A152" s="512">
        <v>4</v>
      </c>
      <c r="B152" s="511" t="s">
        <v>114</v>
      </c>
      <c r="C152" s="534">
        <v>1087</v>
      </c>
      <c r="D152" s="534">
        <v>1362</v>
      </c>
      <c r="E152" s="531">
        <f t="shared" si="17"/>
        <v>275</v>
      </c>
    </row>
    <row r="153" spans="1:5" s="506" customFormat="1" x14ac:dyDescent="0.2">
      <c r="A153" s="512">
        <v>5</v>
      </c>
      <c r="B153" s="511" t="s">
        <v>732</v>
      </c>
      <c r="C153" s="535">
        <v>0</v>
      </c>
      <c r="D153" s="534">
        <v>0</v>
      </c>
      <c r="E153" s="531">
        <f t="shared" si="17"/>
        <v>0</v>
      </c>
    </row>
    <row r="154" spans="1:5" s="506" customFormat="1" x14ac:dyDescent="0.2">
      <c r="A154" s="512">
        <v>6</v>
      </c>
      <c r="B154" s="511" t="s">
        <v>430</v>
      </c>
      <c r="C154" s="534">
        <v>10</v>
      </c>
      <c r="D154" s="534">
        <v>9</v>
      </c>
      <c r="E154" s="531">
        <f t="shared" si="17"/>
        <v>-1</v>
      </c>
    </row>
    <row r="155" spans="1:5" s="506" customFormat="1" x14ac:dyDescent="0.2">
      <c r="A155" s="512">
        <v>7</v>
      </c>
      <c r="B155" s="511" t="s">
        <v>747</v>
      </c>
      <c r="C155" s="534">
        <v>314</v>
      </c>
      <c r="D155" s="534">
        <v>298</v>
      </c>
      <c r="E155" s="531">
        <f t="shared" si="17"/>
        <v>-16</v>
      </c>
    </row>
    <row r="156" spans="1:5" s="506" customFormat="1" x14ac:dyDescent="0.2">
      <c r="A156" s="512"/>
      <c r="B156" s="516" t="s">
        <v>796</v>
      </c>
      <c r="C156" s="532">
        <f>SUM(C150+C151+C154)</f>
        <v>9737</v>
      </c>
      <c r="D156" s="532">
        <f>SUM(D150+D151+D154)</f>
        <v>10705</v>
      </c>
      <c r="E156" s="533">
        <f t="shared" si="17"/>
        <v>968</v>
      </c>
    </row>
    <row r="157" spans="1:5" s="506" customFormat="1" x14ac:dyDescent="0.2">
      <c r="A157" s="512"/>
      <c r="B157" s="516" t="s">
        <v>797</v>
      </c>
      <c r="C157" s="532">
        <f>SUM(C149+C156)</f>
        <v>12370</v>
      </c>
      <c r="D157" s="532">
        <f>SUM(D149+D156)</f>
        <v>13056</v>
      </c>
      <c r="E157" s="533">
        <f t="shared" si="17"/>
        <v>686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798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640</v>
      </c>
      <c r="C161" s="536">
        <f t="shared" ref="C161:D169" si="18">IF(C137=0,0,C149/C137)</f>
        <v>3.9713423831070891</v>
      </c>
      <c r="D161" s="536">
        <f t="shared" si="18"/>
        <v>3.957912457912458</v>
      </c>
      <c r="E161" s="537">
        <f t="shared" ref="E161:E169" si="19">D161-C161</f>
        <v>-1.3429925194631043E-2</v>
      </c>
    </row>
    <row r="162" spans="1:5" s="506" customFormat="1" x14ac:dyDescent="0.2">
      <c r="A162" s="512">
        <v>2</v>
      </c>
      <c r="B162" s="511" t="s">
        <v>619</v>
      </c>
      <c r="C162" s="536">
        <f t="shared" si="18"/>
        <v>5.4648956356736242</v>
      </c>
      <c r="D162" s="536">
        <f t="shared" si="18"/>
        <v>5.6398791540785496</v>
      </c>
      <c r="E162" s="537">
        <f t="shared" si="19"/>
        <v>0.17498351840492532</v>
      </c>
    </row>
    <row r="163" spans="1:5" s="506" customFormat="1" x14ac:dyDescent="0.2">
      <c r="A163" s="512">
        <v>3</v>
      </c>
      <c r="B163" s="511" t="s">
        <v>765</v>
      </c>
      <c r="C163" s="536">
        <f t="shared" si="18"/>
        <v>4.0559701492537314</v>
      </c>
      <c r="D163" s="536">
        <f t="shared" si="18"/>
        <v>5.1203007518796992</v>
      </c>
      <c r="E163" s="537">
        <f t="shared" si="19"/>
        <v>1.0643306026259678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4.0559701492537314</v>
      </c>
      <c r="D164" s="536">
        <f t="shared" si="18"/>
        <v>5.1203007518796992</v>
      </c>
      <c r="E164" s="537">
        <f t="shared" si="19"/>
        <v>1.0643306026259678</v>
      </c>
    </row>
    <row r="165" spans="1:5" s="506" customFormat="1" x14ac:dyDescent="0.2">
      <c r="A165" s="512">
        <v>5</v>
      </c>
      <c r="B165" s="511" t="s">
        <v>732</v>
      </c>
      <c r="C165" s="536">
        <f t="shared" si="18"/>
        <v>0</v>
      </c>
      <c r="D165" s="536">
        <f t="shared" si="18"/>
        <v>0</v>
      </c>
      <c r="E165" s="537">
        <f t="shared" si="19"/>
        <v>0</v>
      </c>
    </row>
    <row r="166" spans="1:5" s="506" customFormat="1" x14ac:dyDescent="0.2">
      <c r="A166" s="512">
        <v>6</v>
      </c>
      <c r="B166" s="511" t="s">
        <v>430</v>
      </c>
      <c r="C166" s="536">
        <f t="shared" si="18"/>
        <v>3.3333333333333335</v>
      </c>
      <c r="D166" s="536">
        <f t="shared" si="18"/>
        <v>2.25</v>
      </c>
      <c r="E166" s="537">
        <f t="shared" si="19"/>
        <v>-1.0833333333333335</v>
      </c>
    </row>
    <row r="167" spans="1:5" s="506" customFormat="1" x14ac:dyDescent="0.2">
      <c r="A167" s="512">
        <v>7</v>
      </c>
      <c r="B167" s="511" t="s">
        <v>747</v>
      </c>
      <c r="C167" s="536">
        <f t="shared" si="18"/>
        <v>4.9841269841269842</v>
      </c>
      <c r="D167" s="536">
        <f t="shared" si="18"/>
        <v>5.1379310344827589</v>
      </c>
      <c r="E167" s="537">
        <f t="shared" si="19"/>
        <v>0.15380405035577471</v>
      </c>
    </row>
    <row r="168" spans="1:5" s="506" customFormat="1" x14ac:dyDescent="0.2">
      <c r="A168" s="512"/>
      <c r="B168" s="516" t="s">
        <v>799</v>
      </c>
      <c r="C168" s="538">
        <f t="shared" si="18"/>
        <v>5.2575593952483803</v>
      </c>
      <c r="D168" s="538">
        <f t="shared" si="18"/>
        <v>5.5610389610389612</v>
      </c>
      <c r="E168" s="539">
        <f t="shared" si="19"/>
        <v>0.30347956579058089</v>
      </c>
    </row>
    <row r="169" spans="1:5" s="506" customFormat="1" x14ac:dyDescent="0.2">
      <c r="A169" s="512"/>
      <c r="B169" s="516" t="s">
        <v>733</v>
      </c>
      <c r="C169" s="538">
        <f t="shared" si="18"/>
        <v>4.9184890656063622</v>
      </c>
      <c r="D169" s="538">
        <f t="shared" si="18"/>
        <v>5.1830091306073838</v>
      </c>
      <c r="E169" s="539">
        <f t="shared" si="19"/>
        <v>0.26452006500102154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333</v>
      </c>
      <c r="B171" s="509" t="s">
        <v>800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640</v>
      </c>
      <c r="C173" s="541">
        <f t="shared" ref="C173:D181" si="20">IF(C137=0,0,C203/C137)</f>
        <v>1.3484</v>
      </c>
      <c r="D173" s="541">
        <f t="shared" si="20"/>
        <v>1.6539200000000001</v>
      </c>
      <c r="E173" s="542">
        <f t="shared" ref="E173:E181" si="21">D173-C173</f>
        <v>0.30552000000000001</v>
      </c>
    </row>
    <row r="174" spans="1:5" s="506" customFormat="1" x14ac:dyDescent="0.2">
      <c r="A174" s="512">
        <v>2</v>
      </c>
      <c r="B174" s="511" t="s">
        <v>619</v>
      </c>
      <c r="C174" s="541">
        <f t="shared" si="20"/>
        <v>1.4683999999999999</v>
      </c>
      <c r="D174" s="541">
        <f t="shared" si="20"/>
        <v>1.49234</v>
      </c>
      <c r="E174" s="542">
        <f t="shared" si="21"/>
        <v>2.3940000000000072E-2</v>
      </c>
    </row>
    <row r="175" spans="1:5" s="506" customFormat="1" x14ac:dyDescent="0.2">
      <c r="A175" s="512">
        <v>0</v>
      </c>
      <c r="B175" s="511" t="s">
        <v>765</v>
      </c>
      <c r="C175" s="541">
        <f t="shared" si="20"/>
        <v>1.103</v>
      </c>
      <c r="D175" s="541">
        <f t="shared" si="20"/>
        <v>1.18327</v>
      </c>
      <c r="E175" s="542">
        <f t="shared" si="21"/>
        <v>8.0270000000000064E-2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1.103</v>
      </c>
      <c r="D176" s="541">
        <f t="shared" si="20"/>
        <v>1.18327</v>
      </c>
      <c r="E176" s="542">
        <f t="shared" si="21"/>
        <v>8.0270000000000064E-2</v>
      </c>
    </row>
    <row r="177" spans="1:5" s="506" customFormat="1" x14ac:dyDescent="0.2">
      <c r="A177" s="512">
        <v>5</v>
      </c>
      <c r="B177" s="511" t="s">
        <v>732</v>
      </c>
      <c r="C177" s="541">
        <f t="shared" si="20"/>
        <v>0</v>
      </c>
      <c r="D177" s="541">
        <f t="shared" si="20"/>
        <v>0</v>
      </c>
      <c r="E177" s="542">
        <f t="shared" si="21"/>
        <v>0</v>
      </c>
    </row>
    <row r="178" spans="1:5" s="506" customFormat="1" x14ac:dyDescent="0.2">
      <c r="A178" s="512">
        <v>6</v>
      </c>
      <c r="B178" s="511" t="s">
        <v>430</v>
      </c>
      <c r="C178" s="541">
        <f t="shared" si="20"/>
        <v>0.78386999999999996</v>
      </c>
      <c r="D178" s="541">
        <f t="shared" si="20"/>
        <v>1.29484</v>
      </c>
      <c r="E178" s="542">
        <f t="shared" si="21"/>
        <v>0.51097000000000004</v>
      </c>
    </row>
    <row r="179" spans="1:5" s="506" customFormat="1" x14ac:dyDescent="0.2">
      <c r="A179" s="512">
        <v>7</v>
      </c>
      <c r="B179" s="511" t="s">
        <v>747</v>
      </c>
      <c r="C179" s="541">
        <f t="shared" si="20"/>
        <v>1.2078</v>
      </c>
      <c r="D179" s="541">
        <f t="shared" si="20"/>
        <v>1.12859</v>
      </c>
      <c r="E179" s="542">
        <f t="shared" si="21"/>
        <v>-7.9210000000000003E-2</v>
      </c>
    </row>
    <row r="180" spans="1:5" s="506" customFormat="1" x14ac:dyDescent="0.2">
      <c r="A180" s="512"/>
      <c r="B180" s="516" t="s">
        <v>801</v>
      </c>
      <c r="C180" s="543">
        <f t="shared" si="20"/>
        <v>1.4144146922246219</v>
      </c>
      <c r="D180" s="543">
        <f t="shared" si="20"/>
        <v>1.449221755844156</v>
      </c>
      <c r="E180" s="544">
        <f t="shared" si="21"/>
        <v>3.4807063619534118E-2</v>
      </c>
    </row>
    <row r="181" spans="1:5" s="506" customFormat="1" x14ac:dyDescent="0.2">
      <c r="A181" s="512"/>
      <c r="B181" s="516" t="s">
        <v>710</v>
      </c>
      <c r="C181" s="543">
        <f t="shared" si="20"/>
        <v>1.3970120119284293</v>
      </c>
      <c r="D181" s="543">
        <f t="shared" si="20"/>
        <v>1.4974912107979359</v>
      </c>
      <c r="E181" s="544">
        <f t="shared" si="21"/>
        <v>0.10047919886950663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354</v>
      </c>
      <c r="B183" s="509" t="s">
        <v>802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803</v>
      </c>
      <c r="C185" s="513">
        <v>57080304</v>
      </c>
      <c r="D185" s="513">
        <v>70753155</v>
      </c>
      <c r="E185" s="514">
        <f>D185-C185</f>
        <v>13672851</v>
      </c>
    </row>
    <row r="186" spans="1:5" s="506" customFormat="1" ht="25.5" x14ac:dyDescent="0.2">
      <c r="A186" s="512">
        <v>2</v>
      </c>
      <c r="B186" s="511" t="s">
        <v>804</v>
      </c>
      <c r="C186" s="513">
        <v>31183459</v>
      </c>
      <c r="D186" s="513">
        <v>33998505</v>
      </c>
      <c r="E186" s="514">
        <f>D186-C186</f>
        <v>2815046</v>
      </c>
    </row>
    <row r="187" spans="1:5" s="506" customFormat="1" x14ac:dyDescent="0.2">
      <c r="A187" s="512"/>
      <c r="B187" s="511" t="s">
        <v>652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736</v>
      </c>
      <c r="C188" s="546">
        <f>+C185-C186</f>
        <v>25896845</v>
      </c>
      <c r="D188" s="546">
        <f>+D185-D186</f>
        <v>36754650</v>
      </c>
      <c r="E188" s="514">
        <f t="shared" ref="E188:E197" si="22">D188-C188</f>
        <v>10857805</v>
      </c>
    </row>
    <row r="189" spans="1:5" s="506" customFormat="1" x14ac:dyDescent="0.2">
      <c r="A189" s="512">
        <v>4</v>
      </c>
      <c r="B189" s="511" t="s">
        <v>654</v>
      </c>
      <c r="C189" s="547">
        <f>IF(C185=0,0,+C188/C185)</f>
        <v>0.4536914344394522</v>
      </c>
      <c r="D189" s="547">
        <f>IF(D185=0,0,+D188/D185)</f>
        <v>0.51947718797840181</v>
      </c>
      <c r="E189" s="523">
        <f t="shared" si="22"/>
        <v>6.578575353894961E-2</v>
      </c>
    </row>
    <row r="190" spans="1:5" s="506" customFormat="1" x14ac:dyDescent="0.2">
      <c r="A190" s="512">
        <v>5</v>
      </c>
      <c r="B190" s="511" t="s">
        <v>751</v>
      </c>
      <c r="C190" s="513">
        <v>0</v>
      </c>
      <c r="D190" s="513">
        <v>0</v>
      </c>
      <c r="E190" s="546">
        <f t="shared" si="22"/>
        <v>0</v>
      </c>
    </row>
    <row r="191" spans="1:5" s="506" customFormat="1" x14ac:dyDescent="0.2">
      <c r="A191" s="512">
        <v>6</v>
      </c>
      <c r="B191" s="511" t="s">
        <v>737</v>
      </c>
      <c r="C191" s="513">
        <v>0</v>
      </c>
      <c r="D191" s="513">
        <v>0</v>
      </c>
      <c r="E191" s="546">
        <f t="shared" si="22"/>
        <v>0</v>
      </c>
    </row>
    <row r="192" spans="1:5" ht="29.25" x14ac:dyDescent="0.2">
      <c r="A192" s="512">
        <v>7</v>
      </c>
      <c r="B192" s="548" t="s">
        <v>805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806</v>
      </c>
      <c r="C193" s="513">
        <v>821721</v>
      </c>
      <c r="D193" s="513">
        <v>2192753</v>
      </c>
      <c r="E193" s="546">
        <f t="shared" si="22"/>
        <v>1371032</v>
      </c>
    </row>
    <row r="194" spans="1:5" s="506" customFormat="1" x14ac:dyDescent="0.2">
      <c r="A194" s="512">
        <v>9</v>
      </c>
      <c r="B194" s="511" t="s">
        <v>807</v>
      </c>
      <c r="C194" s="513">
        <v>2925278</v>
      </c>
      <c r="D194" s="513">
        <v>3309948</v>
      </c>
      <c r="E194" s="546">
        <f t="shared" si="22"/>
        <v>384670</v>
      </c>
    </row>
    <row r="195" spans="1:5" s="506" customFormat="1" x14ac:dyDescent="0.2">
      <c r="A195" s="512">
        <v>10</v>
      </c>
      <c r="B195" s="511" t="s">
        <v>808</v>
      </c>
      <c r="C195" s="513">
        <f>+C193+C194</f>
        <v>3746999</v>
      </c>
      <c r="D195" s="513">
        <f>+D193+D194</f>
        <v>5502701</v>
      </c>
      <c r="E195" s="549">
        <f t="shared" si="22"/>
        <v>1755702</v>
      </c>
    </row>
    <row r="196" spans="1:5" s="506" customFormat="1" x14ac:dyDescent="0.2">
      <c r="A196" s="512">
        <v>11</v>
      </c>
      <c r="B196" s="511" t="s">
        <v>809</v>
      </c>
      <c r="C196" s="513">
        <v>57080304</v>
      </c>
      <c r="D196" s="513">
        <v>70753155</v>
      </c>
      <c r="E196" s="546">
        <f t="shared" si="22"/>
        <v>13672851</v>
      </c>
    </row>
    <row r="197" spans="1:5" s="506" customFormat="1" x14ac:dyDescent="0.2">
      <c r="A197" s="512">
        <v>12</v>
      </c>
      <c r="B197" s="511" t="s">
        <v>694</v>
      </c>
      <c r="C197" s="513">
        <v>68017199</v>
      </c>
      <c r="D197" s="513">
        <v>74038954</v>
      </c>
      <c r="E197" s="546">
        <f t="shared" si="22"/>
        <v>6021755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810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811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640</v>
      </c>
      <c r="C203" s="553">
        <v>893.98919999999998</v>
      </c>
      <c r="D203" s="553">
        <v>982.42848000000004</v>
      </c>
      <c r="E203" s="554">
        <f t="shared" ref="E203:E211" si="23">D203-C203</f>
        <v>88.439280000000053</v>
      </c>
    </row>
    <row r="204" spans="1:5" s="506" customFormat="1" x14ac:dyDescent="0.2">
      <c r="A204" s="512">
        <v>2</v>
      </c>
      <c r="B204" s="511" t="s">
        <v>619</v>
      </c>
      <c r="C204" s="553">
        <v>2321.5403999999999</v>
      </c>
      <c r="D204" s="553">
        <v>2469.8227000000002</v>
      </c>
      <c r="E204" s="554">
        <f t="shared" si="23"/>
        <v>148.2823000000003</v>
      </c>
    </row>
    <row r="205" spans="1:5" s="506" customFormat="1" x14ac:dyDescent="0.2">
      <c r="A205" s="512">
        <v>3</v>
      </c>
      <c r="B205" s="511" t="s">
        <v>765</v>
      </c>
      <c r="C205" s="553">
        <f>C206+C207</f>
        <v>295.60399999999998</v>
      </c>
      <c r="D205" s="553">
        <f>D206+D207</f>
        <v>314.74982</v>
      </c>
      <c r="E205" s="554">
        <f t="shared" si="23"/>
        <v>19.145820000000015</v>
      </c>
    </row>
    <row r="206" spans="1:5" s="506" customFormat="1" x14ac:dyDescent="0.2">
      <c r="A206" s="512">
        <v>4</v>
      </c>
      <c r="B206" s="511" t="s">
        <v>114</v>
      </c>
      <c r="C206" s="553">
        <v>295.60399999999998</v>
      </c>
      <c r="D206" s="553">
        <v>314.74982</v>
      </c>
      <c r="E206" s="554">
        <f t="shared" si="23"/>
        <v>19.145820000000015</v>
      </c>
    </row>
    <row r="207" spans="1:5" s="506" customFormat="1" x14ac:dyDescent="0.2">
      <c r="A207" s="512">
        <v>5</v>
      </c>
      <c r="B207" s="511" t="s">
        <v>732</v>
      </c>
      <c r="C207" s="553">
        <v>0</v>
      </c>
      <c r="D207" s="553">
        <v>0</v>
      </c>
      <c r="E207" s="554">
        <f t="shared" si="23"/>
        <v>0</v>
      </c>
    </row>
    <row r="208" spans="1:5" s="506" customFormat="1" x14ac:dyDescent="0.2">
      <c r="A208" s="512">
        <v>6</v>
      </c>
      <c r="B208" s="511" t="s">
        <v>430</v>
      </c>
      <c r="C208" s="553">
        <v>2.35161</v>
      </c>
      <c r="D208" s="553">
        <v>5.17936</v>
      </c>
      <c r="E208" s="554">
        <f t="shared" si="23"/>
        <v>2.82775</v>
      </c>
    </row>
    <row r="209" spans="1:5" s="506" customFormat="1" x14ac:dyDescent="0.2">
      <c r="A209" s="512">
        <v>7</v>
      </c>
      <c r="B209" s="511" t="s">
        <v>747</v>
      </c>
      <c r="C209" s="553">
        <v>76.091399999999993</v>
      </c>
      <c r="D209" s="553">
        <v>65.458219999999997</v>
      </c>
      <c r="E209" s="554">
        <f t="shared" si="23"/>
        <v>-10.633179999999996</v>
      </c>
    </row>
    <row r="210" spans="1:5" s="506" customFormat="1" x14ac:dyDescent="0.2">
      <c r="A210" s="512"/>
      <c r="B210" s="516" t="s">
        <v>812</v>
      </c>
      <c r="C210" s="555">
        <f>C204+C205+C208</f>
        <v>2619.4960099999998</v>
      </c>
      <c r="D210" s="555">
        <f>D204+D205+D208</f>
        <v>2789.7518800000003</v>
      </c>
      <c r="E210" s="556">
        <f t="shared" si="23"/>
        <v>170.25587000000041</v>
      </c>
    </row>
    <row r="211" spans="1:5" s="506" customFormat="1" x14ac:dyDescent="0.2">
      <c r="A211" s="512"/>
      <c r="B211" s="516" t="s">
        <v>711</v>
      </c>
      <c r="C211" s="555">
        <f>C210+C203</f>
        <v>3513.4852099999998</v>
      </c>
      <c r="D211" s="555">
        <f>D210+D203</f>
        <v>3772.1803600000003</v>
      </c>
      <c r="E211" s="556">
        <f t="shared" si="23"/>
        <v>258.69515000000047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813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640</v>
      </c>
      <c r="C215" s="557">
        <f>IF(C14*C137=0,0,C25/C14*C137)</f>
        <v>2400.7900884869778</v>
      </c>
      <c r="D215" s="557">
        <f>IF(D14*D137=0,0,D25/D14*D137)</f>
        <v>2016.1193295915352</v>
      </c>
      <c r="E215" s="557">
        <f t="shared" ref="E215:E223" si="24">D215-C215</f>
        <v>-384.67075889544253</v>
      </c>
    </row>
    <row r="216" spans="1:5" s="506" customFormat="1" x14ac:dyDescent="0.2">
      <c r="A216" s="512">
        <v>2</v>
      </c>
      <c r="B216" s="511" t="s">
        <v>619</v>
      </c>
      <c r="C216" s="557">
        <f>IF(C15*C138=0,0,C26/C15*C138)</f>
        <v>1304.9233726110072</v>
      </c>
      <c r="D216" s="557">
        <f>IF(D15*D138=0,0,D26/D15*D138)</f>
        <v>1402.6123796112302</v>
      </c>
      <c r="E216" s="557">
        <f t="shared" si="24"/>
        <v>97.689007000223</v>
      </c>
    </row>
    <row r="217" spans="1:5" s="506" customFormat="1" x14ac:dyDescent="0.2">
      <c r="A217" s="512">
        <v>3</v>
      </c>
      <c r="B217" s="511" t="s">
        <v>765</v>
      </c>
      <c r="C217" s="557">
        <f>C218+C219</f>
        <v>1010.5928310771503</v>
      </c>
      <c r="D217" s="557">
        <f>D218+D219</f>
        <v>885.00816787776387</v>
      </c>
      <c r="E217" s="557">
        <f t="shared" si="24"/>
        <v>-125.58466319938645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1010.5928310771503</v>
      </c>
      <c r="D218" s="557">
        <f t="shared" si="25"/>
        <v>885.00816787776387</v>
      </c>
      <c r="E218" s="557">
        <f t="shared" si="24"/>
        <v>-125.58466319938645</v>
      </c>
    </row>
    <row r="219" spans="1:5" s="506" customFormat="1" x14ac:dyDescent="0.2">
      <c r="A219" s="512">
        <v>5</v>
      </c>
      <c r="B219" s="511" t="s">
        <v>732</v>
      </c>
      <c r="C219" s="557">
        <f t="shared" si="25"/>
        <v>0</v>
      </c>
      <c r="D219" s="557">
        <f t="shared" si="25"/>
        <v>0</v>
      </c>
      <c r="E219" s="557">
        <f t="shared" si="24"/>
        <v>0</v>
      </c>
    </row>
    <row r="220" spans="1:5" s="506" customFormat="1" x14ac:dyDescent="0.2">
      <c r="A220" s="512">
        <v>6</v>
      </c>
      <c r="B220" s="511" t="s">
        <v>430</v>
      </c>
      <c r="C220" s="557">
        <f t="shared" si="25"/>
        <v>90.634160090191656</v>
      </c>
      <c r="D220" s="557">
        <f t="shared" si="25"/>
        <v>45.468650335304361</v>
      </c>
      <c r="E220" s="557">
        <f t="shared" si="24"/>
        <v>-45.165509754887296</v>
      </c>
    </row>
    <row r="221" spans="1:5" s="506" customFormat="1" x14ac:dyDescent="0.2">
      <c r="A221" s="512">
        <v>7</v>
      </c>
      <c r="B221" s="511" t="s">
        <v>747</v>
      </c>
      <c r="C221" s="557">
        <f t="shared" si="25"/>
        <v>252.09165570864289</v>
      </c>
      <c r="D221" s="557">
        <f t="shared" si="25"/>
        <v>243.39368257260475</v>
      </c>
      <c r="E221" s="557">
        <f t="shared" si="24"/>
        <v>-8.6979731360381436</v>
      </c>
    </row>
    <row r="222" spans="1:5" s="506" customFormat="1" x14ac:dyDescent="0.2">
      <c r="A222" s="512"/>
      <c r="B222" s="516" t="s">
        <v>814</v>
      </c>
      <c r="C222" s="558">
        <f>C216+C218+C219+C220</f>
        <v>2406.1503637783489</v>
      </c>
      <c r="D222" s="558">
        <f>D216+D218+D219+D220</f>
        <v>2333.0891978242985</v>
      </c>
      <c r="E222" s="558">
        <f t="shared" si="24"/>
        <v>-73.061165954050466</v>
      </c>
    </row>
    <row r="223" spans="1:5" s="506" customFormat="1" x14ac:dyDescent="0.2">
      <c r="A223" s="512"/>
      <c r="B223" s="516" t="s">
        <v>815</v>
      </c>
      <c r="C223" s="558">
        <f>C215+C222</f>
        <v>4806.9404522653267</v>
      </c>
      <c r="D223" s="558">
        <f>D215+D222</f>
        <v>4349.2085274158335</v>
      </c>
      <c r="E223" s="558">
        <f t="shared" si="24"/>
        <v>-457.73192484949323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816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640</v>
      </c>
      <c r="C227" s="560">
        <f t="shared" ref="C227:D235" si="26">IF(C203=0,0,C47/C203)</f>
        <v>8067.8916479080508</v>
      </c>
      <c r="D227" s="560">
        <f t="shared" si="26"/>
        <v>8134.5819697735142</v>
      </c>
      <c r="E227" s="560">
        <f t="shared" ref="E227:E235" si="27">D227-C227</f>
        <v>66.690321865463375</v>
      </c>
    </row>
    <row r="228" spans="1:5" s="506" customFormat="1" x14ac:dyDescent="0.2">
      <c r="A228" s="512">
        <v>2</v>
      </c>
      <c r="B228" s="511" t="s">
        <v>619</v>
      </c>
      <c r="C228" s="560">
        <f t="shared" si="26"/>
        <v>6442.6585038106596</v>
      </c>
      <c r="D228" s="560">
        <f t="shared" si="26"/>
        <v>6231.1339190460913</v>
      </c>
      <c r="E228" s="560">
        <f t="shared" si="27"/>
        <v>-211.52458476456832</v>
      </c>
    </row>
    <row r="229" spans="1:5" s="506" customFormat="1" x14ac:dyDescent="0.2">
      <c r="A229" s="512">
        <v>3</v>
      </c>
      <c r="B229" s="511" t="s">
        <v>765</v>
      </c>
      <c r="C229" s="560">
        <f t="shared" si="26"/>
        <v>4708.5255950528408</v>
      </c>
      <c r="D229" s="560">
        <f t="shared" si="26"/>
        <v>5631.7839991139626</v>
      </c>
      <c r="E229" s="560">
        <f t="shared" si="27"/>
        <v>923.25840406112184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4708.5255950528408</v>
      </c>
      <c r="D230" s="560">
        <f t="shared" si="26"/>
        <v>5631.7839991139626</v>
      </c>
      <c r="E230" s="560">
        <f t="shared" si="27"/>
        <v>923.25840406112184</v>
      </c>
    </row>
    <row r="231" spans="1:5" s="506" customFormat="1" x14ac:dyDescent="0.2">
      <c r="A231" s="512">
        <v>5</v>
      </c>
      <c r="B231" s="511" t="s">
        <v>732</v>
      </c>
      <c r="C231" s="560">
        <f t="shared" si="26"/>
        <v>0</v>
      </c>
      <c r="D231" s="560">
        <f t="shared" si="26"/>
        <v>0</v>
      </c>
      <c r="E231" s="560">
        <f t="shared" si="27"/>
        <v>0</v>
      </c>
    </row>
    <row r="232" spans="1:5" s="506" customFormat="1" x14ac:dyDescent="0.2">
      <c r="A232" s="512">
        <v>6</v>
      </c>
      <c r="B232" s="511" t="s">
        <v>430</v>
      </c>
      <c r="C232" s="560">
        <f t="shared" si="26"/>
        <v>2224.4334732374841</v>
      </c>
      <c r="D232" s="560">
        <f t="shared" si="26"/>
        <v>8827.9246856754507</v>
      </c>
      <c r="E232" s="560">
        <f t="shared" si="27"/>
        <v>6603.4912124379662</v>
      </c>
    </row>
    <row r="233" spans="1:5" s="506" customFormat="1" x14ac:dyDescent="0.2">
      <c r="A233" s="512">
        <v>7</v>
      </c>
      <c r="B233" s="511" t="s">
        <v>747</v>
      </c>
      <c r="C233" s="560">
        <f t="shared" si="26"/>
        <v>54.631666653524583</v>
      </c>
      <c r="D233" s="560">
        <f t="shared" si="26"/>
        <v>495.53745885543481</v>
      </c>
      <c r="E233" s="560">
        <f t="shared" si="27"/>
        <v>440.90579220191023</v>
      </c>
    </row>
    <row r="234" spans="1:5" x14ac:dyDescent="0.2">
      <c r="A234" s="512"/>
      <c r="B234" s="516" t="s">
        <v>817</v>
      </c>
      <c r="C234" s="561">
        <f t="shared" si="26"/>
        <v>6243.1788166762663</v>
      </c>
      <c r="D234" s="561">
        <f t="shared" si="26"/>
        <v>6168.3342247626688</v>
      </c>
      <c r="E234" s="561">
        <f t="shared" si="27"/>
        <v>-74.844591913597469</v>
      </c>
    </row>
    <row r="235" spans="1:5" s="506" customFormat="1" x14ac:dyDescent="0.2">
      <c r="A235" s="512"/>
      <c r="B235" s="516" t="s">
        <v>818</v>
      </c>
      <c r="C235" s="561">
        <f t="shared" si="26"/>
        <v>6707.468109706374</v>
      </c>
      <c r="D235" s="561">
        <f t="shared" si="26"/>
        <v>6680.4247398181133</v>
      </c>
      <c r="E235" s="561">
        <f t="shared" si="27"/>
        <v>-27.043369888260713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333</v>
      </c>
      <c r="B237" s="509" t="s">
        <v>819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640</v>
      </c>
      <c r="C239" s="560">
        <f t="shared" ref="C239:D247" si="28">IF(C215=0,0,C58/C215)</f>
        <v>9971.3444814689592</v>
      </c>
      <c r="D239" s="560">
        <f t="shared" si="28"/>
        <v>12899.464638965084</v>
      </c>
      <c r="E239" s="562">
        <f t="shared" ref="E239:E247" si="29">D239-C239</f>
        <v>2928.1201574961251</v>
      </c>
    </row>
    <row r="240" spans="1:5" s="506" customFormat="1" x14ac:dyDescent="0.2">
      <c r="A240" s="512">
        <v>2</v>
      </c>
      <c r="B240" s="511" t="s">
        <v>619</v>
      </c>
      <c r="C240" s="560">
        <f t="shared" si="28"/>
        <v>6038.1491859053376</v>
      </c>
      <c r="D240" s="560">
        <f t="shared" si="28"/>
        <v>6841.8917011554695</v>
      </c>
      <c r="E240" s="562">
        <f t="shared" si="29"/>
        <v>803.74251525013187</v>
      </c>
    </row>
    <row r="241" spans="1:5" x14ac:dyDescent="0.2">
      <c r="A241" s="512">
        <v>3</v>
      </c>
      <c r="B241" s="511" t="s">
        <v>765</v>
      </c>
      <c r="C241" s="560">
        <f t="shared" si="28"/>
        <v>4287.7842259987256</v>
      </c>
      <c r="D241" s="560">
        <f t="shared" si="28"/>
        <v>4688.4064470838794</v>
      </c>
      <c r="E241" s="562">
        <f t="shared" si="29"/>
        <v>400.6222210851538</v>
      </c>
    </row>
    <row r="242" spans="1:5" x14ac:dyDescent="0.2">
      <c r="A242" s="512">
        <v>4</v>
      </c>
      <c r="B242" s="511" t="s">
        <v>114</v>
      </c>
      <c r="C242" s="560">
        <f t="shared" si="28"/>
        <v>4287.7842259987256</v>
      </c>
      <c r="D242" s="560">
        <f t="shared" si="28"/>
        <v>4688.4064470838794</v>
      </c>
      <c r="E242" s="562">
        <f t="shared" si="29"/>
        <v>400.6222210851538</v>
      </c>
    </row>
    <row r="243" spans="1:5" x14ac:dyDescent="0.2">
      <c r="A243" s="512">
        <v>5</v>
      </c>
      <c r="B243" s="511" t="s">
        <v>732</v>
      </c>
      <c r="C243" s="560">
        <f t="shared" si="28"/>
        <v>0</v>
      </c>
      <c r="D243" s="560">
        <f t="shared" si="28"/>
        <v>0</v>
      </c>
      <c r="E243" s="562">
        <f t="shared" si="29"/>
        <v>0</v>
      </c>
    </row>
    <row r="244" spans="1:5" x14ac:dyDescent="0.2">
      <c r="A244" s="512">
        <v>6</v>
      </c>
      <c r="B244" s="511" t="s">
        <v>430</v>
      </c>
      <c r="C244" s="560">
        <f t="shared" si="28"/>
        <v>3431.3662717293282</v>
      </c>
      <c r="D244" s="560">
        <f t="shared" si="28"/>
        <v>8528.2716144075821</v>
      </c>
      <c r="E244" s="562">
        <f t="shared" si="29"/>
        <v>5096.9053426782539</v>
      </c>
    </row>
    <row r="245" spans="1:5" x14ac:dyDescent="0.2">
      <c r="A245" s="512">
        <v>7</v>
      </c>
      <c r="B245" s="511" t="s">
        <v>747</v>
      </c>
      <c r="C245" s="560">
        <f t="shared" si="28"/>
        <v>729.67508378220987</v>
      </c>
      <c r="D245" s="560">
        <f t="shared" si="28"/>
        <v>923.18336953126345</v>
      </c>
      <c r="E245" s="562">
        <f t="shared" si="29"/>
        <v>193.50828574905358</v>
      </c>
    </row>
    <row r="246" spans="1:5" ht="25.5" x14ac:dyDescent="0.2">
      <c r="A246" s="512"/>
      <c r="B246" s="516" t="s">
        <v>820</v>
      </c>
      <c r="C246" s="561">
        <f t="shared" si="28"/>
        <v>5204.7973345832215</v>
      </c>
      <c r="D246" s="561">
        <f t="shared" si="28"/>
        <v>6057.877689880067</v>
      </c>
      <c r="E246" s="563">
        <f t="shared" si="29"/>
        <v>853.08035529684548</v>
      </c>
    </row>
    <row r="247" spans="1:5" x14ac:dyDescent="0.2">
      <c r="A247" s="512"/>
      <c r="B247" s="516" t="s">
        <v>821</v>
      </c>
      <c r="C247" s="561">
        <f t="shared" si="28"/>
        <v>7585.4132919030772</v>
      </c>
      <c r="D247" s="561">
        <f t="shared" si="28"/>
        <v>9229.3640893439097</v>
      </c>
      <c r="E247" s="563">
        <f t="shared" si="29"/>
        <v>1643.9507974408325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749</v>
      </c>
      <c r="B249" s="550" t="s">
        <v>746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1768906.2802502657</v>
      </c>
      <c r="D251" s="546">
        <f>((IF((IF(D15=0,0,D26/D15)*D138)=0,0,D59/(IF(D15=0,0,D26/D15)*D138)))-(IF((IF(D17=0,0,D28/D17)*D140)=0,0,D61/(IF(D17=0,0,D28/D17)*D140))))*(IF(D17=0,0,D28/D17)*D140)</f>
        <v>1905852.0392576789</v>
      </c>
      <c r="E251" s="546">
        <f>D251-C251</f>
        <v>136945.75900741317</v>
      </c>
    </row>
    <row r="252" spans="1:5" x14ac:dyDescent="0.2">
      <c r="A252" s="512">
        <v>2</v>
      </c>
      <c r="B252" s="511" t="s">
        <v>732</v>
      </c>
      <c r="C252" s="546">
        <f>IF(C231=0,0,(C228-C231)*C207)+IF(C243=0,0,(C240-C243)*C219)</f>
        <v>0</v>
      </c>
      <c r="D252" s="546">
        <f>IF(D231=0,0,(D228-D231)*D207)+IF(D243=0,0,(D240-D243)*D219)</f>
        <v>0</v>
      </c>
      <c r="E252" s="546">
        <f>D252-C252</f>
        <v>0</v>
      </c>
    </row>
    <row r="253" spans="1:5" x14ac:dyDescent="0.2">
      <c r="A253" s="512">
        <v>3</v>
      </c>
      <c r="B253" s="511" t="s">
        <v>747</v>
      </c>
      <c r="C253" s="546">
        <f>IF(C233=0,0,(C228-C233)*C209+IF(C221=0,0,(C240-C245)*C221))</f>
        <v>1824295.9309675288</v>
      </c>
      <c r="D253" s="546">
        <f>IF(D233=0,0,(D228-D233)*D209+IF(D221=0,0,(D240-D245)*D221))</f>
        <v>1816018.1518295542</v>
      </c>
      <c r="E253" s="546">
        <f>D253-C253</f>
        <v>-8277.779137974605</v>
      </c>
    </row>
    <row r="254" spans="1:5" ht="15" customHeight="1" x14ac:dyDescent="0.2">
      <c r="A254" s="512"/>
      <c r="B254" s="516" t="s">
        <v>748</v>
      </c>
      <c r="C254" s="564">
        <f>+C251+C252+C253</f>
        <v>3593202.2112177946</v>
      </c>
      <c r="D254" s="564">
        <f>+D251+D252+D253</f>
        <v>3721870.1910872329</v>
      </c>
      <c r="E254" s="564">
        <f>D254-C254</f>
        <v>128667.97986943834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822</v>
      </c>
      <c r="B256" s="550" t="s">
        <v>823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714</v>
      </c>
      <c r="C258" s="546">
        <f>+C44</f>
        <v>148072622</v>
      </c>
      <c r="D258" s="549">
        <f>+D44</f>
        <v>188069298</v>
      </c>
      <c r="E258" s="546">
        <f t="shared" ref="E258:E271" si="30">D258-C258</f>
        <v>39996676</v>
      </c>
    </row>
    <row r="259" spans="1:5" x14ac:dyDescent="0.2">
      <c r="A259" s="512">
        <v>2</v>
      </c>
      <c r="B259" s="511" t="s">
        <v>731</v>
      </c>
      <c r="C259" s="546">
        <f>+(C43-C76)</f>
        <v>62114811</v>
      </c>
      <c r="D259" s="549">
        <f>+(D43-D76)</f>
        <v>85974452</v>
      </c>
      <c r="E259" s="546">
        <f t="shared" si="30"/>
        <v>23859641</v>
      </c>
    </row>
    <row r="260" spans="1:5" x14ac:dyDescent="0.2">
      <c r="A260" s="512">
        <v>3</v>
      </c>
      <c r="B260" s="511" t="s">
        <v>735</v>
      </c>
      <c r="C260" s="546">
        <f>C195</f>
        <v>3746999</v>
      </c>
      <c r="D260" s="546">
        <f>D195</f>
        <v>5502701</v>
      </c>
      <c r="E260" s="546">
        <f t="shared" si="30"/>
        <v>1755702</v>
      </c>
    </row>
    <row r="261" spans="1:5" x14ac:dyDescent="0.2">
      <c r="A261" s="512">
        <v>4</v>
      </c>
      <c r="B261" s="511" t="s">
        <v>736</v>
      </c>
      <c r="C261" s="546">
        <f>C188</f>
        <v>25896845</v>
      </c>
      <c r="D261" s="546">
        <f>D188</f>
        <v>36754650</v>
      </c>
      <c r="E261" s="546">
        <f t="shared" si="30"/>
        <v>10857805</v>
      </c>
    </row>
    <row r="262" spans="1:5" x14ac:dyDescent="0.2">
      <c r="A262" s="512">
        <v>5</v>
      </c>
      <c r="B262" s="511" t="s">
        <v>737</v>
      </c>
      <c r="C262" s="546">
        <f>C191</f>
        <v>0</v>
      </c>
      <c r="D262" s="546">
        <f>D191</f>
        <v>0</v>
      </c>
      <c r="E262" s="546">
        <f t="shared" si="30"/>
        <v>0</v>
      </c>
    </row>
    <row r="263" spans="1:5" x14ac:dyDescent="0.2">
      <c r="A263" s="512">
        <v>6</v>
      </c>
      <c r="B263" s="511" t="s">
        <v>738</v>
      </c>
      <c r="C263" s="546">
        <f>+C259+C260+C261+C262</f>
        <v>91758655</v>
      </c>
      <c r="D263" s="546">
        <f>+D259+D260+D261+D262</f>
        <v>128231803</v>
      </c>
      <c r="E263" s="546">
        <f t="shared" si="30"/>
        <v>36473148</v>
      </c>
    </row>
    <row r="264" spans="1:5" x14ac:dyDescent="0.2">
      <c r="A264" s="512">
        <v>7</v>
      </c>
      <c r="B264" s="511" t="s">
        <v>638</v>
      </c>
      <c r="C264" s="546">
        <f>+C258-C263</f>
        <v>56313967</v>
      </c>
      <c r="D264" s="546">
        <f>+D258-D263</f>
        <v>59837495</v>
      </c>
      <c r="E264" s="546">
        <f t="shared" si="30"/>
        <v>3523528</v>
      </c>
    </row>
    <row r="265" spans="1:5" x14ac:dyDescent="0.2">
      <c r="A265" s="512">
        <v>8</v>
      </c>
      <c r="B265" s="511" t="s">
        <v>824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825</v>
      </c>
      <c r="C266" s="546">
        <f>+C264+C265</f>
        <v>56313967</v>
      </c>
      <c r="D266" s="546">
        <f>+D264+D265</f>
        <v>59837495</v>
      </c>
      <c r="E266" s="565">
        <f t="shared" si="30"/>
        <v>3523528</v>
      </c>
    </row>
    <row r="267" spans="1:5" x14ac:dyDescent="0.2">
      <c r="A267" s="512">
        <v>10</v>
      </c>
      <c r="B267" s="511" t="s">
        <v>826</v>
      </c>
      <c r="C267" s="566">
        <f>IF(C258=0,0,C266/C258)</f>
        <v>0.38031316147018723</v>
      </c>
      <c r="D267" s="566">
        <f>IF(D258=0,0,D266/D258)</f>
        <v>0.31816726938598983</v>
      </c>
      <c r="E267" s="567">
        <f t="shared" si="30"/>
        <v>-6.2145892084197407E-2</v>
      </c>
    </row>
    <row r="268" spans="1:5" x14ac:dyDescent="0.2">
      <c r="A268" s="512">
        <v>11</v>
      </c>
      <c r="B268" s="511" t="s">
        <v>700</v>
      </c>
      <c r="C268" s="546">
        <f>+C260*C267</f>
        <v>1425033.03571563</v>
      </c>
      <c r="D268" s="568">
        <f>+D260*D267</f>
        <v>1750779.3514175557</v>
      </c>
      <c r="E268" s="546">
        <f t="shared" si="30"/>
        <v>325746.31570192566</v>
      </c>
    </row>
    <row r="269" spans="1:5" x14ac:dyDescent="0.2">
      <c r="A269" s="512">
        <v>12</v>
      </c>
      <c r="B269" s="511" t="s">
        <v>827</v>
      </c>
      <c r="C269" s="546">
        <f>((C17+C18+C28+C29)*C267)-(C50+C51+C61+C62)</f>
        <v>3067130.3805030677</v>
      </c>
      <c r="D269" s="568">
        <f>((D17+D18+D28+D29)*D267)-(D50+D51+D61+D62)</f>
        <v>3701460.6364517137</v>
      </c>
      <c r="E269" s="546">
        <f t="shared" si="30"/>
        <v>634330.25594864599</v>
      </c>
    </row>
    <row r="270" spans="1:5" s="569" customFormat="1" x14ac:dyDescent="0.2">
      <c r="A270" s="570">
        <v>13</v>
      </c>
      <c r="B270" s="571" t="s">
        <v>828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829</v>
      </c>
      <c r="C271" s="546">
        <f>+C268+C269+C270</f>
        <v>4492163.416218698</v>
      </c>
      <c r="D271" s="546">
        <f>+D268+D269+D270</f>
        <v>5452239.9878692692</v>
      </c>
      <c r="E271" s="549">
        <f t="shared" si="30"/>
        <v>960076.57165057119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830</v>
      </c>
      <c r="B273" s="550" t="s">
        <v>831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832</v>
      </c>
      <c r="C275" s="340"/>
      <c r="D275" s="340"/>
      <c r="E275" s="520"/>
    </row>
    <row r="276" spans="1:5" x14ac:dyDescent="0.2">
      <c r="A276" s="512">
        <v>1</v>
      </c>
      <c r="B276" s="511" t="s">
        <v>640</v>
      </c>
      <c r="C276" s="547">
        <f t="shared" ref="C276:D284" si="31">IF(C14=0,0,+C47/C14)</f>
        <v>0.58391755248095467</v>
      </c>
      <c r="D276" s="547">
        <f t="shared" si="31"/>
        <v>0.49632287411035825</v>
      </c>
      <c r="E276" s="574">
        <f t="shared" ref="E276:E284" si="32">D276-C276</f>
        <v>-8.7594678370596424E-2</v>
      </c>
    </row>
    <row r="277" spans="1:5" x14ac:dyDescent="0.2">
      <c r="A277" s="512">
        <v>2</v>
      </c>
      <c r="B277" s="511" t="s">
        <v>619</v>
      </c>
      <c r="C277" s="547">
        <f t="shared" si="31"/>
        <v>0.4052201246820149</v>
      </c>
      <c r="D277" s="547">
        <f t="shared" si="31"/>
        <v>0.32926223742111721</v>
      </c>
      <c r="E277" s="574">
        <f t="shared" si="32"/>
        <v>-7.5957887260897694E-2</v>
      </c>
    </row>
    <row r="278" spans="1:5" x14ac:dyDescent="0.2">
      <c r="A278" s="512">
        <v>3</v>
      </c>
      <c r="B278" s="511" t="s">
        <v>765</v>
      </c>
      <c r="C278" s="547">
        <f t="shared" si="31"/>
        <v>0.28723465506990603</v>
      </c>
      <c r="D278" s="547">
        <f t="shared" si="31"/>
        <v>0.25359334117602961</v>
      </c>
      <c r="E278" s="574">
        <f t="shared" si="32"/>
        <v>-3.3641313893876423E-2</v>
      </c>
    </row>
    <row r="279" spans="1:5" x14ac:dyDescent="0.2">
      <c r="A279" s="512">
        <v>4</v>
      </c>
      <c r="B279" s="511" t="s">
        <v>114</v>
      </c>
      <c r="C279" s="547">
        <f t="shared" si="31"/>
        <v>0.28723465506990603</v>
      </c>
      <c r="D279" s="547">
        <f t="shared" si="31"/>
        <v>0.25359334117602961</v>
      </c>
      <c r="E279" s="574">
        <f t="shared" si="32"/>
        <v>-3.3641313893876423E-2</v>
      </c>
    </row>
    <row r="280" spans="1:5" x14ac:dyDescent="0.2">
      <c r="A280" s="512">
        <v>5</v>
      </c>
      <c r="B280" s="511" t="s">
        <v>732</v>
      </c>
      <c r="C280" s="547">
        <f t="shared" si="31"/>
        <v>0</v>
      </c>
      <c r="D280" s="547">
        <f t="shared" si="31"/>
        <v>0</v>
      </c>
      <c r="E280" s="574">
        <f t="shared" si="32"/>
        <v>0</v>
      </c>
    </row>
    <row r="281" spans="1:5" x14ac:dyDescent="0.2">
      <c r="A281" s="512">
        <v>6</v>
      </c>
      <c r="B281" s="511" t="s">
        <v>430</v>
      </c>
      <c r="C281" s="547">
        <f t="shared" si="31"/>
        <v>0.32763372165852439</v>
      </c>
      <c r="D281" s="547">
        <f t="shared" si="31"/>
        <v>0.7882324547037427</v>
      </c>
      <c r="E281" s="574">
        <f t="shared" si="32"/>
        <v>0.46059873304521831</v>
      </c>
    </row>
    <row r="282" spans="1:5" x14ac:dyDescent="0.2">
      <c r="A282" s="512">
        <v>7</v>
      </c>
      <c r="B282" s="511" t="s">
        <v>747</v>
      </c>
      <c r="C282" s="547">
        <f t="shared" si="31"/>
        <v>5.2865576205530984E-3</v>
      </c>
      <c r="D282" s="547">
        <f t="shared" si="31"/>
        <v>2.927656547988133E-2</v>
      </c>
      <c r="E282" s="574">
        <f t="shared" si="32"/>
        <v>2.3990007859328231E-2</v>
      </c>
    </row>
    <row r="283" spans="1:5" ht="29.25" customHeight="1" x14ac:dyDescent="0.2">
      <c r="A283" s="512"/>
      <c r="B283" s="516" t="s">
        <v>833</v>
      </c>
      <c r="C283" s="575">
        <f t="shared" si="31"/>
        <v>0.39150375118891806</v>
      </c>
      <c r="D283" s="575">
        <f t="shared" si="31"/>
        <v>0.31992379739864829</v>
      </c>
      <c r="E283" s="576">
        <f t="shared" si="32"/>
        <v>-7.1579953790269768E-2</v>
      </c>
    </row>
    <row r="284" spans="1:5" x14ac:dyDescent="0.2">
      <c r="A284" s="512"/>
      <c r="B284" s="516" t="s">
        <v>834</v>
      </c>
      <c r="C284" s="575">
        <f t="shared" si="31"/>
        <v>0.43541588501716688</v>
      </c>
      <c r="D284" s="575">
        <f t="shared" si="31"/>
        <v>0.36056380739213006</v>
      </c>
      <c r="E284" s="576">
        <f t="shared" si="32"/>
        <v>-7.4852077625036817E-2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835</v>
      </c>
      <c r="C286" s="520"/>
      <c r="D286" s="520"/>
      <c r="E286" s="520"/>
    </row>
    <row r="287" spans="1:5" x14ac:dyDescent="0.2">
      <c r="A287" s="512">
        <v>1</v>
      </c>
      <c r="B287" s="511" t="s">
        <v>640</v>
      </c>
      <c r="C287" s="547">
        <f t="shared" ref="C287:D295" si="33">IF(C25=0,0,+C58/C25)</f>
        <v>0.53521274853781298</v>
      </c>
      <c r="D287" s="547">
        <f t="shared" si="33"/>
        <v>0.47586771212598589</v>
      </c>
      <c r="E287" s="574">
        <f t="shared" ref="E287:E295" si="34">D287-C287</f>
        <v>-5.934503641182709E-2</v>
      </c>
    </row>
    <row r="288" spans="1:5" x14ac:dyDescent="0.2">
      <c r="A288" s="512">
        <v>2</v>
      </c>
      <c r="B288" s="511" t="s">
        <v>619</v>
      </c>
      <c r="C288" s="547">
        <f t="shared" si="33"/>
        <v>0.25863384543958767</v>
      </c>
      <c r="D288" s="547">
        <f t="shared" si="33"/>
        <v>0.24226086056495008</v>
      </c>
      <c r="E288" s="574">
        <f t="shared" si="34"/>
        <v>-1.6372984874637592E-2</v>
      </c>
    </row>
    <row r="289" spans="1:5" x14ac:dyDescent="0.2">
      <c r="A289" s="512">
        <v>3</v>
      </c>
      <c r="B289" s="511" t="s">
        <v>765</v>
      </c>
      <c r="C289" s="547">
        <f t="shared" si="33"/>
        <v>0.23714245466622169</v>
      </c>
      <c r="D289" s="547">
        <f t="shared" si="33"/>
        <v>0.17841577748549764</v>
      </c>
      <c r="E289" s="574">
        <f t="shared" si="34"/>
        <v>-5.8726677180724052E-2</v>
      </c>
    </row>
    <row r="290" spans="1:5" x14ac:dyDescent="0.2">
      <c r="A290" s="512">
        <v>4</v>
      </c>
      <c r="B290" s="511" t="s">
        <v>114</v>
      </c>
      <c r="C290" s="547">
        <f t="shared" si="33"/>
        <v>0.23714245466622169</v>
      </c>
      <c r="D290" s="547">
        <f t="shared" si="33"/>
        <v>0.17841577748549764</v>
      </c>
      <c r="E290" s="574">
        <f t="shared" si="34"/>
        <v>-5.8726677180724052E-2</v>
      </c>
    </row>
    <row r="291" spans="1:5" x14ac:dyDescent="0.2">
      <c r="A291" s="512">
        <v>5</v>
      </c>
      <c r="B291" s="511" t="s">
        <v>732</v>
      </c>
      <c r="C291" s="547">
        <f t="shared" si="33"/>
        <v>0</v>
      </c>
      <c r="D291" s="547">
        <f t="shared" si="33"/>
        <v>0</v>
      </c>
      <c r="E291" s="574">
        <f t="shared" si="34"/>
        <v>0</v>
      </c>
    </row>
    <row r="292" spans="1:5" x14ac:dyDescent="0.2">
      <c r="A292" s="512">
        <v>6</v>
      </c>
      <c r="B292" s="511" t="s">
        <v>430</v>
      </c>
      <c r="C292" s="547">
        <f t="shared" si="33"/>
        <v>0.64475127240310559</v>
      </c>
      <c r="D292" s="547">
        <f t="shared" si="33"/>
        <v>0.58808568720379151</v>
      </c>
      <c r="E292" s="574">
        <f t="shared" si="34"/>
        <v>-5.6665585199314084E-2</v>
      </c>
    </row>
    <row r="293" spans="1:5" x14ac:dyDescent="0.2">
      <c r="A293" s="512">
        <v>7</v>
      </c>
      <c r="B293" s="511" t="s">
        <v>747</v>
      </c>
      <c r="C293" s="547">
        <f t="shared" si="33"/>
        <v>5.8460565457272892E-2</v>
      </c>
      <c r="D293" s="547">
        <f t="shared" si="33"/>
        <v>4.8327620474924685E-2</v>
      </c>
      <c r="E293" s="574">
        <f t="shared" si="34"/>
        <v>-1.0132944982348208E-2</v>
      </c>
    </row>
    <row r="294" spans="1:5" ht="29.25" customHeight="1" x14ac:dyDescent="0.2">
      <c r="A294" s="512"/>
      <c r="B294" s="516" t="s">
        <v>836</v>
      </c>
      <c r="C294" s="575">
        <f t="shared" si="33"/>
        <v>0.2544392691643525</v>
      </c>
      <c r="D294" s="575">
        <f t="shared" si="33"/>
        <v>0.22247795391738814</v>
      </c>
      <c r="E294" s="576">
        <f t="shared" si="34"/>
        <v>-3.1961315246964356E-2</v>
      </c>
    </row>
    <row r="295" spans="1:5" x14ac:dyDescent="0.2">
      <c r="A295" s="512"/>
      <c r="B295" s="516" t="s">
        <v>837</v>
      </c>
      <c r="C295" s="575">
        <f t="shared" si="33"/>
        <v>0.38811378586002926</v>
      </c>
      <c r="D295" s="575">
        <f t="shared" si="33"/>
        <v>0.33965672799732055</v>
      </c>
      <c r="E295" s="576">
        <f t="shared" si="34"/>
        <v>-4.8457057862708708E-2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838</v>
      </c>
      <c r="B297" s="501" t="s">
        <v>839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840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638</v>
      </c>
      <c r="C301" s="514">
        <f>+C48+C47+C50+C51+C52+C59+C58+C61+C62+C63</f>
        <v>60029220</v>
      </c>
      <c r="D301" s="514">
        <f>+D48+D47+D50+D51+D52+D59+D58+D61+D62+D63</f>
        <v>65340196</v>
      </c>
      <c r="E301" s="514">
        <f>D301-C301</f>
        <v>5310976</v>
      </c>
    </row>
    <row r="302" spans="1:5" ht="25.5" x14ac:dyDescent="0.2">
      <c r="A302" s="512">
        <v>2</v>
      </c>
      <c r="B302" s="511" t="s">
        <v>841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842</v>
      </c>
      <c r="C303" s="517">
        <f>+C301+C302</f>
        <v>60029220</v>
      </c>
      <c r="D303" s="517">
        <f>+D301+D302</f>
        <v>65340196</v>
      </c>
      <c r="E303" s="517">
        <f>D303-C303</f>
        <v>5310976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843</v>
      </c>
      <c r="C305" s="513">
        <v>3357906</v>
      </c>
      <c r="D305" s="578">
        <v>2507443</v>
      </c>
      <c r="E305" s="579">
        <f>D305-C305</f>
        <v>-850463</v>
      </c>
    </row>
    <row r="306" spans="1:5" x14ac:dyDescent="0.2">
      <c r="A306" s="512">
        <v>4</v>
      </c>
      <c r="B306" s="516" t="s">
        <v>844</v>
      </c>
      <c r="C306" s="580">
        <f>+C303+C305</f>
        <v>63387126</v>
      </c>
      <c r="D306" s="580">
        <f>+D303+D305</f>
        <v>67847639</v>
      </c>
      <c r="E306" s="580">
        <f>D306-C306</f>
        <v>4460513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845</v>
      </c>
      <c r="C308" s="513">
        <v>63387116</v>
      </c>
      <c r="D308" s="513">
        <v>67847638</v>
      </c>
      <c r="E308" s="514">
        <f>D308-C308</f>
        <v>4460522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846</v>
      </c>
      <c r="C310" s="581">
        <f>C306-C308</f>
        <v>10</v>
      </c>
      <c r="D310" s="582">
        <f>D306-D308</f>
        <v>1</v>
      </c>
      <c r="E310" s="580">
        <f>D310-C310</f>
        <v>-9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847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848</v>
      </c>
      <c r="C314" s="514">
        <f>+C14+C15+C16+C19+C25+C26+C27+C30</f>
        <v>148072622</v>
      </c>
      <c r="D314" s="514">
        <f>+D14+D15+D16+D19+D25+D26+D27+D30</f>
        <v>188069298</v>
      </c>
      <c r="E314" s="514">
        <f>D314-C314</f>
        <v>39996676</v>
      </c>
    </row>
    <row r="315" spans="1:5" x14ac:dyDescent="0.2">
      <c r="A315" s="512">
        <v>2</v>
      </c>
      <c r="B315" s="583" t="s">
        <v>849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850</v>
      </c>
      <c r="C316" s="581">
        <f>C314+C315</f>
        <v>148072622</v>
      </c>
      <c r="D316" s="581">
        <f>D314+D315</f>
        <v>188069298</v>
      </c>
      <c r="E316" s="517">
        <f>D316-C316</f>
        <v>39996676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851</v>
      </c>
      <c r="C318" s="513">
        <v>148072623</v>
      </c>
      <c r="D318" s="513">
        <v>188069273</v>
      </c>
      <c r="E318" s="514">
        <f>D318-C318</f>
        <v>39996650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846</v>
      </c>
      <c r="C320" s="581">
        <f>C316-C318</f>
        <v>-1</v>
      </c>
      <c r="D320" s="581">
        <f>D316-D318</f>
        <v>25</v>
      </c>
      <c r="E320" s="517">
        <f>D320-C320</f>
        <v>26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852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853</v>
      </c>
      <c r="C324" s="513">
        <f>+C193+C194</f>
        <v>3746999</v>
      </c>
      <c r="D324" s="513">
        <f>+D193+D194</f>
        <v>5502701</v>
      </c>
      <c r="E324" s="514">
        <f>D324-C324</f>
        <v>1755702</v>
      </c>
    </row>
    <row r="325" spans="1:5" x14ac:dyDescent="0.2">
      <c r="A325" s="512">
        <v>2</v>
      </c>
      <c r="B325" s="511" t="s">
        <v>854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855</v>
      </c>
      <c r="C326" s="581">
        <f>C324+C325</f>
        <v>3746999</v>
      </c>
      <c r="D326" s="581">
        <f>D324+D325</f>
        <v>5502701</v>
      </c>
      <c r="E326" s="517">
        <f>D326-C326</f>
        <v>1755702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856</v>
      </c>
      <c r="C328" s="513">
        <v>3746999</v>
      </c>
      <c r="D328" s="513">
        <v>5502701</v>
      </c>
      <c r="E328" s="514">
        <f>D328-C328</f>
        <v>1755702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857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FILING&amp;RROCKVILLE GENERAL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610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858</v>
      </c>
      <c r="B5" s="696"/>
      <c r="C5" s="697"/>
      <c r="D5" s="585"/>
    </row>
    <row r="6" spans="1:58" s="338" customFormat="1" ht="15.75" customHeight="1" x14ac:dyDescent="0.25">
      <c r="A6" s="695" t="s">
        <v>859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860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861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764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640</v>
      </c>
      <c r="C14" s="513">
        <v>16101706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619</v>
      </c>
      <c r="C15" s="515">
        <v>46740240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765</v>
      </c>
      <c r="C16" s="515">
        <v>6989943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6989943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732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430</v>
      </c>
      <c r="C19" s="515">
        <v>58007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747</v>
      </c>
      <c r="C20" s="515">
        <v>1107951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766</v>
      </c>
      <c r="C21" s="517">
        <f>SUM(C15+C16+C19)</f>
        <v>53788190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706</v>
      </c>
      <c r="C22" s="517">
        <f>SUM(C14+C21)</f>
        <v>69889896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767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640</v>
      </c>
      <c r="C25" s="513">
        <v>54651449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619</v>
      </c>
      <c r="C26" s="515">
        <v>39612350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765</v>
      </c>
      <c r="C27" s="515">
        <v>23256228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23256228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732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430</v>
      </c>
      <c r="C30" s="515">
        <v>659375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747</v>
      </c>
      <c r="C31" s="518">
        <v>4649453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768</v>
      </c>
      <c r="C32" s="517">
        <f>SUM(C26+C27+C30)</f>
        <v>63527953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712</v>
      </c>
      <c r="C33" s="517">
        <f>SUM(C25+C32)</f>
        <v>118179402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637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862</v>
      </c>
      <c r="C36" s="514">
        <f>SUM(C14+C25)</f>
        <v>70753155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863</v>
      </c>
      <c r="C37" s="518">
        <f>SUM(C21+C32)</f>
        <v>117316143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637</v>
      </c>
      <c r="C38" s="517">
        <f>SUM(+C36+C37)</f>
        <v>188069298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333</v>
      </c>
      <c r="B40" s="509" t="s">
        <v>777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640</v>
      </c>
      <c r="C41" s="513">
        <v>7991645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619</v>
      </c>
      <c r="C42" s="515">
        <v>15389796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765</v>
      </c>
      <c r="C43" s="515">
        <v>1772603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1772603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732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430</v>
      </c>
      <c r="C46" s="515">
        <v>45723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747</v>
      </c>
      <c r="C47" s="515">
        <v>32437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778</v>
      </c>
      <c r="C48" s="517">
        <f>SUM(C42+C43+C46)</f>
        <v>17208122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707</v>
      </c>
      <c r="C49" s="517">
        <f>SUM(C41+C48)</f>
        <v>25199767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354</v>
      </c>
      <c r="B51" s="509" t="s">
        <v>779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640</v>
      </c>
      <c r="C52" s="513">
        <v>26006860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619</v>
      </c>
      <c r="C53" s="515">
        <v>9596522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765</v>
      </c>
      <c r="C54" s="515">
        <v>4149278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4149278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732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430</v>
      </c>
      <c r="C57" s="515">
        <v>387769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747</v>
      </c>
      <c r="C58" s="515">
        <v>224697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780</v>
      </c>
      <c r="C59" s="517">
        <f>SUM(C53+C54+C57)</f>
        <v>14133569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713</v>
      </c>
      <c r="C60" s="517">
        <f>SUM(C52+C59)</f>
        <v>40140429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366</v>
      </c>
      <c r="B62" s="521" t="s">
        <v>638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864</v>
      </c>
      <c r="C63" s="514">
        <f>SUM(C41+C52)</f>
        <v>33998505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865</v>
      </c>
      <c r="C64" s="518">
        <f>SUM(C48+C59)</f>
        <v>31341691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638</v>
      </c>
      <c r="C65" s="517">
        <f>SUM(+C63+C64)</f>
        <v>65340196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866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867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640</v>
      </c>
      <c r="C70" s="530">
        <v>594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619</v>
      </c>
      <c r="C71" s="530">
        <v>1655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765</v>
      </c>
      <c r="C72" s="530">
        <v>266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266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732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430</v>
      </c>
      <c r="C75" s="545">
        <v>4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747</v>
      </c>
      <c r="C76" s="545">
        <v>58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795</v>
      </c>
      <c r="C77" s="532">
        <f>SUM(C71+C72+C75)</f>
        <v>1925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709</v>
      </c>
      <c r="C78" s="596">
        <f>SUM(C70+C77)</f>
        <v>2519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800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640</v>
      </c>
      <c r="C81" s="541">
        <v>1.6539200000000001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619</v>
      </c>
      <c r="C82" s="541">
        <v>1.49234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765</v>
      </c>
      <c r="C83" s="541">
        <f>((C73*C84)+(C74*C85))/(C73+C74)</f>
        <v>1.18327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1.18327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732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430</v>
      </c>
      <c r="C86" s="541">
        <v>1.29484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747</v>
      </c>
      <c r="C87" s="541">
        <v>1.12859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801</v>
      </c>
      <c r="C88" s="543">
        <f>((C71*C82)+(C73*C84)+(C74*C85)+(C75*C86))/(C71+C73+C74+C75)</f>
        <v>1.449221755844156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710</v>
      </c>
      <c r="C89" s="543">
        <f>((C70*C81)+(C71*C82)+(C73*C84)+(C74*C85)+(C75*C86))/(C70+C71+C73+C74+C75)</f>
        <v>1.4974912107979359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802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803</v>
      </c>
      <c r="C92" s="513">
        <v>70753155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804</v>
      </c>
      <c r="C93" s="546">
        <v>33998505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652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736</v>
      </c>
      <c r="C95" s="513">
        <f>+C92-C93</f>
        <v>36754650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654</v>
      </c>
      <c r="C96" s="597">
        <f>(+C92-C93)/C92</f>
        <v>0.51947718797840181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751</v>
      </c>
      <c r="C98" s="513">
        <v>0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737</v>
      </c>
      <c r="C99" s="513">
        <v>0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868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806</v>
      </c>
      <c r="C103" s="513">
        <v>2192753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807</v>
      </c>
      <c r="C104" s="513">
        <v>3309948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808</v>
      </c>
      <c r="C105" s="578">
        <f>+C103+C104</f>
        <v>5502701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809</v>
      </c>
      <c r="C107" s="513">
        <v>6871608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694</v>
      </c>
      <c r="C108" s="513">
        <v>74038954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839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840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638</v>
      </c>
      <c r="C114" s="514">
        <f>+C65</f>
        <v>65340196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841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842</v>
      </c>
      <c r="C116" s="517">
        <f>+C114+C115</f>
        <v>65340196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843</v>
      </c>
      <c r="C118" s="578">
        <v>2507443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844</v>
      </c>
      <c r="C119" s="580">
        <f>+C116+C118</f>
        <v>67847639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845</v>
      </c>
      <c r="C121" s="513">
        <v>67847638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846</v>
      </c>
      <c r="C123" s="582">
        <f>C119-C121</f>
        <v>1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847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848</v>
      </c>
      <c r="C127" s="514">
        <f>+C38</f>
        <v>188069298</v>
      </c>
      <c r="D127" s="588"/>
      <c r="AR127" s="507"/>
    </row>
    <row r="128" spans="1:58" s="506" customFormat="1" x14ac:dyDescent="0.2">
      <c r="A128" s="512">
        <v>2</v>
      </c>
      <c r="B128" s="583" t="s">
        <v>849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850</v>
      </c>
      <c r="C129" s="581">
        <f>C127+C128</f>
        <v>188069298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851</v>
      </c>
      <c r="C131" s="513">
        <v>188069273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846</v>
      </c>
      <c r="C133" s="581">
        <f>C129-C131</f>
        <v>25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852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853</v>
      </c>
      <c r="C137" s="513">
        <f>C105</f>
        <v>5502701</v>
      </c>
      <c r="D137" s="588"/>
      <c r="AR137" s="507"/>
    </row>
    <row r="138" spans="1:44" s="506" customFormat="1" x14ac:dyDescent="0.2">
      <c r="A138" s="512">
        <v>2</v>
      </c>
      <c r="B138" s="511" t="s">
        <v>869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855</v>
      </c>
      <c r="C139" s="581">
        <f>C137+C138</f>
        <v>5502701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870</v>
      </c>
      <c r="C141" s="513">
        <v>5502701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857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FILING&amp;RROCKVILLE GENERAL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610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611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871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614</v>
      </c>
      <c r="D8" s="35" t="s">
        <v>614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616</v>
      </c>
      <c r="D9" s="607" t="s">
        <v>617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872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873</v>
      </c>
      <c r="C12" s="49">
        <v>352</v>
      </c>
      <c r="D12" s="49">
        <v>1117</v>
      </c>
      <c r="E12" s="49">
        <f>+D12-C12</f>
        <v>765</v>
      </c>
      <c r="F12" s="70">
        <f>IF(C12=0,0,+E12/C12)</f>
        <v>2.1732954545454546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874</v>
      </c>
      <c r="C13" s="49">
        <v>303</v>
      </c>
      <c r="D13" s="49">
        <v>1026</v>
      </c>
      <c r="E13" s="49">
        <f>+D13-C13</f>
        <v>723</v>
      </c>
      <c r="F13" s="70">
        <f>IF(C13=0,0,+E13/C13)</f>
        <v>2.386138613861386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875</v>
      </c>
      <c r="C15" s="51">
        <v>821721</v>
      </c>
      <c r="D15" s="51">
        <v>2192753</v>
      </c>
      <c r="E15" s="51">
        <f>+D15-C15</f>
        <v>1371032</v>
      </c>
      <c r="F15" s="70">
        <f>IF(C15=0,0,+E15/C15)</f>
        <v>1.6684884528933785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876</v>
      </c>
      <c r="C16" s="27">
        <f>IF(C13=0,0,+C15/+C13)</f>
        <v>2711.9504950495048</v>
      </c>
      <c r="D16" s="27">
        <f>IF(D13=0,0,+D15/+D13)</f>
        <v>2137.1861598440546</v>
      </c>
      <c r="E16" s="27">
        <f>+D16-C16</f>
        <v>-574.76433520545015</v>
      </c>
      <c r="F16" s="28">
        <f>IF(C16=0,0,+E16/C16)</f>
        <v>-0.21193762063675067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877</v>
      </c>
      <c r="C18" s="210">
        <v>0.43230800000000003</v>
      </c>
      <c r="D18" s="210">
        <v>0.44494699999999998</v>
      </c>
      <c r="E18" s="210">
        <f>+D18-C18</f>
        <v>1.2638999999999956E-2</v>
      </c>
      <c r="F18" s="70">
        <f>IF(C18=0,0,+E18/C18)</f>
        <v>2.9236100187828944E-2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878</v>
      </c>
      <c r="C19" s="27">
        <f>+C15*C18</f>
        <v>355236.56206800003</v>
      </c>
      <c r="D19" s="27">
        <f>+D15*D18</f>
        <v>975658.86909099994</v>
      </c>
      <c r="E19" s="27">
        <f>+D19-C19</f>
        <v>620422.30702299997</v>
      </c>
      <c r="F19" s="28">
        <f>IF(C19=0,0,+E19/C19)</f>
        <v>1.7465046486522342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879</v>
      </c>
      <c r="C20" s="27">
        <f>IF(C13=0,0,+C19/C13)</f>
        <v>1172.3978946138616</v>
      </c>
      <c r="D20" s="27">
        <f>IF(D13=0,0,+D19/D13)</f>
        <v>950.9345702641325</v>
      </c>
      <c r="E20" s="27">
        <f>+D20-C20</f>
        <v>-221.46332434972908</v>
      </c>
      <c r="F20" s="28">
        <f>IF(C20=0,0,+E20/C20)</f>
        <v>-0.18889774995942804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880</v>
      </c>
      <c r="C22" s="51">
        <v>318391</v>
      </c>
      <c r="D22" s="51">
        <v>369081</v>
      </c>
      <c r="E22" s="51">
        <f>+D22-C22</f>
        <v>50690</v>
      </c>
      <c r="F22" s="70">
        <f>IF(C22=0,0,+E22/C22)</f>
        <v>0.15920676149765539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881</v>
      </c>
      <c r="C23" s="49">
        <v>246805</v>
      </c>
      <c r="D23" s="49">
        <v>948318</v>
      </c>
      <c r="E23" s="49">
        <f>+D23-C23</f>
        <v>701513</v>
      </c>
      <c r="F23" s="70">
        <f>IF(C23=0,0,+E23/C23)</f>
        <v>2.8423775855432427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882</v>
      </c>
      <c r="C24" s="49">
        <v>256525</v>
      </c>
      <c r="D24" s="49">
        <v>875354</v>
      </c>
      <c r="E24" s="49">
        <f>+D24-C24</f>
        <v>618829</v>
      </c>
      <c r="F24" s="70">
        <f>IF(C24=0,0,+E24/C24)</f>
        <v>2.41235357177663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875</v>
      </c>
      <c r="C25" s="27">
        <f>+C22+C23+C24</f>
        <v>821721</v>
      </c>
      <c r="D25" s="27">
        <f>+D22+D23+D24</f>
        <v>2192753</v>
      </c>
      <c r="E25" s="27">
        <f>+E22+E23+E24</f>
        <v>1371032</v>
      </c>
      <c r="F25" s="28">
        <f>IF(C25=0,0,+E25/C25)</f>
        <v>1.6684884528933785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883</v>
      </c>
      <c r="C27" s="49">
        <v>356</v>
      </c>
      <c r="D27" s="49">
        <v>283</v>
      </c>
      <c r="E27" s="49">
        <f>+D27-C27</f>
        <v>-73</v>
      </c>
      <c r="F27" s="70">
        <f>IF(C27=0,0,+E27/C27)</f>
        <v>-0.2050561797752809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884</v>
      </c>
      <c r="C28" s="49">
        <v>57</v>
      </c>
      <c r="D28" s="49">
        <v>46</v>
      </c>
      <c r="E28" s="49">
        <f>+D28-C28</f>
        <v>-11</v>
      </c>
      <c r="F28" s="70">
        <f>IF(C28=0,0,+E28/C28)</f>
        <v>-0.19298245614035087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885</v>
      </c>
      <c r="C29" s="49">
        <v>330</v>
      </c>
      <c r="D29" s="49">
        <v>11052</v>
      </c>
      <c r="E29" s="49">
        <f>+D29-C29</f>
        <v>10722</v>
      </c>
      <c r="F29" s="70">
        <f>IF(C29=0,0,+E29/C29)</f>
        <v>32.490909090909092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886</v>
      </c>
      <c r="C30" s="49">
        <v>205</v>
      </c>
      <c r="D30" s="49">
        <v>211</v>
      </c>
      <c r="E30" s="49">
        <f>+D30-C30</f>
        <v>6</v>
      </c>
      <c r="F30" s="70">
        <f>IF(C30=0,0,+E30/C30)</f>
        <v>2.9268292682926831E-2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887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888</v>
      </c>
      <c r="C33" s="51">
        <v>647342</v>
      </c>
      <c r="D33" s="51">
        <v>748390</v>
      </c>
      <c r="E33" s="51">
        <f>+D33-C33</f>
        <v>101048</v>
      </c>
      <c r="F33" s="70">
        <f>IF(C33=0,0,+E33/C33)</f>
        <v>0.15609677728310536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889</v>
      </c>
      <c r="C34" s="49">
        <v>1116974</v>
      </c>
      <c r="D34" s="49">
        <v>1332020</v>
      </c>
      <c r="E34" s="49">
        <f>+D34-C34</f>
        <v>215046</v>
      </c>
      <c r="F34" s="70">
        <f>IF(C34=0,0,+E34/C34)</f>
        <v>0.1925255198420017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890</v>
      </c>
      <c r="C35" s="49">
        <v>1160962</v>
      </c>
      <c r="D35" s="49">
        <v>1229538</v>
      </c>
      <c r="E35" s="49">
        <f>+D35-C35</f>
        <v>68576</v>
      </c>
      <c r="F35" s="70">
        <f>IF(C35=0,0,+E35/C35)</f>
        <v>5.9068255464003128E-2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891</v>
      </c>
      <c r="C36" s="27">
        <f>+C33+C34+C35</f>
        <v>2925278</v>
      </c>
      <c r="D36" s="27">
        <f>+D33+D34+D35</f>
        <v>3309948</v>
      </c>
      <c r="E36" s="27">
        <f>+E33+E34+E35</f>
        <v>384670</v>
      </c>
      <c r="F36" s="28">
        <f>IF(C36=0,0,+E36/C36)</f>
        <v>0.13149861312326555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892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893</v>
      </c>
      <c r="C39" s="51">
        <f>+C25</f>
        <v>821721</v>
      </c>
      <c r="D39" s="51">
        <f>+D25</f>
        <v>2192753</v>
      </c>
      <c r="E39" s="51">
        <f>+D39-C39</f>
        <v>1371032</v>
      </c>
      <c r="F39" s="70">
        <f>IF(C39=0,0,+E39/C39)</f>
        <v>1.6684884528933785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894</v>
      </c>
      <c r="C40" s="49">
        <f>+C36</f>
        <v>2925278</v>
      </c>
      <c r="D40" s="49">
        <f>+D36</f>
        <v>3309948</v>
      </c>
      <c r="E40" s="49">
        <f>+D40-C40</f>
        <v>384670</v>
      </c>
      <c r="F40" s="70">
        <f>IF(C40=0,0,+E40/C40)</f>
        <v>0.13149861312326555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895</v>
      </c>
      <c r="C41" s="27">
        <f>+C39+C40</f>
        <v>3746999</v>
      </c>
      <c r="D41" s="27">
        <f>+D39+D40</f>
        <v>5502701</v>
      </c>
      <c r="E41" s="27">
        <f>+E39+E40</f>
        <v>1755702</v>
      </c>
      <c r="F41" s="28">
        <f>IF(C41=0,0,+E41/C41)</f>
        <v>0.46856217468966499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896</v>
      </c>
      <c r="C43" s="51">
        <f t="shared" ref="C43:D45" si="0">+C22+C33</f>
        <v>965733</v>
      </c>
      <c r="D43" s="51">
        <f t="shared" si="0"/>
        <v>1117471</v>
      </c>
      <c r="E43" s="51">
        <f>+D43-C43</f>
        <v>151738</v>
      </c>
      <c r="F43" s="70">
        <f>IF(C43=0,0,+E43/C43)</f>
        <v>0.15712210310717351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897</v>
      </c>
      <c r="C44" s="49">
        <f t="shared" si="0"/>
        <v>1363779</v>
      </c>
      <c r="D44" s="49">
        <f t="shared" si="0"/>
        <v>2280338</v>
      </c>
      <c r="E44" s="49">
        <f>+D44-C44</f>
        <v>916559</v>
      </c>
      <c r="F44" s="70">
        <f>IF(C44=0,0,+E44/C44)</f>
        <v>0.67207296783423121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898</v>
      </c>
      <c r="C45" s="49">
        <f t="shared" si="0"/>
        <v>1417487</v>
      </c>
      <c r="D45" s="49">
        <f t="shared" si="0"/>
        <v>2104892</v>
      </c>
      <c r="E45" s="49">
        <f>+D45-C45</f>
        <v>687405</v>
      </c>
      <c r="F45" s="70">
        <f>IF(C45=0,0,+E45/C45)</f>
        <v>0.48494624642060208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895</v>
      </c>
      <c r="C46" s="27">
        <f>+C43+C44+C45</f>
        <v>3746999</v>
      </c>
      <c r="D46" s="27">
        <f>+D43+D44+D45</f>
        <v>5502701</v>
      </c>
      <c r="E46" s="27">
        <f>+E43+E44+E45</f>
        <v>1755702</v>
      </c>
      <c r="F46" s="28">
        <f>IF(C46=0,0,+E46/C46)</f>
        <v>0.46856217468966499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899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FILING&amp;RROCKVILLE GENERAL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610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611</v>
      </c>
      <c r="B4" s="712"/>
      <c r="C4" s="712"/>
      <c r="D4" s="712"/>
      <c r="E4" s="712"/>
      <c r="F4" s="713"/>
    </row>
    <row r="5" spans="1:14" ht="15.75" customHeight="1" x14ac:dyDescent="0.25">
      <c r="A5" s="711" t="s">
        <v>900</v>
      </c>
      <c r="B5" s="712"/>
      <c r="C5" s="712"/>
      <c r="D5" s="712"/>
      <c r="E5" s="712"/>
      <c r="F5" s="713"/>
    </row>
    <row r="6" spans="1:14" ht="15.75" customHeight="1" x14ac:dyDescent="0.25">
      <c r="A6" s="711" t="s">
        <v>901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616</v>
      </c>
      <c r="D9" s="35" t="s">
        <v>617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902</v>
      </c>
      <c r="D10" s="35" t="s">
        <v>902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903</v>
      </c>
      <c r="D11" s="605" t="s">
        <v>903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904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337</v>
      </c>
      <c r="C15" s="51">
        <v>57080304</v>
      </c>
      <c r="D15" s="51">
        <v>70753155</v>
      </c>
      <c r="E15" s="51">
        <f>+D15-C15</f>
        <v>13672851</v>
      </c>
      <c r="F15" s="70">
        <f>+E15/C15</f>
        <v>0.23953710898246092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519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905</v>
      </c>
      <c r="C17" s="51">
        <v>25896845</v>
      </c>
      <c r="D17" s="51">
        <v>36754650</v>
      </c>
      <c r="E17" s="51">
        <f>+D17-C17</f>
        <v>10857805</v>
      </c>
      <c r="F17" s="70">
        <f>+E17/C17</f>
        <v>0.4192713436714009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906</v>
      </c>
      <c r="C19" s="27">
        <f>+C15-C17</f>
        <v>31183459</v>
      </c>
      <c r="D19" s="27">
        <f>+D15-D17</f>
        <v>33998505</v>
      </c>
      <c r="E19" s="27">
        <f>+D19-C19</f>
        <v>2815046</v>
      </c>
      <c r="F19" s="28">
        <f>+E19/C19</f>
        <v>9.0273692857485766E-2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907</v>
      </c>
      <c r="C21" s="628">
        <f>+C17/C15</f>
        <v>0.4536914344394522</v>
      </c>
      <c r="D21" s="628">
        <f>+D17/D15</f>
        <v>0.51947718797840181</v>
      </c>
      <c r="E21" s="628">
        <f>+D21-C21</f>
        <v>6.578575353894961E-2</v>
      </c>
      <c r="F21" s="28">
        <f>+E21/C21</f>
        <v>0.14500109225167465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519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519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519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519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908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FILING&amp;R&amp;12ROCKVILLE GENERAL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909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910</v>
      </c>
      <c r="B6" s="632" t="s">
        <v>911</v>
      </c>
      <c r="C6" s="632" t="s">
        <v>912</v>
      </c>
      <c r="D6" s="632" t="s">
        <v>913</v>
      </c>
      <c r="E6" s="632" t="s">
        <v>914</v>
      </c>
    </row>
    <row r="7" spans="1:6" ht="37.5" customHeight="1" x14ac:dyDescent="0.25">
      <c r="A7" s="633" t="s">
        <v>8</v>
      </c>
      <c r="B7" s="634" t="s">
        <v>915</v>
      </c>
      <c r="C7" s="631" t="s">
        <v>916</v>
      </c>
      <c r="D7" s="631" t="s">
        <v>917</v>
      </c>
      <c r="E7" s="631" t="s">
        <v>918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919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920</v>
      </c>
      <c r="C10" s="641">
        <v>59163079</v>
      </c>
      <c r="D10" s="641">
        <v>54124323</v>
      </c>
      <c r="E10" s="641">
        <v>69889896</v>
      </c>
    </row>
    <row r="11" spans="1:6" ht="26.1" customHeight="1" x14ac:dyDescent="0.25">
      <c r="A11" s="639">
        <v>2</v>
      </c>
      <c r="B11" s="640" t="s">
        <v>921</v>
      </c>
      <c r="C11" s="641">
        <v>87971061</v>
      </c>
      <c r="D11" s="641">
        <v>93948299</v>
      </c>
      <c r="E11" s="641">
        <v>118179402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147134140</v>
      </c>
      <c r="D12" s="641">
        <f>+D11+D10</f>
        <v>148072622</v>
      </c>
      <c r="E12" s="641">
        <f>+E11+E10</f>
        <v>188069298</v>
      </c>
    </row>
    <row r="13" spans="1:6" ht="26.1" customHeight="1" x14ac:dyDescent="0.25">
      <c r="A13" s="639">
        <v>4</v>
      </c>
      <c r="B13" s="640" t="s">
        <v>496</v>
      </c>
      <c r="C13" s="641">
        <v>64174022</v>
      </c>
      <c r="D13" s="641">
        <v>63387116</v>
      </c>
      <c r="E13" s="641">
        <v>67847638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336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922</v>
      </c>
      <c r="C16" s="641">
        <v>65883977</v>
      </c>
      <c r="D16" s="641">
        <v>68017199</v>
      </c>
      <c r="E16" s="641">
        <v>74038954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923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384</v>
      </c>
      <c r="C19" s="644">
        <v>14180</v>
      </c>
      <c r="D19" s="644">
        <v>12370</v>
      </c>
      <c r="E19" s="644">
        <v>13056</v>
      </c>
    </row>
    <row r="20" spans="1:5" ht="26.1" customHeight="1" x14ac:dyDescent="0.25">
      <c r="A20" s="639">
        <v>2</v>
      </c>
      <c r="B20" s="640" t="s">
        <v>385</v>
      </c>
      <c r="C20" s="645">
        <v>3386</v>
      </c>
      <c r="D20" s="645">
        <v>2515</v>
      </c>
      <c r="E20" s="645">
        <v>2519</v>
      </c>
    </row>
    <row r="21" spans="1:5" ht="26.1" customHeight="1" x14ac:dyDescent="0.25">
      <c r="A21" s="639">
        <v>3</v>
      </c>
      <c r="B21" s="640" t="s">
        <v>924</v>
      </c>
      <c r="C21" s="646">
        <f>IF(C20=0,0,+C19/C20)</f>
        <v>4.1878322504430008</v>
      </c>
      <c r="D21" s="646">
        <f>IF(D20=0,0,+D19/D20)</f>
        <v>4.9184890656063622</v>
      </c>
      <c r="E21" s="646">
        <f>IF(E20=0,0,+E19/E20)</f>
        <v>5.1830091306073838</v>
      </c>
    </row>
    <row r="22" spans="1:5" ht="26.1" customHeight="1" x14ac:dyDescent="0.25">
      <c r="A22" s="639">
        <v>4</v>
      </c>
      <c r="B22" s="640" t="s">
        <v>925</v>
      </c>
      <c r="C22" s="645">
        <f>IF(C10=0,0,C19*(C12/C10))</f>
        <v>35264.596441980313</v>
      </c>
      <c r="D22" s="645">
        <f>IF(D10=0,0,D19*(D12/D10))</f>
        <v>33841.685819146413</v>
      </c>
      <c r="E22" s="645">
        <f>IF(E10=0,0,E19*(E12/E10))</f>
        <v>35132.871777173626</v>
      </c>
    </row>
    <row r="23" spans="1:5" ht="26.1" customHeight="1" x14ac:dyDescent="0.25">
      <c r="A23" s="639">
        <v>0</v>
      </c>
      <c r="B23" s="640" t="s">
        <v>926</v>
      </c>
      <c r="C23" s="645">
        <f>IF(C10=0,0,C20*(C12/C10))</f>
        <v>8420.7280361456505</v>
      </c>
      <c r="D23" s="645">
        <f>IF(D10=0,0,D20*(D12/D10))</f>
        <v>6880.5044329145694</v>
      </c>
      <c r="E23" s="645">
        <f>IF(E10=0,0,E20*(E12/E10))</f>
        <v>6778.4699760033973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333</v>
      </c>
      <c r="B25" s="642" t="s">
        <v>927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434</v>
      </c>
      <c r="C26" s="647">
        <v>1.2027995629060839</v>
      </c>
      <c r="D26" s="647">
        <v>1.3970120119284293</v>
      </c>
      <c r="E26" s="647">
        <v>1.4974912107979359</v>
      </c>
    </row>
    <row r="27" spans="1:5" ht="26.1" customHeight="1" x14ac:dyDescent="0.25">
      <c r="A27" s="639">
        <v>2</v>
      </c>
      <c r="B27" s="640" t="s">
        <v>928</v>
      </c>
      <c r="C27" s="645">
        <f>C19*C26</f>
        <v>17055.697802008272</v>
      </c>
      <c r="D27" s="645">
        <f>D19*D26</f>
        <v>17281.038587554671</v>
      </c>
      <c r="E27" s="645">
        <f>E19*E26</f>
        <v>19551.245248177853</v>
      </c>
    </row>
    <row r="28" spans="1:5" ht="26.1" customHeight="1" x14ac:dyDescent="0.25">
      <c r="A28" s="639">
        <v>3</v>
      </c>
      <c r="B28" s="640" t="s">
        <v>929</v>
      </c>
      <c r="C28" s="645">
        <f>C20*C26</f>
        <v>4072.6793200000002</v>
      </c>
      <c r="D28" s="645">
        <f>D20*D26</f>
        <v>3513.4852099999998</v>
      </c>
      <c r="E28" s="645">
        <f>E20*E26</f>
        <v>3772.1803600000007</v>
      </c>
    </row>
    <row r="29" spans="1:5" ht="26.1" customHeight="1" x14ac:dyDescent="0.25">
      <c r="A29" s="639">
        <v>4</v>
      </c>
      <c r="B29" s="640" t="s">
        <v>930</v>
      </c>
      <c r="C29" s="645">
        <f>C22*C26</f>
        <v>42416.241186473366</v>
      </c>
      <c r="D29" s="645">
        <f>D22*D26</f>
        <v>47277.241593255523</v>
      </c>
      <c r="E29" s="645">
        <f>E22*E26</f>
        <v>52611.166696408363</v>
      </c>
    </row>
    <row r="30" spans="1:5" ht="26.1" customHeight="1" x14ac:dyDescent="0.25">
      <c r="A30" s="639">
        <v>5</v>
      </c>
      <c r="B30" s="640" t="s">
        <v>931</v>
      </c>
      <c r="C30" s="645">
        <f>C23*C26</f>
        <v>10128.448001226994</v>
      </c>
      <c r="D30" s="645">
        <f>D23*D26</f>
        <v>9612.1473409084592</v>
      </c>
      <c r="E30" s="645">
        <f>E23*E26</f>
        <v>10150.699211722784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354</v>
      </c>
      <c r="B32" s="634" t="s">
        <v>932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933</v>
      </c>
      <c r="C33" s="641">
        <f>IF(C19=0,0,C12/C19)</f>
        <v>10376.173483779972</v>
      </c>
      <c r="D33" s="641">
        <f>IF(D19=0,0,D12/D19)</f>
        <v>11970.300889248181</v>
      </c>
      <c r="E33" s="641">
        <f>IF(E19=0,0,E12/E19)</f>
        <v>14404.817555147059</v>
      </c>
    </row>
    <row r="34" spans="1:5" ht="26.1" customHeight="1" x14ac:dyDescent="0.25">
      <c r="A34" s="639">
        <v>2</v>
      </c>
      <c r="B34" s="640" t="s">
        <v>934</v>
      </c>
      <c r="C34" s="641">
        <f>IF(C20=0,0,C12/C20)</f>
        <v>43453.673951565266</v>
      </c>
      <c r="D34" s="641">
        <f>IF(D20=0,0,D12/D20)</f>
        <v>58875.794035785286</v>
      </c>
      <c r="E34" s="641">
        <f>IF(E20=0,0,E12/E20)</f>
        <v>74660.300913060739</v>
      </c>
    </row>
    <row r="35" spans="1:5" ht="26.1" customHeight="1" x14ac:dyDescent="0.25">
      <c r="A35" s="639">
        <v>3</v>
      </c>
      <c r="B35" s="640" t="s">
        <v>935</v>
      </c>
      <c r="C35" s="641">
        <f>IF(C22=0,0,C12/C22)</f>
        <v>4172.2904795486593</v>
      </c>
      <c r="D35" s="641">
        <f>IF(D22=0,0,D12/D22)</f>
        <v>4375.4505254648338</v>
      </c>
      <c r="E35" s="641">
        <f>IF(E22=0,0,E12/E22)</f>
        <v>5353.0863970588234</v>
      </c>
    </row>
    <row r="36" spans="1:5" ht="26.1" customHeight="1" x14ac:dyDescent="0.25">
      <c r="A36" s="639">
        <v>4</v>
      </c>
      <c r="B36" s="640" t="s">
        <v>936</v>
      </c>
      <c r="C36" s="641">
        <f>IF(C23=0,0,C12/C23)</f>
        <v>17472.852628470173</v>
      </c>
      <c r="D36" s="641">
        <f>IF(D23=0,0,D12/D23)</f>
        <v>21520.605566600399</v>
      </c>
      <c r="E36" s="641">
        <f>IF(E23=0,0,E12/E23)</f>
        <v>27745.095672886069</v>
      </c>
    </row>
    <row r="37" spans="1:5" ht="26.1" customHeight="1" x14ac:dyDescent="0.25">
      <c r="A37" s="639">
        <v>5</v>
      </c>
      <c r="B37" s="640" t="s">
        <v>937</v>
      </c>
      <c r="C37" s="641">
        <f>IF(C29=0,0,C12/C29)</f>
        <v>3468.8160922406628</v>
      </c>
      <c r="D37" s="641">
        <f>IF(D29=0,0,D12/D29)</f>
        <v>3132.0063736781917</v>
      </c>
      <c r="E37" s="641">
        <f>IF(E29=0,0,E12/E29)</f>
        <v>3574.7030489791255</v>
      </c>
    </row>
    <row r="38" spans="1:5" ht="26.1" customHeight="1" x14ac:dyDescent="0.25">
      <c r="A38" s="639">
        <v>6</v>
      </c>
      <c r="B38" s="640" t="s">
        <v>938</v>
      </c>
      <c r="C38" s="641">
        <f>IF(C30=0,0,C12/C30)</f>
        <v>14526.819901941115</v>
      </c>
      <c r="D38" s="641">
        <f>IF(D30=0,0,D12/D30)</f>
        <v>15404.739102345618</v>
      </c>
      <c r="E38" s="641">
        <f>IF(E30=0,0,E12/E30)</f>
        <v>18527.718542068862</v>
      </c>
    </row>
    <row r="39" spans="1:5" ht="26.1" customHeight="1" x14ac:dyDescent="0.25">
      <c r="A39" s="639">
        <v>7</v>
      </c>
      <c r="B39" s="640" t="s">
        <v>939</v>
      </c>
      <c r="C39" s="641">
        <f>IF(C22=0,0,C10/C22)</f>
        <v>1677.6905159637677</v>
      </c>
      <c r="D39" s="641">
        <f>IF(D22=0,0,D10/D22)</f>
        <v>1599.3388535442994</v>
      </c>
      <c r="E39" s="641">
        <f>IF(E22=0,0,E10/E22)</f>
        <v>1989.3021112327217</v>
      </c>
    </row>
    <row r="40" spans="1:5" ht="26.1" customHeight="1" x14ac:dyDescent="0.25">
      <c r="A40" s="639">
        <v>8</v>
      </c>
      <c r="B40" s="640" t="s">
        <v>940</v>
      </c>
      <c r="C40" s="641">
        <f>IF(C23=0,0,C10/C23)</f>
        <v>7025.8864490154256</v>
      </c>
      <c r="D40" s="641">
        <f>IF(D23=0,0,D10/D23)</f>
        <v>7866.3306633570519</v>
      </c>
      <c r="E40" s="641">
        <f>IF(E23=0,0,E10/E23)</f>
        <v>10310.571006055743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366</v>
      </c>
      <c r="B42" s="634" t="s">
        <v>941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942</v>
      </c>
      <c r="C43" s="641">
        <f>IF(C19=0,0,C13/C19)</f>
        <v>4525.6715091678416</v>
      </c>
      <c r="D43" s="641">
        <f>IF(D19=0,0,D13/D19)</f>
        <v>5124.261600646726</v>
      </c>
      <c r="E43" s="641">
        <f>IF(E19=0,0,E13/E19)</f>
        <v>5196.6634497549021</v>
      </c>
    </row>
    <row r="44" spans="1:5" ht="26.1" customHeight="1" x14ac:dyDescent="0.25">
      <c r="A44" s="639">
        <v>2</v>
      </c>
      <c r="B44" s="640" t="s">
        <v>943</v>
      </c>
      <c r="C44" s="641">
        <f>IF(C20=0,0,C13/C20)</f>
        <v>18952.753101004135</v>
      </c>
      <c r="D44" s="641">
        <f>IF(D20=0,0,D13/D20)</f>
        <v>25203.624652087474</v>
      </c>
      <c r="E44" s="641">
        <f>IF(E20=0,0,E13/E20)</f>
        <v>26934.354108773321</v>
      </c>
    </row>
    <row r="45" spans="1:5" ht="26.1" customHeight="1" x14ac:dyDescent="0.25">
      <c r="A45" s="639">
        <v>3</v>
      </c>
      <c r="B45" s="640" t="s">
        <v>944</v>
      </c>
      <c r="C45" s="641">
        <f>IF(C22=0,0,C13/C22)</f>
        <v>1819.7860878851518</v>
      </c>
      <c r="D45" s="641">
        <f>IF(D22=0,0,D13/D22)</f>
        <v>1873.0484154586011</v>
      </c>
      <c r="E45" s="641">
        <f>IF(E22=0,0,E13/E22)</f>
        <v>1931.1725619902688</v>
      </c>
    </row>
    <row r="46" spans="1:5" ht="26.1" customHeight="1" x14ac:dyDescent="0.25">
      <c r="A46" s="639">
        <v>4</v>
      </c>
      <c r="B46" s="640" t="s">
        <v>945</v>
      </c>
      <c r="C46" s="641">
        <f>IF(C23=0,0,C13/C23)</f>
        <v>7620.9588677529409</v>
      </c>
      <c r="D46" s="641">
        <f>IF(D23=0,0,D13/D23)</f>
        <v>9212.5681507844529</v>
      </c>
      <c r="E46" s="641">
        <f>IF(E23=0,0,E13/E23)</f>
        <v>10009.285021574018</v>
      </c>
    </row>
    <row r="47" spans="1:5" ht="26.1" customHeight="1" x14ac:dyDescent="0.25">
      <c r="A47" s="639">
        <v>5</v>
      </c>
      <c r="B47" s="640" t="s">
        <v>946</v>
      </c>
      <c r="C47" s="641">
        <f>IF(C29=0,0,C13/C29)</f>
        <v>1512.9587206436679</v>
      </c>
      <c r="D47" s="641">
        <f>IF(D29=0,0,D13/D29)</f>
        <v>1340.7532644426251</v>
      </c>
      <c r="E47" s="641">
        <f>IF(E29=0,0,E13/E29)</f>
        <v>1289.6052731830368</v>
      </c>
    </row>
    <row r="48" spans="1:5" ht="26.1" customHeight="1" x14ac:dyDescent="0.25">
      <c r="A48" s="639">
        <v>6</v>
      </c>
      <c r="B48" s="640" t="s">
        <v>947</v>
      </c>
      <c r="C48" s="641">
        <f>IF(C30=0,0,C13/C30)</f>
        <v>6336.0173239005371</v>
      </c>
      <c r="D48" s="641">
        <f>IF(D30=0,0,D13/D30)</f>
        <v>6594.4802708370871</v>
      </c>
      <c r="E48" s="641">
        <f>IF(E30=0,0,E13/E30)</f>
        <v>6684.0359057871101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378</v>
      </c>
      <c r="B50" s="634" t="s">
        <v>948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949</v>
      </c>
      <c r="C51" s="641">
        <f>IF(C19=0,0,C16/C19)</f>
        <v>4646.2607193229906</v>
      </c>
      <c r="D51" s="641">
        <f>IF(D19=0,0,D16/D19)</f>
        <v>5498.5609539207762</v>
      </c>
      <c r="E51" s="641">
        <f>IF(E19=0,0,E16/E19)</f>
        <v>5670.8757659313724</v>
      </c>
    </row>
    <row r="52" spans="1:6" ht="26.1" customHeight="1" x14ac:dyDescent="0.25">
      <c r="A52" s="639">
        <v>2</v>
      </c>
      <c r="B52" s="640" t="s">
        <v>950</v>
      </c>
      <c r="C52" s="641">
        <f>IF(C20=0,0,C16/C20)</f>
        <v>19457.760484347313</v>
      </c>
      <c r="D52" s="641">
        <f>IF(D20=0,0,D16/D20)</f>
        <v>27044.611928429422</v>
      </c>
      <c r="E52" s="641">
        <f>IF(E20=0,0,E16/E20)</f>
        <v>29392.200873362446</v>
      </c>
    </row>
    <row r="53" spans="1:6" ht="26.1" customHeight="1" x14ac:dyDescent="0.25">
      <c r="A53" s="639">
        <v>3</v>
      </c>
      <c r="B53" s="640" t="s">
        <v>951</v>
      </c>
      <c r="C53" s="641">
        <f>IF(C22=0,0,C16/C22)</f>
        <v>1868.2753709771428</v>
      </c>
      <c r="D53" s="641">
        <f>IF(D22=0,0,D16/D22)</f>
        <v>2009.8643833374963</v>
      </c>
      <c r="E53" s="641">
        <f>IF(E22=0,0,E16/E22)</f>
        <v>2107.3982926754156</v>
      </c>
    </row>
    <row r="54" spans="1:6" ht="26.1" customHeight="1" x14ac:dyDescent="0.25">
      <c r="A54" s="639">
        <v>4</v>
      </c>
      <c r="B54" s="640" t="s">
        <v>952</v>
      </c>
      <c r="C54" s="641">
        <f>IF(C23=0,0,C16/C23)</f>
        <v>7824.0238512864407</v>
      </c>
      <c r="D54" s="641">
        <f>IF(D23=0,0,D16/D23)</f>
        <v>9885.4959927971504</v>
      </c>
      <c r="E54" s="641">
        <f>IF(E23=0,0,E16/E23)</f>
        <v>10922.664592763093</v>
      </c>
    </row>
    <row r="55" spans="1:6" ht="26.1" customHeight="1" x14ac:dyDescent="0.25">
      <c r="A55" s="639">
        <v>5</v>
      </c>
      <c r="B55" s="640" t="s">
        <v>953</v>
      </c>
      <c r="C55" s="641">
        <f>IF(C29=0,0,C16/C29)</f>
        <v>1553.2724059719499</v>
      </c>
      <c r="D55" s="641">
        <f>IF(D29=0,0,D16/D29)</f>
        <v>1438.6879756052265</v>
      </c>
      <c r="E55" s="641">
        <f>IF(E29=0,0,E16/E29)</f>
        <v>1407.2859175931269</v>
      </c>
    </row>
    <row r="56" spans="1:6" ht="26.1" customHeight="1" x14ac:dyDescent="0.25">
      <c r="A56" s="639">
        <v>6</v>
      </c>
      <c r="B56" s="640" t="s">
        <v>954</v>
      </c>
      <c r="C56" s="641">
        <f>IF(C30=0,0,C16/C30)</f>
        <v>6504.8442754525267</v>
      </c>
      <c r="D56" s="641">
        <f>IF(D30=0,0,D16/D30)</f>
        <v>7076.1710768336588</v>
      </c>
      <c r="E56" s="641">
        <f>IF(E30=0,0,E16/E30)</f>
        <v>7293.9757602603668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382</v>
      </c>
      <c r="B58" s="642" t="s">
        <v>955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956</v>
      </c>
      <c r="C59" s="649">
        <v>10046971</v>
      </c>
      <c r="D59" s="649">
        <v>9289670</v>
      </c>
      <c r="E59" s="649">
        <v>9755837</v>
      </c>
    </row>
    <row r="60" spans="1:6" ht="26.1" customHeight="1" x14ac:dyDescent="0.25">
      <c r="A60" s="639">
        <v>2</v>
      </c>
      <c r="B60" s="640" t="s">
        <v>957</v>
      </c>
      <c r="C60" s="649">
        <v>2722099</v>
      </c>
      <c r="D60" s="649">
        <v>3086106</v>
      </c>
      <c r="E60" s="649">
        <v>3613110</v>
      </c>
    </row>
    <row r="61" spans="1:6" ht="26.1" customHeight="1" x14ac:dyDescent="0.25">
      <c r="A61" s="650">
        <v>3</v>
      </c>
      <c r="B61" s="651" t="s">
        <v>958</v>
      </c>
      <c r="C61" s="652">
        <f>C59+C60</f>
        <v>12769070</v>
      </c>
      <c r="D61" s="652">
        <f>D59+D60</f>
        <v>12375776</v>
      </c>
      <c r="E61" s="652">
        <f>E59+E60</f>
        <v>13368947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959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960</v>
      </c>
      <c r="C64" s="641">
        <v>2105239</v>
      </c>
      <c r="D64" s="641">
        <v>2400624</v>
      </c>
      <c r="E64" s="649">
        <v>3035027</v>
      </c>
      <c r="F64" s="653"/>
    </row>
    <row r="65" spans="1:6" ht="26.1" customHeight="1" x14ac:dyDescent="0.25">
      <c r="A65" s="639">
        <v>2</v>
      </c>
      <c r="B65" s="640" t="s">
        <v>961</v>
      </c>
      <c r="C65" s="649">
        <v>539520</v>
      </c>
      <c r="D65" s="649">
        <v>751111</v>
      </c>
      <c r="E65" s="649">
        <v>1040916</v>
      </c>
      <c r="F65" s="653"/>
    </row>
    <row r="66" spans="1:6" ht="26.1" customHeight="1" x14ac:dyDescent="0.25">
      <c r="A66" s="650">
        <v>3</v>
      </c>
      <c r="B66" s="651" t="s">
        <v>962</v>
      </c>
      <c r="C66" s="654">
        <f>C64+C65</f>
        <v>2644759</v>
      </c>
      <c r="D66" s="654">
        <f>D64+D65</f>
        <v>3151735</v>
      </c>
      <c r="E66" s="654">
        <f>E64+E65</f>
        <v>4075943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408</v>
      </c>
      <c r="B68" s="642" t="s">
        <v>963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964</v>
      </c>
      <c r="C69" s="649">
        <v>17525356</v>
      </c>
      <c r="D69" s="649">
        <v>17845484</v>
      </c>
      <c r="E69" s="649">
        <v>17477527</v>
      </c>
    </row>
    <row r="70" spans="1:6" ht="26.1" customHeight="1" x14ac:dyDescent="0.25">
      <c r="A70" s="639">
        <v>2</v>
      </c>
      <c r="B70" s="640" t="s">
        <v>965</v>
      </c>
      <c r="C70" s="649">
        <v>4047519</v>
      </c>
      <c r="D70" s="649">
        <v>5001423</v>
      </c>
      <c r="E70" s="649">
        <v>5388687</v>
      </c>
    </row>
    <row r="71" spans="1:6" ht="26.1" customHeight="1" x14ac:dyDescent="0.25">
      <c r="A71" s="650">
        <v>3</v>
      </c>
      <c r="B71" s="651" t="s">
        <v>966</v>
      </c>
      <c r="C71" s="652">
        <f>C69+C70</f>
        <v>21572875</v>
      </c>
      <c r="D71" s="652">
        <f>D69+D70</f>
        <v>22846907</v>
      </c>
      <c r="E71" s="652">
        <f>E69+E70</f>
        <v>22866214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424</v>
      </c>
      <c r="B74" s="642" t="s">
        <v>967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968</v>
      </c>
      <c r="C75" s="641">
        <f t="shared" ref="C75:E76" si="0">+C59+C64+C69</f>
        <v>29677566</v>
      </c>
      <c r="D75" s="641">
        <f t="shared" si="0"/>
        <v>29535778</v>
      </c>
      <c r="E75" s="641">
        <f t="shared" si="0"/>
        <v>30268391</v>
      </c>
    </row>
    <row r="76" spans="1:6" ht="26.1" customHeight="1" x14ac:dyDescent="0.25">
      <c r="A76" s="639">
        <v>2</v>
      </c>
      <c r="B76" s="640" t="s">
        <v>969</v>
      </c>
      <c r="C76" s="641">
        <f t="shared" si="0"/>
        <v>7309138</v>
      </c>
      <c r="D76" s="641">
        <f t="shared" si="0"/>
        <v>8838640</v>
      </c>
      <c r="E76" s="641">
        <f t="shared" si="0"/>
        <v>10042713</v>
      </c>
    </row>
    <row r="77" spans="1:6" ht="26.1" customHeight="1" x14ac:dyDescent="0.25">
      <c r="A77" s="650">
        <v>3</v>
      </c>
      <c r="B77" s="651" t="s">
        <v>967</v>
      </c>
      <c r="C77" s="654">
        <f>C75+C76</f>
        <v>36986704</v>
      </c>
      <c r="D77" s="654">
        <f>D75+D76</f>
        <v>38374418</v>
      </c>
      <c r="E77" s="654">
        <f>E75+E76</f>
        <v>40311104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433</v>
      </c>
      <c r="B79" s="642" t="s">
        <v>970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596</v>
      </c>
      <c r="C80" s="646">
        <v>124.5</v>
      </c>
      <c r="D80" s="646">
        <v>115.1</v>
      </c>
      <c r="E80" s="646">
        <v>119</v>
      </c>
    </row>
    <row r="81" spans="1:5" ht="26.1" customHeight="1" x14ac:dyDescent="0.25">
      <c r="A81" s="639">
        <v>2</v>
      </c>
      <c r="B81" s="640" t="s">
        <v>597</v>
      </c>
      <c r="C81" s="646">
        <v>5.3</v>
      </c>
      <c r="D81" s="646">
        <v>6.6</v>
      </c>
      <c r="E81" s="646">
        <v>6.3</v>
      </c>
    </row>
    <row r="82" spans="1:5" ht="26.1" customHeight="1" x14ac:dyDescent="0.25">
      <c r="A82" s="639">
        <v>3</v>
      </c>
      <c r="B82" s="640" t="s">
        <v>971</v>
      </c>
      <c r="C82" s="646">
        <v>292.89999999999998</v>
      </c>
      <c r="D82" s="646">
        <v>283.39999999999998</v>
      </c>
      <c r="E82" s="646">
        <v>251.3</v>
      </c>
    </row>
    <row r="83" spans="1:5" ht="26.1" customHeight="1" x14ac:dyDescent="0.25">
      <c r="A83" s="650">
        <v>4</v>
      </c>
      <c r="B83" s="651" t="s">
        <v>970</v>
      </c>
      <c r="C83" s="656">
        <f>C80+C81+C82</f>
        <v>422.7</v>
      </c>
      <c r="D83" s="656">
        <f>D80+D81+D82</f>
        <v>405.09999999999997</v>
      </c>
      <c r="E83" s="656">
        <f>E80+E81+E82</f>
        <v>376.6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436</v>
      </c>
      <c r="B85" s="642" t="s">
        <v>972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973</v>
      </c>
      <c r="C86" s="649">
        <f>IF(C80=0,0,C59/C80)</f>
        <v>80698.562248995979</v>
      </c>
      <c r="D86" s="649">
        <f>IF(D80=0,0,D59/D80)</f>
        <v>80709.55690703736</v>
      </c>
      <c r="E86" s="649">
        <f>IF(E80=0,0,E59/E80)</f>
        <v>81981.823529411762</v>
      </c>
    </row>
    <row r="87" spans="1:5" ht="26.1" customHeight="1" x14ac:dyDescent="0.25">
      <c r="A87" s="639">
        <v>2</v>
      </c>
      <c r="B87" s="640" t="s">
        <v>974</v>
      </c>
      <c r="C87" s="649">
        <f>IF(C80=0,0,C60/C80)</f>
        <v>21864.248995983937</v>
      </c>
      <c r="D87" s="649">
        <f>IF(D80=0,0,D60/D80)</f>
        <v>26812.38922675934</v>
      </c>
      <c r="E87" s="649">
        <f>IF(E80=0,0,E60/E80)</f>
        <v>30362.268907563026</v>
      </c>
    </row>
    <row r="88" spans="1:5" ht="26.1" customHeight="1" x14ac:dyDescent="0.25">
      <c r="A88" s="650">
        <v>3</v>
      </c>
      <c r="B88" s="651" t="s">
        <v>975</v>
      </c>
      <c r="C88" s="652">
        <f>+C86+C87</f>
        <v>102562.81124497991</v>
      </c>
      <c r="D88" s="652">
        <f>+D86+D87</f>
        <v>107521.94613379671</v>
      </c>
      <c r="E88" s="652">
        <f>+E86+E87</f>
        <v>112344.09243697478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594</v>
      </c>
      <c r="B90" s="642" t="s">
        <v>976</v>
      </c>
    </row>
    <row r="91" spans="1:5" ht="26.1" customHeight="1" x14ac:dyDescent="0.25">
      <c r="A91" s="639">
        <v>1</v>
      </c>
      <c r="B91" s="640" t="s">
        <v>977</v>
      </c>
      <c r="C91" s="641">
        <f>IF(C81=0,0,C64/C81)</f>
        <v>397214.90566037735</v>
      </c>
      <c r="D91" s="641">
        <f>IF(D81=0,0,D64/D81)</f>
        <v>363730.90909090912</v>
      </c>
      <c r="E91" s="641">
        <f>IF(E81=0,0,E64/E81)</f>
        <v>481750.31746031746</v>
      </c>
    </row>
    <row r="92" spans="1:5" ht="26.1" customHeight="1" x14ac:dyDescent="0.25">
      <c r="A92" s="639">
        <v>2</v>
      </c>
      <c r="B92" s="640" t="s">
        <v>978</v>
      </c>
      <c r="C92" s="641">
        <f>IF(C81=0,0,C65/C81)</f>
        <v>101796.22641509434</v>
      </c>
      <c r="D92" s="641">
        <f>IF(D81=0,0,D65/D81)</f>
        <v>113804.69696969698</v>
      </c>
      <c r="E92" s="641">
        <f>IF(E81=0,0,E65/E81)</f>
        <v>165224.76190476192</v>
      </c>
    </row>
    <row r="93" spans="1:5" ht="26.1" customHeight="1" x14ac:dyDescent="0.25">
      <c r="A93" s="650">
        <v>3</v>
      </c>
      <c r="B93" s="651" t="s">
        <v>979</v>
      </c>
      <c r="C93" s="654">
        <f>+C91+C92</f>
        <v>499011.13207547169</v>
      </c>
      <c r="D93" s="654">
        <f>+D91+D92</f>
        <v>477535.60606060608</v>
      </c>
      <c r="E93" s="654">
        <f>+E91+E92</f>
        <v>646975.07936507941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980</v>
      </c>
      <c r="B95" s="642" t="s">
        <v>981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982</v>
      </c>
      <c r="C96" s="649">
        <f>IF(C82=0,0,C69/C82)</f>
        <v>59833.922840559921</v>
      </c>
      <c r="D96" s="649">
        <f>IF(D82=0,0,D69/D82)</f>
        <v>62969.244883556814</v>
      </c>
      <c r="E96" s="649">
        <f>IF(E82=0,0,E69/E82)</f>
        <v>69548.45602865101</v>
      </c>
    </row>
    <row r="97" spans="1:5" ht="26.1" customHeight="1" x14ac:dyDescent="0.25">
      <c r="A97" s="639">
        <v>2</v>
      </c>
      <c r="B97" s="640" t="s">
        <v>983</v>
      </c>
      <c r="C97" s="649">
        <f>IF(C82=0,0,C70/C82)</f>
        <v>13818.774325708435</v>
      </c>
      <c r="D97" s="649">
        <f>IF(D82=0,0,D70/D82)</f>
        <v>17647.928722653494</v>
      </c>
      <c r="E97" s="649">
        <f>IF(E82=0,0,E70/E82)</f>
        <v>21443.243135694389</v>
      </c>
    </row>
    <row r="98" spans="1:5" ht="26.1" customHeight="1" x14ac:dyDescent="0.25">
      <c r="A98" s="650">
        <v>3</v>
      </c>
      <c r="B98" s="651" t="s">
        <v>984</v>
      </c>
      <c r="C98" s="654">
        <f>+C96+C97</f>
        <v>73652.69716626835</v>
      </c>
      <c r="D98" s="654">
        <f>+D96+D97</f>
        <v>80617.173606210301</v>
      </c>
      <c r="E98" s="654">
        <f>+E96+E97</f>
        <v>90991.699164345395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985</v>
      </c>
      <c r="B100" s="642" t="s">
        <v>986</v>
      </c>
    </row>
    <row r="101" spans="1:5" ht="26.1" customHeight="1" x14ac:dyDescent="0.25">
      <c r="A101" s="639">
        <v>1</v>
      </c>
      <c r="B101" s="640" t="s">
        <v>987</v>
      </c>
      <c r="C101" s="641">
        <f>IF(C83=0,0,C75/C83)</f>
        <v>70209.524485450675</v>
      </c>
      <c r="D101" s="641">
        <f>IF(D83=0,0,D75/D83)</f>
        <v>72909.84448284375</v>
      </c>
      <c r="E101" s="641">
        <f>IF(E83=0,0,E75/E83)</f>
        <v>80372.78544875198</v>
      </c>
    </row>
    <row r="102" spans="1:5" ht="26.1" customHeight="1" x14ac:dyDescent="0.25">
      <c r="A102" s="639">
        <v>2</v>
      </c>
      <c r="B102" s="640" t="s">
        <v>988</v>
      </c>
      <c r="C102" s="658">
        <f>IF(C83=0,0,C76/C83)</f>
        <v>17291.549562337357</v>
      </c>
      <c r="D102" s="658">
        <f>IF(D83=0,0,D76/D83)</f>
        <v>21818.415206121947</v>
      </c>
      <c r="E102" s="658">
        <f>IF(E83=0,0,E76/E83)</f>
        <v>26666.789697291555</v>
      </c>
    </row>
    <row r="103" spans="1:5" ht="26.1" customHeight="1" x14ac:dyDescent="0.25">
      <c r="A103" s="650">
        <v>3</v>
      </c>
      <c r="B103" s="651" t="s">
        <v>986</v>
      </c>
      <c r="C103" s="654">
        <f>+C101+C102</f>
        <v>87501.074047788032</v>
      </c>
      <c r="D103" s="654">
        <f>+D101+D102</f>
        <v>94728.2596889657</v>
      </c>
      <c r="E103" s="654">
        <f>+E101+E102</f>
        <v>107039.57514604353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989</v>
      </c>
      <c r="B107" s="634" t="s">
        <v>990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991</v>
      </c>
      <c r="C108" s="641">
        <f>IF(C19=0,0,C77/C19)</f>
        <v>2608.3712270803949</v>
      </c>
      <c r="D108" s="641">
        <f>IF(D19=0,0,D77/D19)</f>
        <v>3102.2164915117219</v>
      </c>
      <c r="E108" s="641">
        <f>IF(E19=0,0,E77/E19)</f>
        <v>3087.5539215686276</v>
      </c>
    </row>
    <row r="109" spans="1:5" ht="26.1" customHeight="1" x14ac:dyDescent="0.25">
      <c r="A109" s="639">
        <v>2</v>
      </c>
      <c r="B109" s="640" t="s">
        <v>992</v>
      </c>
      <c r="C109" s="641">
        <f>IF(C20=0,0,C77/C20)</f>
        <v>10923.421145894861</v>
      </c>
      <c r="D109" s="641">
        <f>IF(D20=0,0,D77/D20)</f>
        <v>15258.217892644136</v>
      </c>
      <c r="E109" s="641">
        <f>IF(E20=0,0,E77/E20)</f>
        <v>16002.82016673283</v>
      </c>
    </row>
    <row r="110" spans="1:5" ht="26.1" customHeight="1" x14ac:dyDescent="0.25">
      <c r="A110" s="639">
        <v>3</v>
      </c>
      <c r="B110" s="640" t="s">
        <v>993</v>
      </c>
      <c r="C110" s="641">
        <f>IF(C22=0,0,C77/C22)</f>
        <v>1048.8338938133891</v>
      </c>
      <c r="D110" s="641">
        <f>IF(D22=0,0,D77/D22)</f>
        <v>1133.9393139300741</v>
      </c>
      <c r="E110" s="641">
        <f>IF(E22=0,0,E77/E22)</f>
        <v>1147.3899502343202</v>
      </c>
    </row>
    <row r="111" spans="1:5" ht="26.1" customHeight="1" x14ac:dyDescent="0.25">
      <c r="A111" s="639">
        <v>4</v>
      </c>
      <c r="B111" s="640" t="s">
        <v>994</v>
      </c>
      <c r="C111" s="641">
        <f>IF(C23=0,0,C77/C23)</f>
        <v>4392.3404058694214</v>
      </c>
      <c r="D111" s="641">
        <f>IF(D23=0,0,D77/D23)</f>
        <v>5577.2681166262491</v>
      </c>
      <c r="E111" s="641">
        <f>IF(E23=0,0,E77/E23)</f>
        <v>5946.932588431634</v>
      </c>
    </row>
    <row r="112" spans="1:5" ht="26.1" customHeight="1" x14ac:dyDescent="0.25">
      <c r="A112" s="639">
        <v>5</v>
      </c>
      <c r="B112" s="640" t="s">
        <v>995</v>
      </c>
      <c r="C112" s="641">
        <f>IF(C29=0,0,C77/C29)</f>
        <v>871.99391000716821</v>
      </c>
      <c r="D112" s="641">
        <f>IF(D29=0,0,D77/D29)</f>
        <v>811.68902217582888</v>
      </c>
      <c r="E112" s="641">
        <f>IF(E29=0,0,E77/E29)</f>
        <v>766.20813662267517</v>
      </c>
    </row>
    <row r="113" spans="1:7" ht="25.5" customHeight="1" x14ac:dyDescent="0.25">
      <c r="A113" s="639">
        <v>6</v>
      </c>
      <c r="B113" s="640" t="s">
        <v>996</v>
      </c>
      <c r="C113" s="641">
        <f>IF(C30=0,0,C77/C30)</f>
        <v>3651.764218517912</v>
      </c>
      <c r="D113" s="641">
        <f>IF(D30=0,0,D77/D30)</f>
        <v>3992.2835802445338</v>
      </c>
      <c r="E113" s="641">
        <f>IF(E30=0,0,E77/E30)</f>
        <v>3971.2637680609955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FILING&amp;R&amp;12ROCKVILLE GENERAL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148072623</v>
      </c>
      <c r="D12" s="51">
        <v>188069269</v>
      </c>
      <c r="E12" s="51">
        <f t="shared" ref="E12:E19" si="0">D12-C12</f>
        <v>39996646</v>
      </c>
      <c r="F12" s="70">
        <f t="shared" ref="F12:F19" si="1">IF(C12=0,0,E12/C12)</f>
        <v>0.27011506374139127</v>
      </c>
    </row>
    <row r="13" spans="1:8" ht="23.1" customHeight="1" x14ac:dyDescent="0.2">
      <c r="A13" s="25">
        <v>2</v>
      </c>
      <c r="B13" s="48" t="s">
        <v>72</v>
      </c>
      <c r="C13" s="51">
        <v>83863786</v>
      </c>
      <c r="D13" s="51">
        <v>118028878</v>
      </c>
      <c r="E13" s="51">
        <f t="shared" si="0"/>
        <v>34165092</v>
      </c>
      <c r="F13" s="70">
        <f t="shared" si="1"/>
        <v>0.40738790399946884</v>
      </c>
    </row>
    <row r="14" spans="1:8" ht="23.1" customHeight="1" x14ac:dyDescent="0.2">
      <c r="A14" s="25">
        <v>3</v>
      </c>
      <c r="B14" s="48" t="s">
        <v>73</v>
      </c>
      <c r="C14" s="51">
        <v>821721</v>
      </c>
      <c r="D14" s="51">
        <v>2192753</v>
      </c>
      <c r="E14" s="51">
        <f t="shared" si="0"/>
        <v>1371032</v>
      </c>
      <c r="F14" s="70">
        <f t="shared" si="1"/>
        <v>1.6684884528933785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63387116</v>
      </c>
      <c r="D16" s="27">
        <f>D12-D13-D14-D15</f>
        <v>67847638</v>
      </c>
      <c r="E16" s="27">
        <f t="shared" si="0"/>
        <v>4460522</v>
      </c>
      <c r="F16" s="28">
        <f t="shared" si="1"/>
        <v>7.0369536926084469E-2</v>
      </c>
    </row>
    <row r="17" spans="1:7" ht="23.1" customHeight="1" x14ac:dyDescent="0.2">
      <c r="A17" s="25">
        <v>5</v>
      </c>
      <c r="B17" s="48" t="s">
        <v>76</v>
      </c>
      <c r="C17" s="51">
        <v>4745011</v>
      </c>
      <c r="D17" s="51">
        <v>6839751</v>
      </c>
      <c r="E17" s="51">
        <f t="shared" si="0"/>
        <v>2094740</v>
      </c>
      <c r="F17" s="70">
        <f t="shared" si="1"/>
        <v>0.4414615687929912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48044</v>
      </c>
      <c r="D18" s="51">
        <v>31857</v>
      </c>
      <c r="E18" s="51">
        <f t="shared" si="0"/>
        <v>-16187</v>
      </c>
      <c r="F18" s="70">
        <f t="shared" si="1"/>
        <v>-0.33692032303721586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68180171</v>
      </c>
      <c r="D19" s="27">
        <f>SUM(D16:D18)</f>
        <v>74719246</v>
      </c>
      <c r="E19" s="27">
        <f t="shared" si="0"/>
        <v>6539075</v>
      </c>
      <c r="F19" s="28">
        <f t="shared" si="1"/>
        <v>9.5908750360863715E-2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29535778</v>
      </c>
      <c r="D22" s="51">
        <v>30268391</v>
      </c>
      <c r="E22" s="51">
        <f t="shared" ref="E22:E31" si="2">D22-C22</f>
        <v>732613</v>
      </c>
      <c r="F22" s="70">
        <f t="shared" ref="F22:F31" si="3">IF(C22=0,0,E22/C22)</f>
        <v>2.4804256044990588E-2</v>
      </c>
    </row>
    <row r="23" spans="1:7" ht="23.1" customHeight="1" x14ac:dyDescent="0.2">
      <c r="A23" s="25">
        <v>2</v>
      </c>
      <c r="B23" s="48" t="s">
        <v>81</v>
      </c>
      <c r="C23" s="51">
        <v>8838640</v>
      </c>
      <c r="D23" s="51">
        <v>10042713</v>
      </c>
      <c r="E23" s="51">
        <f t="shared" si="2"/>
        <v>1204073</v>
      </c>
      <c r="F23" s="70">
        <f t="shared" si="3"/>
        <v>0.13622831114289077</v>
      </c>
    </row>
    <row r="24" spans="1:7" ht="23.1" customHeight="1" x14ac:dyDescent="0.2">
      <c r="A24" s="25">
        <v>3</v>
      </c>
      <c r="B24" s="48" t="s">
        <v>82</v>
      </c>
      <c r="C24" s="51">
        <v>3261820</v>
      </c>
      <c r="D24" s="51">
        <v>2796725</v>
      </c>
      <c r="E24" s="51">
        <f t="shared" si="2"/>
        <v>-465095</v>
      </c>
      <c r="F24" s="70">
        <f t="shared" si="3"/>
        <v>-0.1425875738084873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9145419</v>
      </c>
      <c r="D25" s="51">
        <v>10946929</v>
      </c>
      <c r="E25" s="51">
        <f t="shared" si="2"/>
        <v>1801510</v>
      </c>
      <c r="F25" s="70">
        <f t="shared" si="3"/>
        <v>0.19698496044850433</v>
      </c>
    </row>
    <row r="26" spans="1:7" ht="23.1" customHeight="1" x14ac:dyDescent="0.2">
      <c r="A26" s="25">
        <v>5</v>
      </c>
      <c r="B26" s="48" t="s">
        <v>84</v>
      </c>
      <c r="C26" s="51">
        <v>3672297</v>
      </c>
      <c r="D26" s="51">
        <v>3811952</v>
      </c>
      <c r="E26" s="51">
        <f t="shared" si="2"/>
        <v>139655</v>
      </c>
      <c r="F26" s="70">
        <f t="shared" si="3"/>
        <v>3.8029331505594455E-2</v>
      </c>
    </row>
    <row r="27" spans="1:7" ht="23.1" customHeight="1" x14ac:dyDescent="0.2">
      <c r="A27" s="25">
        <v>6</v>
      </c>
      <c r="B27" s="48" t="s">
        <v>85</v>
      </c>
      <c r="C27" s="51">
        <v>2925278</v>
      </c>
      <c r="D27" s="51">
        <v>3309948</v>
      </c>
      <c r="E27" s="51">
        <f t="shared" si="2"/>
        <v>384670</v>
      </c>
      <c r="F27" s="70">
        <f t="shared" si="3"/>
        <v>0.13149861312326555</v>
      </c>
    </row>
    <row r="28" spans="1:7" ht="23.1" customHeight="1" x14ac:dyDescent="0.2">
      <c r="A28" s="25">
        <v>7</v>
      </c>
      <c r="B28" s="48" t="s">
        <v>86</v>
      </c>
      <c r="C28" s="51">
        <v>1115177</v>
      </c>
      <c r="D28" s="51">
        <v>719107</v>
      </c>
      <c r="E28" s="51">
        <f t="shared" si="2"/>
        <v>-396070</v>
      </c>
      <c r="F28" s="70">
        <f t="shared" si="3"/>
        <v>-0.35516335075059835</v>
      </c>
    </row>
    <row r="29" spans="1:7" ht="23.1" customHeight="1" x14ac:dyDescent="0.2">
      <c r="A29" s="25">
        <v>8</v>
      </c>
      <c r="B29" s="48" t="s">
        <v>87</v>
      </c>
      <c r="C29" s="51">
        <v>765578</v>
      </c>
      <c r="D29" s="51">
        <v>1722659</v>
      </c>
      <c r="E29" s="51">
        <f t="shared" si="2"/>
        <v>957081</v>
      </c>
      <c r="F29" s="70">
        <f t="shared" si="3"/>
        <v>1.2501417229857703</v>
      </c>
    </row>
    <row r="30" spans="1:7" ht="23.1" customHeight="1" x14ac:dyDescent="0.2">
      <c r="A30" s="25">
        <v>9</v>
      </c>
      <c r="B30" s="48" t="s">
        <v>88</v>
      </c>
      <c r="C30" s="51">
        <v>8757212</v>
      </c>
      <c r="D30" s="51">
        <v>10420530</v>
      </c>
      <c r="E30" s="51">
        <f t="shared" si="2"/>
        <v>1663318</v>
      </c>
      <c r="F30" s="70">
        <f t="shared" si="3"/>
        <v>0.18993693426629388</v>
      </c>
    </row>
    <row r="31" spans="1:7" ht="23.1" customHeight="1" x14ac:dyDescent="0.25">
      <c r="A31" s="29"/>
      <c r="B31" s="71" t="s">
        <v>89</v>
      </c>
      <c r="C31" s="27">
        <f>SUM(C22:C30)</f>
        <v>68017199</v>
      </c>
      <c r="D31" s="27">
        <f>SUM(D22:D30)</f>
        <v>74038954</v>
      </c>
      <c r="E31" s="27">
        <f t="shared" si="2"/>
        <v>6021755</v>
      </c>
      <c r="F31" s="28">
        <f t="shared" si="3"/>
        <v>8.8532828292444091E-2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162972</v>
      </c>
      <c r="D33" s="27">
        <f>+D19-D31</f>
        <v>680292</v>
      </c>
      <c r="E33" s="27">
        <f>D33-C33</f>
        <v>517320</v>
      </c>
      <c r="F33" s="28">
        <f>IF(C33=0,0,E33/C33)</f>
        <v>3.17428760768721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240</v>
      </c>
      <c r="D36" s="51">
        <v>94</v>
      </c>
      <c r="E36" s="51">
        <f>D36-C36</f>
        <v>-146</v>
      </c>
      <c r="F36" s="70">
        <f>IF(C36=0,0,E36/C36)</f>
        <v>-0.60833333333333328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-855496</v>
      </c>
      <c r="D38" s="51">
        <v>-180055</v>
      </c>
      <c r="E38" s="51">
        <f>D38-C38</f>
        <v>675441</v>
      </c>
      <c r="F38" s="70">
        <f>IF(C38=0,0,E38/C38)</f>
        <v>-0.78953145309855333</v>
      </c>
    </row>
    <row r="39" spans="1:6" ht="23.1" customHeight="1" x14ac:dyDescent="0.25">
      <c r="A39" s="20"/>
      <c r="B39" s="71" t="s">
        <v>95</v>
      </c>
      <c r="C39" s="27">
        <f>SUM(C36:C38)</f>
        <v>-855256</v>
      </c>
      <c r="D39" s="27">
        <f>SUM(D36:D38)</f>
        <v>-179961</v>
      </c>
      <c r="E39" s="27">
        <f>D39-C39</f>
        <v>675295</v>
      </c>
      <c r="F39" s="28">
        <f>IF(C39=0,0,E39/C39)</f>
        <v>-0.78958230050417655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-692284</v>
      </c>
      <c r="D41" s="27">
        <f>D33+D39</f>
        <v>500331</v>
      </c>
      <c r="E41" s="27">
        <f>D41-C41</f>
        <v>1192615</v>
      </c>
      <c r="F41" s="28">
        <f>IF(C41=0,0,E41/C41)</f>
        <v>-1.7227250665911678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-692284</v>
      </c>
      <c r="D48" s="27">
        <f>D41+D46</f>
        <v>500331</v>
      </c>
      <c r="E48" s="27">
        <f>D48-C48</f>
        <v>1192615</v>
      </c>
      <c r="F48" s="28">
        <f>IF(C48=0,0,E48/C48)</f>
        <v>-1.7227250665911678</v>
      </c>
    </row>
    <row r="49" spans="1:6" ht="23.1" customHeight="1" x14ac:dyDescent="0.2">
      <c r="A49" s="44"/>
      <c r="B49" s="48" t="s">
        <v>102</v>
      </c>
      <c r="C49" s="51">
        <v>16920114</v>
      </c>
      <c r="D49" s="51">
        <v>2317670</v>
      </c>
      <c r="E49" s="51">
        <f>D49-C49</f>
        <v>-14602444</v>
      </c>
      <c r="F49" s="70">
        <f>IF(C49=0,0,E49/C49)</f>
        <v>-0.86302279050838548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FILING&amp;RROCKVILLE GENERAL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30702348</v>
      </c>
      <c r="D14" s="97">
        <v>36905378</v>
      </c>
      <c r="E14" s="97">
        <f t="shared" ref="E14:E25" si="0">D14-C14</f>
        <v>6203030</v>
      </c>
      <c r="F14" s="98">
        <f t="shared" ref="F14:F25" si="1">IF(C14=0,0,E14/C14)</f>
        <v>0.20203764220247911</v>
      </c>
    </row>
    <row r="15" spans="1:6" ht="18" customHeight="1" x14ac:dyDescent="0.25">
      <c r="A15" s="99">
        <v>2</v>
      </c>
      <c r="B15" s="100" t="s">
        <v>113</v>
      </c>
      <c r="C15" s="97">
        <v>6208188</v>
      </c>
      <c r="D15" s="97">
        <v>9834862</v>
      </c>
      <c r="E15" s="97">
        <f t="shared" si="0"/>
        <v>3626674</v>
      </c>
      <c r="F15" s="98">
        <f t="shared" si="1"/>
        <v>0.58417593023922598</v>
      </c>
    </row>
    <row r="16" spans="1:6" ht="18" customHeight="1" x14ac:dyDescent="0.25">
      <c r="A16" s="99">
        <v>3</v>
      </c>
      <c r="B16" s="100" t="s">
        <v>114</v>
      </c>
      <c r="C16" s="97">
        <v>3560066</v>
      </c>
      <c r="D16" s="97">
        <v>6519440</v>
      </c>
      <c r="E16" s="97">
        <f t="shared" si="0"/>
        <v>2959374</v>
      </c>
      <c r="F16" s="98">
        <f t="shared" si="1"/>
        <v>0.83126942028602846</v>
      </c>
    </row>
    <row r="17" spans="1:6" ht="18" customHeight="1" x14ac:dyDescent="0.25">
      <c r="A17" s="99">
        <v>4</v>
      </c>
      <c r="B17" s="100" t="s">
        <v>115</v>
      </c>
      <c r="C17" s="97">
        <v>1285655</v>
      </c>
      <c r="D17" s="97">
        <v>470503</v>
      </c>
      <c r="E17" s="97">
        <f t="shared" si="0"/>
        <v>-815152</v>
      </c>
      <c r="F17" s="98">
        <f t="shared" si="1"/>
        <v>-0.63403634723156677</v>
      </c>
    </row>
    <row r="18" spans="1:6" ht="18" customHeight="1" x14ac:dyDescent="0.25">
      <c r="A18" s="99">
        <v>5</v>
      </c>
      <c r="B18" s="100" t="s">
        <v>116</v>
      </c>
      <c r="C18" s="97">
        <v>15966</v>
      </c>
      <c r="D18" s="97">
        <v>58007</v>
      </c>
      <c r="E18" s="97">
        <f t="shared" si="0"/>
        <v>42041</v>
      </c>
      <c r="F18" s="98">
        <f t="shared" si="1"/>
        <v>2.6331579606664159</v>
      </c>
    </row>
    <row r="19" spans="1:6" ht="18" customHeight="1" x14ac:dyDescent="0.25">
      <c r="A19" s="99">
        <v>6</v>
      </c>
      <c r="B19" s="100" t="s">
        <v>117</v>
      </c>
      <c r="C19" s="97">
        <v>799749</v>
      </c>
      <c r="D19" s="97">
        <v>924925</v>
      </c>
      <c r="E19" s="97">
        <f t="shared" si="0"/>
        <v>125176</v>
      </c>
      <c r="F19" s="98">
        <f t="shared" si="1"/>
        <v>0.15651910787009424</v>
      </c>
    </row>
    <row r="20" spans="1:6" ht="18" customHeight="1" x14ac:dyDescent="0.25">
      <c r="A20" s="99">
        <v>7</v>
      </c>
      <c r="B20" s="100" t="s">
        <v>118</v>
      </c>
      <c r="C20" s="97">
        <v>10289938</v>
      </c>
      <c r="D20" s="97">
        <v>13144163</v>
      </c>
      <c r="E20" s="97">
        <f t="shared" si="0"/>
        <v>2854225</v>
      </c>
      <c r="F20" s="98">
        <f t="shared" si="1"/>
        <v>0.27738019412750592</v>
      </c>
    </row>
    <row r="21" spans="1:6" ht="18" customHeight="1" x14ac:dyDescent="0.25">
      <c r="A21" s="99">
        <v>8</v>
      </c>
      <c r="B21" s="100" t="s">
        <v>119</v>
      </c>
      <c r="C21" s="97">
        <v>476079</v>
      </c>
      <c r="D21" s="97">
        <v>924667</v>
      </c>
      <c r="E21" s="97">
        <f t="shared" si="0"/>
        <v>448588</v>
      </c>
      <c r="F21" s="98">
        <f t="shared" si="1"/>
        <v>0.94225538198492265</v>
      </c>
    </row>
    <row r="22" spans="1:6" ht="18" customHeight="1" x14ac:dyDescent="0.25">
      <c r="A22" s="99">
        <v>9</v>
      </c>
      <c r="B22" s="100" t="s">
        <v>120</v>
      </c>
      <c r="C22" s="97">
        <v>786334</v>
      </c>
      <c r="D22" s="97">
        <v>1107951</v>
      </c>
      <c r="E22" s="97">
        <f t="shared" si="0"/>
        <v>321617</v>
      </c>
      <c r="F22" s="98">
        <f t="shared" si="1"/>
        <v>0.40900813140472114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54124323</v>
      </c>
      <c r="D25" s="103">
        <f>SUM(D14:D24)</f>
        <v>69889896</v>
      </c>
      <c r="E25" s="103">
        <f t="shared" si="0"/>
        <v>15765573</v>
      </c>
      <c r="F25" s="104">
        <f t="shared" si="1"/>
        <v>0.29128443786724134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24383789</v>
      </c>
      <c r="D27" s="97">
        <v>30556593</v>
      </c>
      <c r="E27" s="97">
        <f t="shared" ref="E27:E38" si="2">D27-C27</f>
        <v>6172804</v>
      </c>
      <c r="F27" s="98">
        <f t="shared" ref="F27:F38" si="3">IF(C27=0,0,E27/C27)</f>
        <v>0.25315196091960934</v>
      </c>
    </row>
    <row r="28" spans="1:6" ht="18" customHeight="1" x14ac:dyDescent="0.25">
      <c r="A28" s="99">
        <v>2</v>
      </c>
      <c r="B28" s="100" t="s">
        <v>113</v>
      </c>
      <c r="C28" s="97">
        <v>6081373</v>
      </c>
      <c r="D28" s="97">
        <v>9055757</v>
      </c>
      <c r="E28" s="97">
        <f t="shared" si="2"/>
        <v>2974384</v>
      </c>
      <c r="F28" s="98">
        <f t="shared" si="3"/>
        <v>0.48909744559328955</v>
      </c>
    </row>
    <row r="29" spans="1:6" ht="18" customHeight="1" x14ac:dyDescent="0.25">
      <c r="A29" s="99">
        <v>3</v>
      </c>
      <c r="B29" s="100" t="s">
        <v>114</v>
      </c>
      <c r="C29" s="97">
        <v>7739418</v>
      </c>
      <c r="D29" s="97">
        <v>20506295</v>
      </c>
      <c r="E29" s="97">
        <f t="shared" si="2"/>
        <v>12766877</v>
      </c>
      <c r="F29" s="98">
        <f t="shared" si="3"/>
        <v>1.6495913517011227</v>
      </c>
    </row>
    <row r="30" spans="1:6" ht="18" customHeight="1" x14ac:dyDescent="0.25">
      <c r="A30" s="99">
        <v>4</v>
      </c>
      <c r="B30" s="100" t="s">
        <v>115</v>
      </c>
      <c r="C30" s="97">
        <v>10533160</v>
      </c>
      <c r="D30" s="97">
        <v>2749933</v>
      </c>
      <c r="E30" s="97">
        <f t="shared" si="2"/>
        <v>-7783227</v>
      </c>
      <c r="F30" s="98">
        <f t="shared" si="3"/>
        <v>-0.73892611523987106</v>
      </c>
    </row>
    <row r="31" spans="1:6" ht="18" customHeight="1" x14ac:dyDescent="0.25">
      <c r="A31" s="99">
        <v>5</v>
      </c>
      <c r="B31" s="100" t="s">
        <v>116</v>
      </c>
      <c r="C31" s="97">
        <v>482355</v>
      </c>
      <c r="D31" s="97">
        <v>659375</v>
      </c>
      <c r="E31" s="97">
        <f t="shared" si="2"/>
        <v>177020</v>
      </c>
      <c r="F31" s="98">
        <f t="shared" si="3"/>
        <v>0.36699111650133198</v>
      </c>
    </row>
    <row r="32" spans="1:6" ht="18" customHeight="1" x14ac:dyDescent="0.25">
      <c r="A32" s="99">
        <v>6</v>
      </c>
      <c r="B32" s="100" t="s">
        <v>117</v>
      </c>
      <c r="C32" s="97">
        <v>2608679</v>
      </c>
      <c r="D32" s="97">
        <v>2784166</v>
      </c>
      <c r="E32" s="97">
        <f t="shared" si="2"/>
        <v>175487</v>
      </c>
      <c r="F32" s="98">
        <f t="shared" si="3"/>
        <v>6.7270446076347454E-2</v>
      </c>
    </row>
    <row r="33" spans="1:6" ht="18" customHeight="1" x14ac:dyDescent="0.25">
      <c r="A33" s="99">
        <v>7</v>
      </c>
      <c r="B33" s="100" t="s">
        <v>118</v>
      </c>
      <c r="C33" s="97">
        <v>37567569</v>
      </c>
      <c r="D33" s="97">
        <v>45584609</v>
      </c>
      <c r="E33" s="97">
        <f t="shared" si="2"/>
        <v>8017040</v>
      </c>
      <c r="F33" s="98">
        <f t="shared" si="3"/>
        <v>0.21340321488462563</v>
      </c>
    </row>
    <row r="34" spans="1:6" ht="18" customHeight="1" x14ac:dyDescent="0.25">
      <c r="A34" s="99">
        <v>8</v>
      </c>
      <c r="B34" s="100" t="s">
        <v>119</v>
      </c>
      <c r="C34" s="97">
        <v>1405476</v>
      </c>
      <c r="D34" s="97">
        <v>1633221</v>
      </c>
      <c r="E34" s="97">
        <f t="shared" si="2"/>
        <v>227745</v>
      </c>
      <c r="F34" s="98">
        <f t="shared" si="3"/>
        <v>0.16204118746958326</v>
      </c>
    </row>
    <row r="35" spans="1:6" ht="18" customHeight="1" x14ac:dyDescent="0.25">
      <c r="A35" s="99">
        <v>9</v>
      </c>
      <c r="B35" s="100" t="s">
        <v>120</v>
      </c>
      <c r="C35" s="97">
        <v>3146480</v>
      </c>
      <c r="D35" s="97">
        <v>4649453</v>
      </c>
      <c r="E35" s="97">
        <f t="shared" si="2"/>
        <v>1502973</v>
      </c>
      <c r="F35" s="98">
        <f t="shared" si="3"/>
        <v>0.47766806081716712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93948299</v>
      </c>
      <c r="D38" s="103">
        <f>SUM(D27:D37)</f>
        <v>118179402</v>
      </c>
      <c r="E38" s="103">
        <f t="shared" si="2"/>
        <v>24231103</v>
      </c>
      <c r="F38" s="104">
        <f t="shared" si="3"/>
        <v>0.25791954998567884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55086137</v>
      </c>
      <c r="D41" s="103">
        <f t="shared" si="4"/>
        <v>67461971</v>
      </c>
      <c r="E41" s="107">
        <f t="shared" ref="E41:E52" si="5">D41-C41</f>
        <v>12375834</v>
      </c>
      <c r="F41" s="108">
        <f t="shared" ref="F41:F52" si="6">IF(C41=0,0,E41/C41)</f>
        <v>0.22466331229579595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12289561</v>
      </c>
      <c r="D42" s="103">
        <f t="shared" si="4"/>
        <v>18890619</v>
      </c>
      <c r="E42" s="107">
        <f t="shared" si="5"/>
        <v>6601058</v>
      </c>
      <c r="F42" s="108">
        <f t="shared" si="6"/>
        <v>0.53712724156705027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11299484</v>
      </c>
      <c r="D43" s="103">
        <f t="shared" si="4"/>
        <v>27025735</v>
      </c>
      <c r="E43" s="107">
        <f t="shared" si="5"/>
        <v>15726251</v>
      </c>
      <c r="F43" s="108">
        <f t="shared" si="6"/>
        <v>1.3917671815810351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11818815</v>
      </c>
      <c r="D44" s="103">
        <f t="shared" si="4"/>
        <v>3220436</v>
      </c>
      <c r="E44" s="107">
        <f t="shared" si="5"/>
        <v>-8598379</v>
      </c>
      <c r="F44" s="108">
        <f t="shared" si="6"/>
        <v>-0.72751616807607189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498321</v>
      </c>
      <c r="D45" s="103">
        <f t="shared" si="4"/>
        <v>717382</v>
      </c>
      <c r="E45" s="107">
        <f t="shared" si="5"/>
        <v>219061</v>
      </c>
      <c r="F45" s="108">
        <f t="shared" si="6"/>
        <v>0.43959817065706641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3408428</v>
      </c>
      <c r="D46" s="103">
        <f t="shared" si="4"/>
        <v>3709091</v>
      </c>
      <c r="E46" s="107">
        <f t="shared" si="5"/>
        <v>300663</v>
      </c>
      <c r="F46" s="108">
        <f t="shared" si="6"/>
        <v>8.8211633046084592E-2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47857507</v>
      </c>
      <c r="D47" s="103">
        <f t="shared" si="4"/>
        <v>58728772</v>
      </c>
      <c r="E47" s="107">
        <f t="shared" si="5"/>
        <v>10871265</v>
      </c>
      <c r="F47" s="108">
        <f t="shared" si="6"/>
        <v>0.22715903275112095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1881555</v>
      </c>
      <c r="D48" s="103">
        <f t="shared" si="4"/>
        <v>2557888</v>
      </c>
      <c r="E48" s="107">
        <f t="shared" si="5"/>
        <v>676333</v>
      </c>
      <c r="F48" s="108">
        <f t="shared" si="6"/>
        <v>0.35945428116637568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3932814</v>
      </c>
      <c r="D49" s="103">
        <f t="shared" si="4"/>
        <v>5757404</v>
      </c>
      <c r="E49" s="107">
        <f t="shared" si="5"/>
        <v>1824590</v>
      </c>
      <c r="F49" s="108">
        <f t="shared" si="6"/>
        <v>0.46394006937526155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148072622</v>
      </c>
      <c r="D52" s="112">
        <f>SUM(D41:D51)</f>
        <v>188069298</v>
      </c>
      <c r="E52" s="111">
        <f t="shared" si="5"/>
        <v>39996676</v>
      </c>
      <c r="F52" s="113">
        <f t="shared" si="6"/>
        <v>0.27011526816888543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12550501</v>
      </c>
      <c r="D57" s="97">
        <v>12222209</v>
      </c>
      <c r="E57" s="97">
        <f t="shared" ref="E57:E68" si="7">D57-C57</f>
        <v>-328292</v>
      </c>
      <c r="F57" s="98">
        <f t="shared" ref="F57:F68" si="8">IF(C57=0,0,E57/C57)</f>
        <v>-2.6157680876643889E-2</v>
      </c>
    </row>
    <row r="58" spans="1:6" ht="18" customHeight="1" x14ac:dyDescent="0.25">
      <c r="A58" s="99">
        <v>2</v>
      </c>
      <c r="B58" s="100" t="s">
        <v>113</v>
      </c>
      <c r="C58" s="97">
        <v>2406391</v>
      </c>
      <c r="D58" s="97">
        <v>3167587</v>
      </c>
      <c r="E58" s="97">
        <f t="shared" si="7"/>
        <v>761196</v>
      </c>
      <c r="F58" s="98">
        <f t="shared" si="8"/>
        <v>0.31632265911898771</v>
      </c>
    </row>
    <row r="59" spans="1:6" ht="18" customHeight="1" x14ac:dyDescent="0.25">
      <c r="A59" s="99">
        <v>3</v>
      </c>
      <c r="B59" s="100" t="s">
        <v>114</v>
      </c>
      <c r="C59" s="97">
        <v>1011150</v>
      </c>
      <c r="D59" s="97">
        <v>1647735</v>
      </c>
      <c r="E59" s="97">
        <f t="shared" si="7"/>
        <v>636585</v>
      </c>
      <c r="F59" s="98">
        <f t="shared" si="8"/>
        <v>0.62956534638777628</v>
      </c>
    </row>
    <row r="60" spans="1:6" ht="18" customHeight="1" x14ac:dyDescent="0.25">
      <c r="A60" s="99">
        <v>4</v>
      </c>
      <c r="B60" s="100" t="s">
        <v>115</v>
      </c>
      <c r="C60" s="97">
        <v>380709</v>
      </c>
      <c r="D60" s="97">
        <v>124868</v>
      </c>
      <c r="E60" s="97">
        <f t="shared" si="7"/>
        <v>-255841</v>
      </c>
      <c r="F60" s="98">
        <f t="shared" si="8"/>
        <v>-0.67201195663879765</v>
      </c>
    </row>
    <row r="61" spans="1:6" ht="18" customHeight="1" x14ac:dyDescent="0.25">
      <c r="A61" s="99">
        <v>5</v>
      </c>
      <c r="B61" s="100" t="s">
        <v>116</v>
      </c>
      <c r="C61" s="97">
        <v>5231</v>
      </c>
      <c r="D61" s="97">
        <v>45723</v>
      </c>
      <c r="E61" s="97">
        <f t="shared" si="7"/>
        <v>40492</v>
      </c>
      <c r="F61" s="98">
        <f t="shared" si="8"/>
        <v>7.7407761422290191</v>
      </c>
    </row>
    <row r="62" spans="1:6" ht="18" customHeight="1" x14ac:dyDescent="0.25">
      <c r="A62" s="99">
        <v>6</v>
      </c>
      <c r="B62" s="100" t="s">
        <v>117</v>
      </c>
      <c r="C62" s="97">
        <v>701772</v>
      </c>
      <c r="D62" s="97">
        <v>671871</v>
      </c>
      <c r="E62" s="97">
        <f t="shared" si="7"/>
        <v>-29901</v>
      </c>
      <c r="F62" s="98">
        <f t="shared" si="8"/>
        <v>-4.2607855542825875E-2</v>
      </c>
    </row>
    <row r="63" spans="1:6" ht="18" customHeight="1" x14ac:dyDescent="0.25">
      <c r="A63" s="99">
        <v>7</v>
      </c>
      <c r="B63" s="100" t="s">
        <v>118</v>
      </c>
      <c r="C63" s="97">
        <v>6179597</v>
      </c>
      <c r="D63" s="97">
        <v>6859254</v>
      </c>
      <c r="E63" s="97">
        <f t="shared" si="7"/>
        <v>679657</v>
      </c>
      <c r="F63" s="98">
        <f t="shared" si="8"/>
        <v>0.10998403293936482</v>
      </c>
    </row>
    <row r="64" spans="1:6" ht="18" customHeight="1" x14ac:dyDescent="0.25">
      <c r="A64" s="99">
        <v>8</v>
      </c>
      <c r="B64" s="100" t="s">
        <v>119</v>
      </c>
      <c r="C64" s="97">
        <v>327082</v>
      </c>
      <c r="D64" s="97">
        <v>428083</v>
      </c>
      <c r="E64" s="97">
        <f t="shared" si="7"/>
        <v>101001</v>
      </c>
      <c r="F64" s="98">
        <f t="shared" si="8"/>
        <v>0.30879412502063702</v>
      </c>
    </row>
    <row r="65" spans="1:6" ht="18" customHeight="1" x14ac:dyDescent="0.25">
      <c r="A65" s="99">
        <v>9</v>
      </c>
      <c r="B65" s="100" t="s">
        <v>120</v>
      </c>
      <c r="C65" s="97">
        <v>4157</v>
      </c>
      <c r="D65" s="97">
        <v>32437</v>
      </c>
      <c r="E65" s="97">
        <f t="shared" si="7"/>
        <v>28280</v>
      </c>
      <c r="F65" s="98">
        <f t="shared" si="8"/>
        <v>6.8029829203752703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23566590</v>
      </c>
      <c r="D68" s="103">
        <f>SUM(D57:D67)</f>
        <v>25199767</v>
      </c>
      <c r="E68" s="103">
        <f t="shared" si="7"/>
        <v>1633177</v>
      </c>
      <c r="F68" s="104">
        <f t="shared" si="8"/>
        <v>6.9300522476947235E-2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6547300</v>
      </c>
      <c r="D70" s="97">
        <v>7627908</v>
      </c>
      <c r="E70" s="97">
        <f t="shared" ref="E70:E81" si="9">D70-C70</f>
        <v>1080608</v>
      </c>
      <c r="F70" s="98">
        <f t="shared" ref="F70:F81" si="10">IF(C70=0,0,E70/C70)</f>
        <v>0.16504635498602477</v>
      </c>
    </row>
    <row r="71" spans="1:6" ht="18" customHeight="1" x14ac:dyDescent="0.25">
      <c r="A71" s="99">
        <v>2</v>
      </c>
      <c r="B71" s="100" t="s">
        <v>113</v>
      </c>
      <c r="C71" s="97">
        <v>1332022</v>
      </c>
      <c r="D71" s="97">
        <v>1968614</v>
      </c>
      <c r="E71" s="97">
        <f t="shared" si="9"/>
        <v>636592</v>
      </c>
      <c r="F71" s="98">
        <f t="shared" si="10"/>
        <v>0.47791402844697761</v>
      </c>
    </row>
    <row r="72" spans="1:6" ht="18" customHeight="1" x14ac:dyDescent="0.25">
      <c r="A72" s="99">
        <v>3</v>
      </c>
      <c r="B72" s="100" t="s">
        <v>114</v>
      </c>
      <c r="C72" s="97">
        <v>1328463</v>
      </c>
      <c r="D72" s="97">
        <v>3712403</v>
      </c>
      <c r="E72" s="97">
        <f t="shared" si="9"/>
        <v>2383940</v>
      </c>
      <c r="F72" s="98">
        <f t="shared" si="10"/>
        <v>1.7945098960226968</v>
      </c>
    </row>
    <row r="73" spans="1:6" ht="18" customHeight="1" x14ac:dyDescent="0.25">
      <c r="A73" s="99">
        <v>4</v>
      </c>
      <c r="B73" s="100" t="s">
        <v>115</v>
      </c>
      <c r="C73" s="97">
        <v>3004741</v>
      </c>
      <c r="D73" s="97">
        <v>436875</v>
      </c>
      <c r="E73" s="97">
        <f t="shared" si="9"/>
        <v>-2567866</v>
      </c>
      <c r="F73" s="98">
        <f t="shared" si="10"/>
        <v>-0.85460477292385595</v>
      </c>
    </row>
    <row r="74" spans="1:6" ht="18" customHeight="1" x14ac:dyDescent="0.25">
      <c r="A74" s="99">
        <v>5</v>
      </c>
      <c r="B74" s="100" t="s">
        <v>116</v>
      </c>
      <c r="C74" s="97">
        <v>310999</v>
      </c>
      <c r="D74" s="97">
        <v>387769</v>
      </c>
      <c r="E74" s="97">
        <f t="shared" si="9"/>
        <v>76770</v>
      </c>
      <c r="F74" s="98">
        <f t="shared" si="10"/>
        <v>0.2468496683269078</v>
      </c>
    </row>
    <row r="75" spans="1:6" ht="18" customHeight="1" x14ac:dyDescent="0.25">
      <c r="A75" s="99">
        <v>6</v>
      </c>
      <c r="B75" s="100" t="s">
        <v>117</v>
      </c>
      <c r="C75" s="97">
        <v>2201004</v>
      </c>
      <c r="D75" s="97">
        <v>2450691</v>
      </c>
      <c r="E75" s="97">
        <f t="shared" si="9"/>
        <v>249687</v>
      </c>
      <c r="F75" s="98">
        <f t="shared" si="10"/>
        <v>0.1134423199594367</v>
      </c>
    </row>
    <row r="76" spans="1:6" ht="18" customHeight="1" x14ac:dyDescent="0.25">
      <c r="A76" s="99">
        <v>7</v>
      </c>
      <c r="B76" s="100" t="s">
        <v>118</v>
      </c>
      <c r="C76" s="97">
        <v>21090780</v>
      </c>
      <c r="D76" s="97">
        <v>22862074</v>
      </c>
      <c r="E76" s="97">
        <f t="shared" si="9"/>
        <v>1771294</v>
      </c>
      <c r="F76" s="98">
        <f t="shared" si="10"/>
        <v>8.3984281283100953E-2</v>
      </c>
    </row>
    <row r="77" spans="1:6" ht="18" customHeight="1" x14ac:dyDescent="0.25">
      <c r="A77" s="99">
        <v>8</v>
      </c>
      <c r="B77" s="100" t="s">
        <v>119</v>
      </c>
      <c r="C77" s="97">
        <v>463376</v>
      </c>
      <c r="D77" s="97">
        <v>469398</v>
      </c>
      <c r="E77" s="97">
        <f t="shared" si="9"/>
        <v>6022</v>
      </c>
      <c r="F77" s="98">
        <f t="shared" si="10"/>
        <v>1.2995925555056801E-2</v>
      </c>
    </row>
    <row r="78" spans="1:6" ht="18" customHeight="1" x14ac:dyDescent="0.25">
      <c r="A78" s="99">
        <v>9</v>
      </c>
      <c r="B78" s="100" t="s">
        <v>120</v>
      </c>
      <c r="C78" s="97">
        <v>183945</v>
      </c>
      <c r="D78" s="97">
        <v>224697</v>
      </c>
      <c r="E78" s="97">
        <f t="shared" si="9"/>
        <v>40752</v>
      </c>
      <c r="F78" s="98">
        <f t="shared" si="10"/>
        <v>0.22154448340536573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36462630</v>
      </c>
      <c r="D81" s="103">
        <f>SUM(D70:D80)</f>
        <v>40140429</v>
      </c>
      <c r="E81" s="103">
        <f t="shared" si="9"/>
        <v>3677799</v>
      </c>
      <c r="F81" s="104">
        <f t="shared" si="10"/>
        <v>0.10086488550057963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19097801</v>
      </c>
      <c r="D84" s="103">
        <f t="shared" si="11"/>
        <v>19850117</v>
      </c>
      <c r="E84" s="103">
        <f t="shared" ref="E84:E95" si="12">D84-C84</f>
        <v>752316</v>
      </c>
      <c r="F84" s="104">
        <f t="shared" ref="F84:F95" si="13">IF(C84=0,0,E84/C84)</f>
        <v>3.9392807580307283E-2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3738413</v>
      </c>
      <c r="D85" s="103">
        <f t="shared" si="11"/>
        <v>5136201</v>
      </c>
      <c r="E85" s="103">
        <f t="shared" si="12"/>
        <v>1397788</v>
      </c>
      <c r="F85" s="104">
        <f t="shared" si="13"/>
        <v>0.37389876399424032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2339613</v>
      </c>
      <c r="D86" s="103">
        <f t="shared" si="11"/>
        <v>5360138</v>
      </c>
      <c r="E86" s="103">
        <f t="shared" si="12"/>
        <v>3020525</v>
      </c>
      <c r="F86" s="104">
        <f t="shared" si="13"/>
        <v>1.2910361670925918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3385450</v>
      </c>
      <c r="D87" s="103">
        <f t="shared" si="11"/>
        <v>561743</v>
      </c>
      <c r="E87" s="103">
        <f t="shared" si="12"/>
        <v>-2823707</v>
      </c>
      <c r="F87" s="104">
        <f t="shared" si="13"/>
        <v>-0.83407139375858452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316230</v>
      </c>
      <c r="D88" s="103">
        <f t="shared" si="11"/>
        <v>433492</v>
      </c>
      <c r="E88" s="103">
        <f t="shared" si="12"/>
        <v>117262</v>
      </c>
      <c r="F88" s="104">
        <f t="shared" si="13"/>
        <v>0.37081238339183503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2902776</v>
      </c>
      <c r="D89" s="103">
        <f t="shared" si="11"/>
        <v>3122562</v>
      </c>
      <c r="E89" s="103">
        <f t="shared" si="12"/>
        <v>219786</v>
      </c>
      <c r="F89" s="104">
        <f t="shared" si="13"/>
        <v>7.5715797567569798E-2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27270377</v>
      </c>
      <c r="D90" s="103">
        <f t="shared" si="11"/>
        <v>29721328</v>
      </c>
      <c r="E90" s="103">
        <f t="shared" si="12"/>
        <v>2450951</v>
      </c>
      <c r="F90" s="104">
        <f t="shared" si="13"/>
        <v>8.9875948542992273E-2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790458</v>
      </c>
      <c r="D91" s="103">
        <f t="shared" si="11"/>
        <v>897481</v>
      </c>
      <c r="E91" s="103">
        <f t="shared" si="12"/>
        <v>107023</v>
      </c>
      <c r="F91" s="104">
        <f t="shared" si="13"/>
        <v>0.13539365785405424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188102</v>
      </c>
      <c r="D92" s="103">
        <f t="shared" si="11"/>
        <v>257134</v>
      </c>
      <c r="E92" s="103">
        <f t="shared" si="12"/>
        <v>69032</v>
      </c>
      <c r="F92" s="104">
        <f t="shared" si="13"/>
        <v>0.3669923764765925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60029220</v>
      </c>
      <c r="D95" s="112">
        <f>SUM(D84:D94)</f>
        <v>65340196</v>
      </c>
      <c r="E95" s="112">
        <f t="shared" si="12"/>
        <v>5310976</v>
      </c>
      <c r="F95" s="113">
        <f t="shared" si="13"/>
        <v>8.8473180227895687E-2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1317</v>
      </c>
      <c r="D100" s="117">
        <v>1309</v>
      </c>
      <c r="E100" s="117">
        <f t="shared" ref="E100:E111" si="14">D100-C100</f>
        <v>-8</v>
      </c>
      <c r="F100" s="98">
        <f t="shared" ref="F100:F111" si="15">IF(C100=0,0,E100/C100)</f>
        <v>-6.0744115413819289E-3</v>
      </c>
    </row>
    <row r="101" spans="1:6" ht="18" customHeight="1" x14ac:dyDescent="0.25">
      <c r="A101" s="99">
        <v>2</v>
      </c>
      <c r="B101" s="100" t="s">
        <v>113</v>
      </c>
      <c r="C101" s="117">
        <v>264</v>
      </c>
      <c r="D101" s="117">
        <v>346</v>
      </c>
      <c r="E101" s="117">
        <f t="shared" si="14"/>
        <v>82</v>
      </c>
      <c r="F101" s="98">
        <f t="shared" si="15"/>
        <v>0.31060606060606061</v>
      </c>
    </row>
    <row r="102" spans="1:6" ht="18" customHeight="1" x14ac:dyDescent="0.25">
      <c r="A102" s="99">
        <v>3</v>
      </c>
      <c r="B102" s="100" t="s">
        <v>114</v>
      </c>
      <c r="C102" s="117">
        <v>148</v>
      </c>
      <c r="D102" s="117">
        <v>248</v>
      </c>
      <c r="E102" s="117">
        <f t="shared" si="14"/>
        <v>100</v>
      </c>
      <c r="F102" s="98">
        <f t="shared" si="15"/>
        <v>0.67567567567567566</v>
      </c>
    </row>
    <row r="103" spans="1:6" ht="18" customHeight="1" x14ac:dyDescent="0.25">
      <c r="A103" s="99">
        <v>4</v>
      </c>
      <c r="B103" s="100" t="s">
        <v>115</v>
      </c>
      <c r="C103" s="117">
        <v>120</v>
      </c>
      <c r="D103" s="117">
        <v>18</v>
      </c>
      <c r="E103" s="117">
        <f t="shared" si="14"/>
        <v>-102</v>
      </c>
      <c r="F103" s="98">
        <f t="shared" si="15"/>
        <v>-0.85</v>
      </c>
    </row>
    <row r="104" spans="1:6" ht="18" customHeight="1" x14ac:dyDescent="0.25">
      <c r="A104" s="99">
        <v>5</v>
      </c>
      <c r="B104" s="100" t="s">
        <v>116</v>
      </c>
      <c r="C104" s="117">
        <v>3</v>
      </c>
      <c r="D104" s="117">
        <v>4</v>
      </c>
      <c r="E104" s="117">
        <f t="shared" si="14"/>
        <v>1</v>
      </c>
      <c r="F104" s="98">
        <f t="shared" si="15"/>
        <v>0.33333333333333331</v>
      </c>
    </row>
    <row r="105" spans="1:6" ht="18" customHeight="1" x14ac:dyDescent="0.25">
      <c r="A105" s="99">
        <v>6</v>
      </c>
      <c r="B105" s="100" t="s">
        <v>117</v>
      </c>
      <c r="C105" s="117">
        <v>72</v>
      </c>
      <c r="D105" s="117">
        <v>63</v>
      </c>
      <c r="E105" s="117">
        <f t="shared" si="14"/>
        <v>-9</v>
      </c>
      <c r="F105" s="98">
        <f t="shared" si="15"/>
        <v>-0.125</v>
      </c>
    </row>
    <row r="106" spans="1:6" ht="18" customHeight="1" x14ac:dyDescent="0.25">
      <c r="A106" s="99">
        <v>7</v>
      </c>
      <c r="B106" s="100" t="s">
        <v>118</v>
      </c>
      <c r="C106" s="117">
        <v>511</v>
      </c>
      <c r="D106" s="117">
        <v>449</v>
      </c>
      <c r="E106" s="117">
        <f t="shared" si="14"/>
        <v>-62</v>
      </c>
      <c r="F106" s="98">
        <f t="shared" si="15"/>
        <v>-0.12133072407045009</v>
      </c>
    </row>
    <row r="107" spans="1:6" ht="18" customHeight="1" x14ac:dyDescent="0.25">
      <c r="A107" s="99">
        <v>8</v>
      </c>
      <c r="B107" s="100" t="s">
        <v>119</v>
      </c>
      <c r="C107" s="117">
        <v>17</v>
      </c>
      <c r="D107" s="117">
        <v>24</v>
      </c>
      <c r="E107" s="117">
        <f t="shared" si="14"/>
        <v>7</v>
      </c>
      <c r="F107" s="98">
        <f t="shared" si="15"/>
        <v>0.41176470588235292</v>
      </c>
    </row>
    <row r="108" spans="1:6" ht="18" customHeight="1" x14ac:dyDescent="0.25">
      <c r="A108" s="99">
        <v>9</v>
      </c>
      <c r="B108" s="100" t="s">
        <v>120</v>
      </c>
      <c r="C108" s="117">
        <v>63</v>
      </c>
      <c r="D108" s="117">
        <v>58</v>
      </c>
      <c r="E108" s="117">
        <f t="shared" si="14"/>
        <v>-5</v>
      </c>
      <c r="F108" s="98">
        <f t="shared" si="15"/>
        <v>-7.9365079365079361E-2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2515</v>
      </c>
      <c r="D111" s="118">
        <f>SUM(D100:D110)</f>
        <v>2519</v>
      </c>
      <c r="E111" s="118">
        <f t="shared" si="14"/>
        <v>4</v>
      </c>
      <c r="F111" s="104">
        <f t="shared" si="15"/>
        <v>1.5904572564612327E-3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7269</v>
      </c>
      <c r="D113" s="117">
        <v>7534</v>
      </c>
      <c r="E113" s="117">
        <f t="shared" ref="E113:E124" si="16">D113-C113</f>
        <v>265</v>
      </c>
      <c r="F113" s="98">
        <f t="shared" ref="F113:F124" si="17">IF(C113=0,0,E113/C113)</f>
        <v>3.6456183794194526E-2</v>
      </c>
    </row>
    <row r="114" spans="1:6" ht="18" customHeight="1" x14ac:dyDescent="0.25">
      <c r="A114" s="99">
        <v>2</v>
      </c>
      <c r="B114" s="100" t="s">
        <v>113</v>
      </c>
      <c r="C114" s="117">
        <v>1371</v>
      </c>
      <c r="D114" s="117">
        <v>1800</v>
      </c>
      <c r="E114" s="117">
        <f t="shared" si="16"/>
        <v>429</v>
      </c>
      <c r="F114" s="98">
        <f t="shared" si="17"/>
        <v>0.31291028446389496</v>
      </c>
    </row>
    <row r="115" spans="1:6" ht="18" customHeight="1" x14ac:dyDescent="0.25">
      <c r="A115" s="99">
        <v>3</v>
      </c>
      <c r="B115" s="100" t="s">
        <v>114</v>
      </c>
      <c r="C115" s="117">
        <v>750</v>
      </c>
      <c r="D115" s="117">
        <v>1258</v>
      </c>
      <c r="E115" s="117">
        <f t="shared" si="16"/>
        <v>508</v>
      </c>
      <c r="F115" s="98">
        <f t="shared" si="17"/>
        <v>0.67733333333333334</v>
      </c>
    </row>
    <row r="116" spans="1:6" ht="18" customHeight="1" x14ac:dyDescent="0.25">
      <c r="A116" s="99">
        <v>4</v>
      </c>
      <c r="B116" s="100" t="s">
        <v>115</v>
      </c>
      <c r="C116" s="117">
        <v>337</v>
      </c>
      <c r="D116" s="117">
        <v>104</v>
      </c>
      <c r="E116" s="117">
        <f t="shared" si="16"/>
        <v>-233</v>
      </c>
      <c r="F116" s="98">
        <f t="shared" si="17"/>
        <v>-0.6913946587537092</v>
      </c>
    </row>
    <row r="117" spans="1:6" ht="18" customHeight="1" x14ac:dyDescent="0.25">
      <c r="A117" s="99">
        <v>5</v>
      </c>
      <c r="B117" s="100" t="s">
        <v>116</v>
      </c>
      <c r="C117" s="117">
        <v>10</v>
      </c>
      <c r="D117" s="117">
        <v>9</v>
      </c>
      <c r="E117" s="117">
        <f t="shared" si="16"/>
        <v>-1</v>
      </c>
      <c r="F117" s="98">
        <f t="shared" si="17"/>
        <v>-0.1</v>
      </c>
    </row>
    <row r="118" spans="1:6" ht="18" customHeight="1" x14ac:dyDescent="0.25">
      <c r="A118" s="99">
        <v>6</v>
      </c>
      <c r="B118" s="100" t="s">
        <v>117</v>
      </c>
      <c r="C118" s="117">
        <v>335</v>
      </c>
      <c r="D118" s="117">
        <v>249</v>
      </c>
      <c r="E118" s="117">
        <f t="shared" si="16"/>
        <v>-86</v>
      </c>
      <c r="F118" s="98">
        <f t="shared" si="17"/>
        <v>-0.25671641791044775</v>
      </c>
    </row>
    <row r="119" spans="1:6" ht="18" customHeight="1" x14ac:dyDescent="0.25">
      <c r="A119" s="99">
        <v>7</v>
      </c>
      <c r="B119" s="100" t="s">
        <v>118</v>
      </c>
      <c r="C119" s="117">
        <v>1933</v>
      </c>
      <c r="D119" s="117">
        <v>1720</v>
      </c>
      <c r="E119" s="117">
        <f t="shared" si="16"/>
        <v>-213</v>
      </c>
      <c r="F119" s="98">
        <f t="shared" si="17"/>
        <v>-0.11019141231246767</v>
      </c>
    </row>
    <row r="120" spans="1:6" ht="18" customHeight="1" x14ac:dyDescent="0.25">
      <c r="A120" s="99">
        <v>8</v>
      </c>
      <c r="B120" s="100" t="s">
        <v>119</v>
      </c>
      <c r="C120" s="117">
        <v>51</v>
      </c>
      <c r="D120" s="117">
        <v>84</v>
      </c>
      <c r="E120" s="117">
        <f t="shared" si="16"/>
        <v>33</v>
      </c>
      <c r="F120" s="98">
        <f t="shared" si="17"/>
        <v>0.6470588235294118</v>
      </c>
    </row>
    <row r="121" spans="1:6" ht="18" customHeight="1" x14ac:dyDescent="0.25">
      <c r="A121" s="99">
        <v>9</v>
      </c>
      <c r="B121" s="100" t="s">
        <v>120</v>
      </c>
      <c r="C121" s="117">
        <v>314</v>
      </c>
      <c r="D121" s="117">
        <v>298</v>
      </c>
      <c r="E121" s="117">
        <f t="shared" si="16"/>
        <v>-16</v>
      </c>
      <c r="F121" s="98">
        <f t="shared" si="17"/>
        <v>-5.0955414012738856E-2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12370</v>
      </c>
      <c r="D124" s="118">
        <f>SUM(D113:D123)</f>
        <v>13056</v>
      </c>
      <c r="E124" s="118">
        <f t="shared" si="16"/>
        <v>686</v>
      </c>
      <c r="F124" s="104">
        <f t="shared" si="17"/>
        <v>5.5456750202101862E-2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14395</v>
      </c>
      <c r="D126" s="117">
        <v>20478</v>
      </c>
      <c r="E126" s="117">
        <f t="shared" ref="E126:E137" si="18">D126-C126</f>
        <v>6083</v>
      </c>
      <c r="F126" s="98">
        <f t="shared" ref="F126:F137" si="19">IF(C126=0,0,E126/C126)</f>
        <v>0.42257728377908998</v>
      </c>
    </row>
    <row r="127" spans="1:6" ht="18" customHeight="1" x14ac:dyDescent="0.25">
      <c r="A127" s="99">
        <v>2</v>
      </c>
      <c r="B127" s="100" t="s">
        <v>113</v>
      </c>
      <c r="C127" s="117">
        <v>3718</v>
      </c>
      <c r="D127" s="117">
        <v>6269</v>
      </c>
      <c r="E127" s="117">
        <f t="shared" si="18"/>
        <v>2551</v>
      </c>
      <c r="F127" s="98">
        <f t="shared" si="19"/>
        <v>0.68612157073695534</v>
      </c>
    </row>
    <row r="128" spans="1:6" ht="18" customHeight="1" x14ac:dyDescent="0.25">
      <c r="A128" s="99">
        <v>3</v>
      </c>
      <c r="B128" s="100" t="s">
        <v>114</v>
      </c>
      <c r="C128" s="117">
        <v>5469</v>
      </c>
      <c r="D128" s="117">
        <v>16108</v>
      </c>
      <c r="E128" s="117">
        <f t="shared" si="18"/>
        <v>10639</v>
      </c>
      <c r="F128" s="98">
        <f t="shared" si="19"/>
        <v>1.9453282135673797</v>
      </c>
    </row>
    <row r="129" spans="1:6" ht="18" customHeight="1" x14ac:dyDescent="0.25">
      <c r="A129" s="99">
        <v>4</v>
      </c>
      <c r="B129" s="100" t="s">
        <v>115</v>
      </c>
      <c r="C129" s="117">
        <v>9475</v>
      </c>
      <c r="D129" s="117">
        <v>2670</v>
      </c>
      <c r="E129" s="117">
        <f t="shared" si="18"/>
        <v>-6805</v>
      </c>
      <c r="F129" s="98">
        <f t="shared" si="19"/>
        <v>-0.71820580474934037</v>
      </c>
    </row>
    <row r="130" spans="1:6" ht="18" customHeight="1" x14ac:dyDescent="0.25">
      <c r="A130" s="99">
        <v>5</v>
      </c>
      <c r="B130" s="100" t="s">
        <v>116</v>
      </c>
      <c r="C130" s="117">
        <v>401</v>
      </c>
      <c r="D130" s="117">
        <v>575</v>
      </c>
      <c r="E130" s="117">
        <f t="shared" si="18"/>
        <v>174</v>
      </c>
      <c r="F130" s="98">
        <f t="shared" si="19"/>
        <v>0.43391521197007482</v>
      </c>
    </row>
    <row r="131" spans="1:6" ht="18" customHeight="1" x14ac:dyDescent="0.25">
      <c r="A131" s="99">
        <v>6</v>
      </c>
      <c r="B131" s="100" t="s">
        <v>117</v>
      </c>
      <c r="C131" s="117">
        <v>2607</v>
      </c>
      <c r="D131" s="117">
        <v>2976</v>
      </c>
      <c r="E131" s="117">
        <f t="shared" si="18"/>
        <v>369</v>
      </c>
      <c r="F131" s="98">
        <f t="shared" si="19"/>
        <v>0.14154200230149597</v>
      </c>
    </row>
    <row r="132" spans="1:6" ht="18" customHeight="1" x14ac:dyDescent="0.25">
      <c r="A132" s="99">
        <v>7</v>
      </c>
      <c r="B132" s="100" t="s">
        <v>118</v>
      </c>
      <c r="C132" s="117">
        <v>35204</v>
      </c>
      <c r="D132" s="117">
        <v>49424</v>
      </c>
      <c r="E132" s="117">
        <f t="shared" si="18"/>
        <v>14220</v>
      </c>
      <c r="F132" s="98">
        <f t="shared" si="19"/>
        <v>0.40393137143506419</v>
      </c>
    </row>
    <row r="133" spans="1:6" ht="18" customHeight="1" x14ac:dyDescent="0.25">
      <c r="A133" s="99">
        <v>8</v>
      </c>
      <c r="B133" s="100" t="s">
        <v>119</v>
      </c>
      <c r="C133" s="117">
        <v>971</v>
      </c>
      <c r="D133" s="117">
        <v>1020</v>
      </c>
      <c r="E133" s="117">
        <f t="shared" si="18"/>
        <v>49</v>
      </c>
      <c r="F133" s="98">
        <f t="shared" si="19"/>
        <v>5.0463439752832129E-2</v>
      </c>
    </row>
    <row r="134" spans="1:6" ht="18" customHeight="1" x14ac:dyDescent="0.25">
      <c r="A134" s="99">
        <v>9</v>
      </c>
      <c r="B134" s="100" t="s">
        <v>120</v>
      </c>
      <c r="C134" s="117">
        <v>4590</v>
      </c>
      <c r="D134" s="117">
        <v>5933</v>
      </c>
      <c r="E134" s="117">
        <f t="shared" si="18"/>
        <v>1343</v>
      </c>
      <c r="F134" s="98">
        <f t="shared" si="19"/>
        <v>0.29259259259259257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76830</v>
      </c>
      <c r="D137" s="118">
        <f>SUM(D126:D136)</f>
        <v>105453</v>
      </c>
      <c r="E137" s="118">
        <f t="shared" si="18"/>
        <v>28623</v>
      </c>
      <c r="F137" s="104">
        <f t="shared" si="19"/>
        <v>0.3725497852401406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9747474</v>
      </c>
      <c r="D142" s="97">
        <v>11337449</v>
      </c>
      <c r="E142" s="97">
        <f t="shared" ref="E142:E153" si="20">D142-C142</f>
        <v>1589975</v>
      </c>
      <c r="F142" s="98">
        <f t="shared" ref="F142:F153" si="21">IF(C142=0,0,E142/C142)</f>
        <v>0.16311661872604122</v>
      </c>
    </row>
    <row r="143" spans="1:6" ht="18" customHeight="1" x14ac:dyDescent="0.25">
      <c r="A143" s="99">
        <v>2</v>
      </c>
      <c r="B143" s="100" t="s">
        <v>113</v>
      </c>
      <c r="C143" s="97">
        <v>2287029</v>
      </c>
      <c r="D143" s="97">
        <v>2990011</v>
      </c>
      <c r="E143" s="97">
        <f t="shared" si="20"/>
        <v>702982</v>
      </c>
      <c r="F143" s="98">
        <f t="shared" si="21"/>
        <v>0.3073778251172154</v>
      </c>
    </row>
    <row r="144" spans="1:6" ht="18" customHeight="1" x14ac:dyDescent="0.25">
      <c r="A144" s="99">
        <v>3</v>
      </c>
      <c r="B144" s="100" t="s">
        <v>114</v>
      </c>
      <c r="C144" s="97">
        <v>5811180</v>
      </c>
      <c r="D144" s="97">
        <v>14860935</v>
      </c>
      <c r="E144" s="97">
        <f t="shared" si="20"/>
        <v>9049755</v>
      </c>
      <c r="F144" s="98">
        <f t="shared" si="21"/>
        <v>1.557300754752047</v>
      </c>
    </row>
    <row r="145" spans="1:6" ht="18" customHeight="1" x14ac:dyDescent="0.25">
      <c r="A145" s="99">
        <v>4</v>
      </c>
      <c r="B145" s="100" t="s">
        <v>115</v>
      </c>
      <c r="C145" s="97">
        <v>7502770</v>
      </c>
      <c r="D145" s="97">
        <v>1912272</v>
      </c>
      <c r="E145" s="97">
        <f t="shared" si="20"/>
        <v>-5590498</v>
      </c>
      <c r="F145" s="98">
        <f t="shared" si="21"/>
        <v>-0.74512453400544065</v>
      </c>
    </row>
    <row r="146" spans="1:6" ht="18" customHeight="1" x14ac:dyDescent="0.25">
      <c r="A146" s="99">
        <v>5</v>
      </c>
      <c r="B146" s="100" t="s">
        <v>116</v>
      </c>
      <c r="C146" s="97">
        <v>270024</v>
      </c>
      <c r="D146" s="97">
        <v>362869</v>
      </c>
      <c r="E146" s="97">
        <f t="shared" si="20"/>
        <v>92845</v>
      </c>
      <c r="F146" s="98">
        <f t="shared" si="21"/>
        <v>0.34383980683198528</v>
      </c>
    </row>
    <row r="147" spans="1:6" ht="18" customHeight="1" x14ac:dyDescent="0.25">
      <c r="A147" s="99">
        <v>6</v>
      </c>
      <c r="B147" s="100" t="s">
        <v>117</v>
      </c>
      <c r="C147" s="97">
        <v>1562690</v>
      </c>
      <c r="D147" s="97">
        <v>1412276</v>
      </c>
      <c r="E147" s="97">
        <f t="shared" si="20"/>
        <v>-150414</v>
      </c>
      <c r="F147" s="98">
        <f t="shared" si="21"/>
        <v>-9.6253255604118543E-2</v>
      </c>
    </row>
    <row r="148" spans="1:6" ht="18" customHeight="1" x14ac:dyDescent="0.25">
      <c r="A148" s="99">
        <v>7</v>
      </c>
      <c r="B148" s="100" t="s">
        <v>118</v>
      </c>
      <c r="C148" s="97">
        <v>17926064</v>
      </c>
      <c r="D148" s="97">
        <v>19245867</v>
      </c>
      <c r="E148" s="97">
        <f t="shared" si="20"/>
        <v>1319803</v>
      </c>
      <c r="F148" s="98">
        <f t="shared" si="21"/>
        <v>7.3624806873388376E-2</v>
      </c>
    </row>
    <row r="149" spans="1:6" ht="18" customHeight="1" x14ac:dyDescent="0.25">
      <c r="A149" s="99">
        <v>8</v>
      </c>
      <c r="B149" s="100" t="s">
        <v>119</v>
      </c>
      <c r="C149" s="97">
        <v>693779</v>
      </c>
      <c r="D149" s="97">
        <v>781386</v>
      </c>
      <c r="E149" s="97">
        <f t="shared" si="20"/>
        <v>87607</v>
      </c>
      <c r="F149" s="98">
        <f t="shared" si="21"/>
        <v>0.12627508183441702</v>
      </c>
    </row>
    <row r="150" spans="1:6" ht="18" customHeight="1" x14ac:dyDescent="0.25">
      <c r="A150" s="99">
        <v>9</v>
      </c>
      <c r="B150" s="100" t="s">
        <v>120</v>
      </c>
      <c r="C150" s="97">
        <v>1953200</v>
      </c>
      <c r="D150" s="97">
        <v>3766057</v>
      </c>
      <c r="E150" s="97">
        <f t="shared" si="20"/>
        <v>1812857</v>
      </c>
      <c r="F150" s="98">
        <f t="shared" si="21"/>
        <v>0.92814714314970304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63530</v>
      </c>
      <c r="D152" s="97">
        <v>56533</v>
      </c>
      <c r="E152" s="97">
        <f t="shared" si="20"/>
        <v>-6997</v>
      </c>
      <c r="F152" s="98">
        <f t="shared" si="21"/>
        <v>-0.11013694317645208</v>
      </c>
    </row>
    <row r="153" spans="1:6" ht="33.75" customHeight="1" x14ac:dyDescent="0.25">
      <c r="A153" s="101"/>
      <c r="B153" s="102" t="s">
        <v>147</v>
      </c>
      <c r="C153" s="103">
        <f>SUM(C142:C152)</f>
        <v>47817740</v>
      </c>
      <c r="D153" s="103">
        <f>SUM(D142:D152)</f>
        <v>56725655</v>
      </c>
      <c r="E153" s="103">
        <f t="shared" si="20"/>
        <v>8907915</v>
      </c>
      <c r="F153" s="104">
        <f t="shared" si="21"/>
        <v>0.18628891704208522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2177011</v>
      </c>
      <c r="D155" s="97">
        <v>2187906</v>
      </c>
      <c r="E155" s="97">
        <f t="shared" ref="E155:E166" si="22">D155-C155</f>
        <v>10895</v>
      </c>
      <c r="F155" s="98">
        <f t="shared" ref="F155:F166" si="23">IF(C155=0,0,E155/C155)</f>
        <v>5.0045681900550802E-3</v>
      </c>
    </row>
    <row r="156" spans="1:6" ht="18" customHeight="1" x14ac:dyDescent="0.25">
      <c r="A156" s="99">
        <v>2</v>
      </c>
      <c r="B156" s="100" t="s">
        <v>113</v>
      </c>
      <c r="C156" s="97">
        <v>546458</v>
      </c>
      <c r="D156" s="97">
        <v>601503</v>
      </c>
      <c r="E156" s="97">
        <f t="shared" si="22"/>
        <v>55045</v>
      </c>
      <c r="F156" s="98">
        <f t="shared" si="23"/>
        <v>0.10073052274831734</v>
      </c>
    </row>
    <row r="157" spans="1:6" ht="18" customHeight="1" x14ac:dyDescent="0.25">
      <c r="A157" s="99">
        <v>3</v>
      </c>
      <c r="B157" s="100" t="s">
        <v>114</v>
      </c>
      <c r="C157" s="97">
        <v>1115048</v>
      </c>
      <c r="D157" s="97">
        <v>2371685</v>
      </c>
      <c r="E157" s="97">
        <f t="shared" si="22"/>
        <v>1256637</v>
      </c>
      <c r="F157" s="98">
        <f t="shared" si="23"/>
        <v>1.1269801838127147</v>
      </c>
    </row>
    <row r="158" spans="1:6" ht="18" customHeight="1" x14ac:dyDescent="0.25">
      <c r="A158" s="99">
        <v>4</v>
      </c>
      <c r="B158" s="100" t="s">
        <v>115</v>
      </c>
      <c r="C158" s="97">
        <v>1813200</v>
      </c>
      <c r="D158" s="97">
        <v>458746</v>
      </c>
      <c r="E158" s="97">
        <f t="shared" si="22"/>
        <v>-1354454</v>
      </c>
      <c r="F158" s="98">
        <f t="shared" si="23"/>
        <v>-0.74699647032870065</v>
      </c>
    </row>
    <row r="159" spans="1:6" ht="18" customHeight="1" x14ac:dyDescent="0.25">
      <c r="A159" s="99">
        <v>5</v>
      </c>
      <c r="B159" s="100" t="s">
        <v>116</v>
      </c>
      <c r="C159" s="97">
        <v>72686</v>
      </c>
      <c r="D159" s="97">
        <v>76395</v>
      </c>
      <c r="E159" s="97">
        <f t="shared" si="22"/>
        <v>3709</v>
      </c>
      <c r="F159" s="98">
        <f t="shared" si="23"/>
        <v>5.1027708224417358E-2</v>
      </c>
    </row>
    <row r="160" spans="1:6" ht="18" customHeight="1" x14ac:dyDescent="0.25">
      <c r="A160" s="99">
        <v>6</v>
      </c>
      <c r="B160" s="100" t="s">
        <v>117</v>
      </c>
      <c r="C160" s="97">
        <v>1103376</v>
      </c>
      <c r="D160" s="97">
        <v>859248</v>
      </c>
      <c r="E160" s="97">
        <f t="shared" si="22"/>
        <v>-244128</v>
      </c>
      <c r="F160" s="98">
        <f t="shared" si="23"/>
        <v>-0.22125549223474136</v>
      </c>
    </row>
    <row r="161" spans="1:6" ht="18" customHeight="1" x14ac:dyDescent="0.25">
      <c r="A161" s="99">
        <v>7</v>
      </c>
      <c r="B161" s="100" t="s">
        <v>118</v>
      </c>
      <c r="C161" s="97">
        <v>10960510</v>
      </c>
      <c r="D161" s="97">
        <v>10817360</v>
      </c>
      <c r="E161" s="97">
        <f t="shared" si="22"/>
        <v>-143150</v>
      </c>
      <c r="F161" s="98">
        <f t="shared" si="23"/>
        <v>-1.3060523643516588E-2</v>
      </c>
    </row>
    <row r="162" spans="1:6" ht="18" customHeight="1" x14ac:dyDescent="0.25">
      <c r="A162" s="99">
        <v>8</v>
      </c>
      <c r="B162" s="100" t="s">
        <v>119</v>
      </c>
      <c r="C162" s="97">
        <v>480640</v>
      </c>
      <c r="D162" s="97">
        <v>551195</v>
      </c>
      <c r="E162" s="97">
        <f t="shared" si="22"/>
        <v>70555</v>
      </c>
      <c r="F162" s="98">
        <f t="shared" si="23"/>
        <v>0.14679385818908122</v>
      </c>
    </row>
    <row r="163" spans="1:6" ht="18" customHeight="1" x14ac:dyDescent="0.25">
      <c r="A163" s="99">
        <v>9</v>
      </c>
      <c r="B163" s="100" t="s">
        <v>120</v>
      </c>
      <c r="C163" s="97">
        <v>96136</v>
      </c>
      <c r="D163" s="97">
        <v>92693</v>
      </c>
      <c r="E163" s="97">
        <f t="shared" si="22"/>
        <v>-3443</v>
      </c>
      <c r="F163" s="98">
        <f t="shared" si="23"/>
        <v>-3.5813847050012483E-2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15986</v>
      </c>
      <c r="D165" s="97">
        <v>6667</v>
      </c>
      <c r="E165" s="97">
        <f t="shared" si="22"/>
        <v>-9319</v>
      </c>
      <c r="F165" s="98">
        <f t="shared" si="23"/>
        <v>-0.58294757913174022</v>
      </c>
    </row>
    <row r="166" spans="1:6" ht="33.75" customHeight="1" x14ac:dyDescent="0.25">
      <c r="A166" s="101"/>
      <c r="B166" s="102" t="s">
        <v>149</v>
      </c>
      <c r="C166" s="103">
        <f>SUM(C155:C165)</f>
        <v>18381051</v>
      </c>
      <c r="D166" s="103">
        <f>SUM(D155:D165)</f>
        <v>18023398</v>
      </c>
      <c r="E166" s="103">
        <f t="shared" si="22"/>
        <v>-357653</v>
      </c>
      <c r="F166" s="104">
        <f t="shared" si="23"/>
        <v>-1.9457701303369431E-2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3863</v>
      </c>
      <c r="D168" s="117">
        <v>3829</v>
      </c>
      <c r="E168" s="117">
        <f t="shared" ref="E168:E179" si="24">D168-C168</f>
        <v>-34</v>
      </c>
      <c r="F168" s="98">
        <f t="shared" ref="F168:F179" si="25">IF(C168=0,0,E168/C168)</f>
        <v>-8.8014496505306756E-3</v>
      </c>
    </row>
    <row r="169" spans="1:6" ht="18" customHeight="1" x14ac:dyDescent="0.25">
      <c r="A169" s="99">
        <v>2</v>
      </c>
      <c r="B169" s="100" t="s">
        <v>113</v>
      </c>
      <c r="C169" s="117">
        <v>826</v>
      </c>
      <c r="D169" s="117">
        <v>944</v>
      </c>
      <c r="E169" s="117">
        <f t="shared" si="24"/>
        <v>118</v>
      </c>
      <c r="F169" s="98">
        <f t="shared" si="25"/>
        <v>0.14285714285714285</v>
      </c>
    </row>
    <row r="170" spans="1:6" ht="18" customHeight="1" x14ac:dyDescent="0.25">
      <c r="A170" s="99">
        <v>3</v>
      </c>
      <c r="B170" s="100" t="s">
        <v>114</v>
      </c>
      <c r="C170" s="117">
        <v>3236</v>
      </c>
      <c r="D170" s="117">
        <v>7257</v>
      </c>
      <c r="E170" s="117">
        <f t="shared" si="24"/>
        <v>4021</v>
      </c>
      <c r="F170" s="98">
        <f t="shared" si="25"/>
        <v>1.2425834363411619</v>
      </c>
    </row>
    <row r="171" spans="1:6" ht="18" customHeight="1" x14ac:dyDescent="0.25">
      <c r="A171" s="99">
        <v>4</v>
      </c>
      <c r="B171" s="100" t="s">
        <v>115</v>
      </c>
      <c r="C171" s="117">
        <v>4996</v>
      </c>
      <c r="D171" s="117">
        <v>1133</v>
      </c>
      <c r="E171" s="117">
        <f t="shared" si="24"/>
        <v>-3863</v>
      </c>
      <c r="F171" s="98">
        <f t="shared" si="25"/>
        <v>-0.77321857485988787</v>
      </c>
    </row>
    <row r="172" spans="1:6" ht="18" customHeight="1" x14ac:dyDescent="0.25">
      <c r="A172" s="99">
        <v>5</v>
      </c>
      <c r="B172" s="100" t="s">
        <v>116</v>
      </c>
      <c r="C172" s="117">
        <v>145</v>
      </c>
      <c r="D172" s="117">
        <v>187</v>
      </c>
      <c r="E172" s="117">
        <f t="shared" si="24"/>
        <v>42</v>
      </c>
      <c r="F172" s="98">
        <f t="shared" si="25"/>
        <v>0.28965517241379313</v>
      </c>
    </row>
    <row r="173" spans="1:6" ht="18" customHeight="1" x14ac:dyDescent="0.25">
      <c r="A173" s="99">
        <v>6</v>
      </c>
      <c r="B173" s="100" t="s">
        <v>117</v>
      </c>
      <c r="C173" s="117">
        <v>787</v>
      </c>
      <c r="D173" s="117">
        <v>609</v>
      </c>
      <c r="E173" s="117">
        <f t="shared" si="24"/>
        <v>-178</v>
      </c>
      <c r="F173" s="98">
        <f t="shared" si="25"/>
        <v>-0.22617534942820838</v>
      </c>
    </row>
    <row r="174" spans="1:6" ht="18" customHeight="1" x14ac:dyDescent="0.25">
      <c r="A174" s="99">
        <v>7</v>
      </c>
      <c r="B174" s="100" t="s">
        <v>118</v>
      </c>
      <c r="C174" s="117">
        <v>7797</v>
      </c>
      <c r="D174" s="117">
        <v>7827</v>
      </c>
      <c r="E174" s="117">
        <f t="shared" si="24"/>
        <v>30</v>
      </c>
      <c r="F174" s="98">
        <f t="shared" si="25"/>
        <v>3.8476337052712581E-3</v>
      </c>
    </row>
    <row r="175" spans="1:6" ht="18" customHeight="1" x14ac:dyDescent="0.25">
      <c r="A175" s="99">
        <v>8</v>
      </c>
      <c r="B175" s="100" t="s">
        <v>119</v>
      </c>
      <c r="C175" s="117">
        <v>525</v>
      </c>
      <c r="D175" s="117">
        <v>433</v>
      </c>
      <c r="E175" s="117">
        <f t="shared" si="24"/>
        <v>-92</v>
      </c>
      <c r="F175" s="98">
        <f t="shared" si="25"/>
        <v>-0.17523809523809525</v>
      </c>
    </row>
    <row r="176" spans="1:6" ht="18" customHeight="1" x14ac:dyDescent="0.25">
      <c r="A176" s="99">
        <v>9</v>
      </c>
      <c r="B176" s="100" t="s">
        <v>120</v>
      </c>
      <c r="C176" s="117">
        <v>2201</v>
      </c>
      <c r="D176" s="117">
        <v>2039</v>
      </c>
      <c r="E176" s="117">
        <f t="shared" si="24"/>
        <v>-162</v>
      </c>
      <c r="F176" s="98">
        <f t="shared" si="25"/>
        <v>-7.3602907769195813E-2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21</v>
      </c>
      <c r="D178" s="117">
        <v>20</v>
      </c>
      <c r="E178" s="117">
        <f t="shared" si="24"/>
        <v>-1</v>
      </c>
      <c r="F178" s="98">
        <f t="shared" si="25"/>
        <v>-4.7619047619047616E-2</v>
      </c>
    </row>
    <row r="179" spans="1:6" ht="33.75" customHeight="1" x14ac:dyDescent="0.25">
      <c r="A179" s="101"/>
      <c r="B179" s="102" t="s">
        <v>151</v>
      </c>
      <c r="C179" s="118">
        <f>SUM(C168:C178)</f>
        <v>24397</v>
      </c>
      <c r="D179" s="118">
        <f>SUM(D168:D178)</f>
        <v>24278</v>
      </c>
      <c r="E179" s="118">
        <f t="shared" si="24"/>
        <v>-119</v>
      </c>
      <c r="F179" s="104">
        <f t="shared" si="25"/>
        <v>-4.877648891257122E-3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horizontalDpi="1200" verticalDpi="1200"/>
  <headerFooter>
    <oddHeader>&amp;LOFFICE OF HEALTH CARE ACCESS&amp;CTWELVE MONTHS ACTUAL FILING&amp;RROCKVILLE GENERAL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9289670</v>
      </c>
      <c r="D15" s="146">
        <v>9755837</v>
      </c>
      <c r="E15" s="146">
        <f>+D15-C15</f>
        <v>466167</v>
      </c>
      <c r="F15" s="150">
        <f>IF(C15=0,0,E15/C15)</f>
        <v>5.0181222799087585E-2</v>
      </c>
    </row>
    <row r="16" spans="1:7" ht="15" customHeight="1" x14ac:dyDescent="0.2">
      <c r="A16" s="141">
        <v>2</v>
      </c>
      <c r="B16" s="149" t="s">
        <v>158</v>
      </c>
      <c r="C16" s="146">
        <v>2400624</v>
      </c>
      <c r="D16" s="146">
        <v>3035027</v>
      </c>
      <c r="E16" s="146">
        <f>+D16-C16</f>
        <v>634403</v>
      </c>
      <c r="F16" s="150">
        <f>IF(C16=0,0,E16/C16)</f>
        <v>0.26426587420603975</v>
      </c>
    </row>
    <row r="17" spans="1:7" ht="15" customHeight="1" x14ac:dyDescent="0.2">
      <c r="A17" s="141">
        <v>3</v>
      </c>
      <c r="B17" s="149" t="s">
        <v>159</v>
      </c>
      <c r="C17" s="146">
        <v>17845484</v>
      </c>
      <c r="D17" s="146">
        <v>17477527</v>
      </c>
      <c r="E17" s="146">
        <f>+D17-C17</f>
        <v>-367957</v>
      </c>
      <c r="F17" s="150">
        <f>IF(C17=0,0,E17/C17)</f>
        <v>-2.0619054097944331E-2</v>
      </c>
    </row>
    <row r="18" spans="1:7" ht="15.75" customHeight="1" x14ac:dyDescent="0.25">
      <c r="A18" s="141"/>
      <c r="B18" s="151" t="s">
        <v>160</v>
      </c>
      <c r="C18" s="147">
        <f>SUM(C15:C17)</f>
        <v>29535778</v>
      </c>
      <c r="D18" s="147">
        <f>SUM(D15:D17)</f>
        <v>30268391</v>
      </c>
      <c r="E18" s="147">
        <f>+D18-C18</f>
        <v>732613</v>
      </c>
      <c r="F18" s="148">
        <f>IF(C18=0,0,E18/C18)</f>
        <v>2.4804256044990588E-2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3086106</v>
      </c>
      <c r="D21" s="146">
        <v>3613110</v>
      </c>
      <c r="E21" s="146">
        <f>+D21-C21</f>
        <v>527004</v>
      </c>
      <c r="F21" s="150">
        <f>IF(C21=0,0,E21/C21)</f>
        <v>0.17076665545512695</v>
      </c>
    </row>
    <row r="22" spans="1:7" ht="15" customHeight="1" x14ac:dyDescent="0.2">
      <c r="A22" s="141">
        <v>2</v>
      </c>
      <c r="B22" s="149" t="s">
        <v>163</v>
      </c>
      <c r="C22" s="146">
        <v>751111</v>
      </c>
      <c r="D22" s="146">
        <v>1040916</v>
      </c>
      <c r="E22" s="146">
        <f>+D22-C22</f>
        <v>289805</v>
      </c>
      <c r="F22" s="150">
        <f>IF(C22=0,0,E22/C22)</f>
        <v>0.38583511624779826</v>
      </c>
    </row>
    <row r="23" spans="1:7" ht="15" customHeight="1" x14ac:dyDescent="0.2">
      <c r="A23" s="141">
        <v>3</v>
      </c>
      <c r="B23" s="149" t="s">
        <v>164</v>
      </c>
      <c r="C23" s="146">
        <v>5001423</v>
      </c>
      <c r="D23" s="146">
        <v>5388687</v>
      </c>
      <c r="E23" s="146">
        <f>+D23-C23</f>
        <v>387264</v>
      </c>
      <c r="F23" s="150">
        <f>IF(C23=0,0,E23/C23)</f>
        <v>7.7430763204791919E-2</v>
      </c>
    </row>
    <row r="24" spans="1:7" ht="15.75" customHeight="1" x14ac:dyDescent="0.25">
      <c r="A24" s="141"/>
      <c r="B24" s="151" t="s">
        <v>165</v>
      </c>
      <c r="C24" s="147">
        <f>SUM(C21:C23)</f>
        <v>8838640</v>
      </c>
      <c r="D24" s="147">
        <f>SUM(D21:D23)</f>
        <v>10042713</v>
      </c>
      <c r="E24" s="147">
        <f>+D24-C24</f>
        <v>1204073</v>
      </c>
      <c r="F24" s="148">
        <f>IF(C24=0,0,E24/C24)</f>
        <v>0.13622831114289077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0</v>
      </c>
      <c r="D27" s="146">
        <v>0</v>
      </c>
      <c r="E27" s="146">
        <f>+D27-C27</f>
        <v>0</v>
      </c>
      <c r="F27" s="150">
        <f>IF(C27=0,0,E27/C27)</f>
        <v>0</v>
      </c>
    </row>
    <row r="28" spans="1:7" ht="15" customHeight="1" x14ac:dyDescent="0.2">
      <c r="A28" s="141">
        <v>2</v>
      </c>
      <c r="B28" s="149" t="s">
        <v>168</v>
      </c>
      <c r="C28" s="146">
        <v>3261820</v>
      </c>
      <c r="D28" s="146">
        <v>2796725</v>
      </c>
      <c r="E28" s="146">
        <f>+D28-C28</f>
        <v>-465095</v>
      </c>
      <c r="F28" s="150">
        <f>IF(C28=0,0,E28/C28)</f>
        <v>-0.1425875738084873</v>
      </c>
    </row>
    <row r="29" spans="1:7" ht="15" customHeight="1" x14ac:dyDescent="0.2">
      <c r="A29" s="141">
        <v>3</v>
      </c>
      <c r="B29" s="149" t="s">
        <v>169</v>
      </c>
      <c r="C29" s="146">
        <v>0</v>
      </c>
      <c r="D29" s="146">
        <v>0</v>
      </c>
      <c r="E29" s="146">
        <f>+D29-C29</f>
        <v>0</v>
      </c>
      <c r="F29" s="150">
        <f>IF(C29=0,0,E29/C29)</f>
        <v>0</v>
      </c>
    </row>
    <row r="30" spans="1:7" ht="15.75" customHeight="1" x14ac:dyDescent="0.25">
      <c r="A30" s="141"/>
      <c r="B30" s="151" t="s">
        <v>170</v>
      </c>
      <c r="C30" s="147">
        <f>SUM(C27:C29)</f>
        <v>3261820</v>
      </c>
      <c r="D30" s="147">
        <f>SUM(D27:D29)</f>
        <v>2796725</v>
      </c>
      <c r="E30" s="147">
        <f>+D30-C30</f>
        <v>-465095</v>
      </c>
      <c r="F30" s="148">
        <f>IF(C30=0,0,E30/C30)</f>
        <v>-0.1425875738084873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7894502</v>
      </c>
      <c r="D33" s="146">
        <v>9479311</v>
      </c>
      <c r="E33" s="146">
        <f>+D33-C33</f>
        <v>1584809</v>
      </c>
      <c r="F33" s="150">
        <f>IF(C33=0,0,E33/C33)</f>
        <v>0.20074844493040853</v>
      </c>
    </row>
    <row r="34" spans="1:7" ht="15" customHeight="1" x14ac:dyDescent="0.2">
      <c r="A34" s="141">
        <v>2</v>
      </c>
      <c r="B34" s="149" t="s">
        <v>174</v>
      </c>
      <c r="C34" s="146">
        <v>1250917</v>
      </c>
      <c r="D34" s="146">
        <v>1467618</v>
      </c>
      <c r="E34" s="146">
        <f>+D34-C34</f>
        <v>216701</v>
      </c>
      <c r="F34" s="150">
        <f>IF(C34=0,0,E34/C34)</f>
        <v>0.17323371574612864</v>
      </c>
    </row>
    <row r="35" spans="1:7" ht="15.75" customHeight="1" x14ac:dyDescent="0.25">
      <c r="A35" s="141"/>
      <c r="B35" s="151" t="s">
        <v>175</v>
      </c>
      <c r="C35" s="147">
        <f>SUM(C33:C34)</f>
        <v>9145419</v>
      </c>
      <c r="D35" s="147">
        <f>SUM(D33:D34)</f>
        <v>10946929</v>
      </c>
      <c r="E35" s="147">
        <f>+D35-C35</f>
        <v>1801510</v>
      </c>
      <c r="F35" s="148">
        <f>IF(C35=0,0,E35/C35)</f>
        <v>0.19698496044850433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2177192</v>
      </c>
      <c r="D38" s="146">
        <v>2144688</v>
      </c>
      <c r="E38" s="146">
        <f>+D38-C38</f>
        <v>-32504</v>
      </c>
      <c r="F38" s="150">
        <f>IF(C38=0,0,E38/C38)</f>
        <v>-1.4929321805334577E-2</v>
      </c>
    </row>
    <row r="39" spans="1:7" ht="15" customHeight="1" x14ac:dyDescent="0.2">
      <c r="A39" s="141">
        <v>2</v>
      </c>
      <c r="B39" s="149" t="s">
        <v>179</v>
      </c>
      <c r="C39" s="146">
        <v>1495105</v>
      </c>
      <c r="D39" s="146">
        <v>1621971</v>
      </c>
      <c r="E39" s="146">
        <f>+D39-C39</f>
        <v>126866</v>
      </c>
      <c r="F39" s="150">
        <f>IF(C39=0,0,E39/C39)</f>
        <v>8.485424100648449E-2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45293</v>
      </c>
      <c r="E40" s="146">
        <f>+D40-C40</f>
        <v>45293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3672297</v>
      </c>
      <c r="D41" s="147">
        <f>SUM(D38:D40)</f>
        <v>3811952</v>
      </c>
      <c r="E41" s="147">
        <f>+D41-C41</f>
        <v>139655</v>
      </c>
      <c r="F41" s="148">
        <f>IF(C41=0,0,E41/C41)</f>
        <v>3.8029331505594455E-2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2925278</v>
      </c>
      <c r="D44" s="146">
        <v>3309948</v>
      </c>
      <c r="E44" s="146">
        <f>+D44-C44</f>
        <v>384670</v>
      </c>
      <c r="F44" s="150">
        <f>IF(C44=0,0,E44/C44)</f>
        <v>0.13149861312326555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1115177</v>
      </c>
      <c r="D47" s="146">
        <v>719107</v>
      </c>
      <c r="E47" s="146">
        <f>+D47-C47</f>
        <v>-396070</v>
      </c>
      <c r="F47" s="150">
        <f>IF(C47=0,0,E47/C47)</f>
        <v>-0.35516335075059835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765578</v>
      </c>
      <c r="D50" s="146">
        <v>1722659</v>
      </c>
      <c r="E50" s="146">
        <f>+D50-C50</f>
        <v>957081</v>
      </c>
      <c r="F50" s="150">
        <f>IF(C50=0,0,E50/C50)</f>
        <v>1.2501417229857703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74954</v>
      </c>
      <c r="D53" s="146">
        <v>63441</v>
      </c>
      <c r="E53" s="146">
        <f t="shared" ref="E53:E59" si="0">+D53-C53</f>
        <v>-11513</v>
      </c>
      <c r="F53" s="150">
        <f t="shared" ref="F53:F59" si="1">IF(C53=0,0,E53/C53)</f>
        <v>-0.15360087520345811</v>
      </c>
    </row>
    <row r="54" spans="1:7" ht="15" customHeight="1" x14ac:dyDescent="0.2">
      <c r="A54" s="141">
        <v>2</v>
      </c>
      <c r="B54" s="149" t="s">
        <v>193</v>
      </c>
      <c r="C54" s="146">
        <v>264530</v>
      </c>
      <c r="D54" s="146">
        <v>256649</v>
      </c>
      <c r="E54" s="146">
        <f t="shared" si="0"/>
        <v>-7881</v>
      </c>
      <c r="F54" s="150">
        <f t="shared" si="1"/>
        <v>-2.9792462102597058E-2</v>
      </c>
    </row>
    <row r="55" spans="1:7" ht="15" customHeight="1" x14ac:dyDescent="0.2">
      <c r="A55" s="141">
        <v>3</v>
      </c>
      <c r="B55" s="149" t="s">
        <v>194</v>
      </c>
      <c r="C55" s="146">
        <v>45139</v>
      </c>
      <c r="D55" s="146">
        <v>29255</v>
      </c>
      <c r="E55" s="146">
        <f t="shared" si="0"/>
        <v>-15884</v>
      </c>
      <c r="F55" s="150">
        <f t="shared" si="1"/>
        <v>-0.35189082611488959</v>
      </c>
    </row>
    <row r="56" spans="1:7" ht="15" customHeight="1" x14ac:dyDescent="0.2">
      <c r="A56" s="141">
        <v>4</v>
      </c>
      <c r="B56" s="149" t="s">
        <v>195</v>
      </c>
      <c r="C56" s="146">
        <v>622837</v>
      </c>
      <c r="D56" s="146">
        <v>613819</v>
      </c>
      <c r="E56" s="146">
        <f t="shared" si="0"/>
        <v>-9018</v>
      </c>
      <c r="F56" s="150">
        <f t="shared" si="1"/>
        <v>-1.4478908606906782E-2</v>
      </c>
    </row>
    <row r="57" spans="1:7" ht="15" customHeight="1" x14ac:dyDescent="0.2">
      <c r="A57" s="141">
        <v>5</v>
      </c>
      <c r="B57" s="149" t="s">
        <v>196</v>
      </c>
      <c r="C57" s="146">
        <v>217872</v>
      </c>
      <c r="D57" s="146">
        <v>191234</v>
      </c>
      <c r="E57" s="146">
        <f t="shared" si="0"/>
        <v>-26638</v>
      </c>
      <c r="F57" s="150">
        <f t="shared" si="1"/>
        <v>-0.12226444885070133</v>
      </c>
    </row>
    <row r="58" spans="1:7" ht="15" customHeight="1" x14ac:dyDescent="0.2">
      <c r="A58" s="141">
        <v>6</v>
      </c>
      <c r="B58" s="149" t="s">
        <v>197</v>
      </c>
      <c r="C58" s="146">
        <v>53755</v>
      </c>
      <c r="D58" s="146">
        <v>49631</v>
      </c>
      <c r="E58" s="146">
        <f t="shared" si="0"/>
        <v>-4124</v>
      </c>
      <c r="F58" s="150">
        <f t="shared" si="1"/>
        <v>-7.6718444795832952E-2</v>
      </c>
    </row>
    <row r="59" spans="1:7" ht="15.75" customHeight="1" x14ac:dyDescent="0.25">
      <c r="A59" s="141"/>
      <c r="B59" s="151" t="s">
        <v>198</v>
      </c>
      <c r="C59" s="147">
        <f>SUM(C53:C58)</f>
        <v>1279087</v>
      </c>
      <c r="D59" s="147">
        <f>SUM(D53:D58)</f>
        <v>1204029</v>
      </c>
      <c r="E59" s="147">
        <f t="shared" si="0"/>
        <v>-75058</v>
      </c>
      <c r="F59" s="148">
        <f t="shared" si="1"/>
        <v>-5.868091849889804E-2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85712</v>
      </c>
      <c r="D62" s="146">
        <v>77907</v>
      </c>
      <c r="E62" s="146">
        <f t="shared" ref="E62:E90" si="2">+D62-C62</f>
        <v>-7805</v>
      </c>
      <c r="F62" s="150">
        <f t="shared" ref="F62:F90" si="3">IF(C62=0,0,E62/C62)</f>
        <v>-9.1060761620309877E-2</v>
      </c>
    </row>
    <row r="63" spans="1:7" ht="15" customHeight="1" x14ac:dyDescent="0.2">
      <c r="A63" s="141">
        <v>2</v>
      </c>
      <c r="B63" s="149" t="s">
        <v>202</v>
      </c>
      <c r="C63" s="146">
        <v>287888</v>
      </c>
      <c r="D63" s="146">
        <v>343139</v>
      </c>
      <c r="E63" s="146">
        <f t="shared" si="2"/>
        <v>55251</v>
      </c>
      <c r="F63" s="150">
        <f t="shared" si="3"/>
        <v>0.19191838492747179</v>
      </c>
    </row>
    <row r="64" spans="1:7" ht="15" customHeight="1" x14ac:dyDescent="0.2">
      <c r="A64" s="141">
        <v>3</v>
      </c>
      <c r="B64" s="149" t="s">
        <v>203</v>
      </c>
      <c r="C64" s="146">
        <v>194867</v>
      </c>
      <c r="D64" s="146">
        <v>360580</v>
      </c>
      <c r="E64" s="146">
        <f t="shared" si="2"/>
        <v>165713</v>
      </c>
      <c r="F64" s="150">
        <f t="shared" si="3"/>
        <v>0.85039026618154945</v>
      </c>
    </row>
    <row r="65" spans="1:6" ht="15" customHeight="1" x14ac:dyDescent="0.2">
      <c r="A65" s="141">
        <v>4</v>
      </c>
      <c r="B65" s="149" t="s">
        <v>204</v>
      </c>
      <c r="C65" s="146">
        <v>112614</v>
      </c>
      <c r="D65" s="146">
        <v>107528</v>
      </c>
      <c r="E65" s="146">
        <f t="shared" si="2"/>
        <v>-5086</v>
      </c>
      <c r="F65" s="150">
        <f t="shared" si="3"/>
        <v>-4.5163123590317364E-2</v>
      </c>
    </row>
    <row r="66" spans="1:6" ht="15" customHeight="1" x14ac:dyDescent="0.2">
      <c r="A66" s="141">
        <v>5</v>
      </c>
      <c r="B66" s="149" t="s">
        <v>205</v>
      </c>
      <c r="C66" s="146">
        <v>144833</v>
      </c>
      <c r="D66" s="146">
        <v>177929</v>
      </c>
      <c r="E66" s="146">
        <f t="shared" si="2"/>
        <v>33096</v>
      </c>
      <c r="F66" s="150">
        <f t="shared" si="3"/>
        <v>0.22851145802406911</v>
      </c>
    </row>
    <row r="67" spans="1:6" ht="15" customHeight="1" x14ac:dyDescent="0.2">
      <c r="A67" s="141">
        <v>6</v>
      </c>
      <c r="B67" s="149" t="s">
        <v>206</v>
      </c>
      <c r="C67" s="146">
        <v>294024</v>
      </c>
      <c r="D67" s="146">
        <v>648753</v>
      </c>
      <c r="E67" s="146">
        <f t="shared" si="2"/>
        <v>354729</v>
      </c>
      <c r="F67" s="150">
        <f t="shared" si="3"/>
        <v>1.2064627377356951</v>
      </c>
    </row>
    <row r="68" spans="1:6" ht="15" customHeight="1" x14ac:dyDescent="0.2">
      <c r="A68" s="141">
        <v>7</v>
      </c>
      <c r="B68" s="149" t="s">
        <v>207</v>
      </c>
      <c r="C68" s="146">
        <v>1084749</v>
      </c>
      <c r="D68" s="146">
        <v>313128</v>
      </c>
      <c r="E68" s="146">
        <f t="shared" si="2"/>
        <v>-771621</v>
      </c>
      <c r="F68" s="150">
        <f t="shared" si="3"/>
        <v>-0.71133598648166529</v>
      </c>
    </row>
    <row r="69" spans="1:6" ht="15" customHeight="1" x14ac:dyDescent="0.2">
      <c r="A69" s="141">
        <v>8</v>
      </c>
      <c r="B69" s="149" t="s">
        <v>208</v>
      </c>
      <c r="C69" s="146">
        <v>268171</v>
      </c>
      <c r="D69" s="146">
        <v>262877</v>
      </c>
      <c r="E69" s="146">
        <f t="shared" si="2"/>
        <v>-5294</v>
      </c>
      <c r="F69" s="150">
        <f t="shared" si="3"/>
        <v>-1.9741135320373939E-2</v>
      </c>
    </row>
    <row r="70" spans="1:6" ht="15" customHeight="1" x14ac:dyDescent="0.2">
      <c r="A70" s="141">
        <v>9</v>
      </c>
      <c r="B70" s="149" t="s">
        <v>209</v>
      </c>
      <c r="C70" s="146">
        <v>22147</v>
      </c>
      <c r="D70" s="146">
        <v>35294</v>
      </c>
      <c r="E70" s="146">
        <f t="shared" si="2"/>
        <v>13147</v>
      </c>
      <c r="F70" s="150">
        <f t="shared" si="3"/>
        <v>0.59362441865715443</v>
      </c>
    </row>
    <row r="71" spans="1:6" ht="15" customHeight="1" x14ac:dyDescent="0.2">
      <c r="A71" s="141">
        <v>10</v>
      </c>
      <c r="B71" s="149" t="s">
        <v>210</v>
      </c>
      <c r="C71" s="146">
        <v>5396</v>
      </c>
      <c r="D71" s="146">
        <v>5850</v>
      </c>
      <c r="E71" s="146">
        <f t="shared" si="2"/>
        <v>454</v>
      </c>
      <c r="F71" s="150">
        <f t="shared" si="3"/>
        <v>8.4136397331356555E-2</v>
      </c>
    </row>
    <row r="72" spans="1:6" ht="15" customHeight="1" x14ac:dyDescent="0.2">
      <c r="A72" s="141">
        <v>11</v>
      </c>
      <c r="B72" s="149" t="s">
        <v>211</v>
      </c>
      <c r="C72" s="146">
        <v>3804</v>
      </c>
      <c r="D72" s="146">
        <v>0</v>
      </c>
      <c r="E72" s="146">
        <f t="shared" si="2"/>
        <v>-3804</v>
      </c>
      <c r="F72" s="150">
        <f t="shared" si="3"/>
        <v>-1</v>
      </c>
    </row>
    <row r="73" spans="1:6" ht="15" customHeight="1" x14ac:dyDescent="0.2">
      <c r="A73" s="141">
        <v>12</v>
      </c>
      <c r="B73" s="149" t="s">
        <v>212</v>
      </c>
      <c r="C73" s="146">
        <v>239841</v>
      </c>
      <c r="D73" s="146">
        <v>354079</v>
      </c>
      <c r="E73" s="146">
        <f t="shared" si="2"/>
        <v>114238</v>
      </c>
      <c r="F73" s="150">
        <f t="shared" si="3"/>
        <v>0.47630722020004918</v>
      </c>
    </row>
    <row r="74" spans="1:6" ht="15" customHeight="1" x14ac:dyDescent="0.2">
      <c r="A74" s="141">
        <v>13</v>
      </c>
      <c r="B74" s="149" t="s">
        <v>213</v>
      </c>
      <c r="C74" s="146">
        <v>153288</v>
      </c>
      <c r="D74" s="146">
        <v>54125</v>
      </c>
      <c r="E74" s="146">
        <f t="shared" si="2"/>
        <v>-99163</v>
      </c>
      <c r="F74" s="150">
        <f t="shared" si="3"/>
        <v>-0.64690647669745838</v>
      </c>
    </row>
    <row r="75" spans="1:6" ht="15" customHeight="1" x14ac:dyDescent="0.2">
      <c r="A75" s="141">
        <v>14</v>
      </c>
      <c r="B75" s="149" t="s">
        <v>214</v>
      </c>
      <c r="C75" s="146">
        <v>5724</v>
      </c>
      <c r="D75" s="146">
        <v>4676</v>
      </c>
      <c r="E75" s="146">
        <f t="shared" si="2"/>
        <v>-1048</v>
      </c>
      <c r="F75" s="150">
        <f t="shared" si="3"/>
        <v>-0.18308874912648498</v>
      </c>
    </row>
    <row r="76" spans="1:6" ht="15" customHeight="1" x14ac:dyDescent="0.2">
      <c r="A76" s="141">
        <v>15</v>
      </c>
      <c r="B76" s="149" t="s">
        <v>215</v>
      </c>
      <c r="C76" s="146">
        <v>411145</v>
      </c>
      <c r="D76" s="146">
        <v>386116</v>
      </c>
      <c r="E76" s="146">
        <f t="shared" si="2"/>
        <v>-25029</v>
      </c>
      <c r="F76" s="150">
        <f t="shared" si="3"/>
        <v>-6.0876333167130821E-2</v>
      </c>
    </row>
    <row r="77" spans="1:6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6" ht="15" customHeight="1" x14ac:dyDescent="0.2">
      <c r="A78" s="141">
        <v>17</v>
      </c>
      <c r="B78" s="149" t="s">
        <v>217</v>
      </c>
      <c r="C78" s="146">
        <v>0</v>
      </c>
      <c r="D78" s="146">
        <v>984938</v>
      </c>
      <c r="E78" s="146">
        <f t="shared" si="2"/>
        <v>984938</v>
      </c>
      <c r="F78" s="150">
        <f t="shared" si="3"/>
        <v>0</v>
      </c>
    </row>
    <row r="79" spans="1:6" ht="15" customHeight="1" x14ac:dyDescent="0.2">
      <c r="A79" s="141">
        <v>18</v>
      </c>
      <c r="B79" s="149" t="s">
        <v>218</v>
      </c>
      <c r="C79" s="146">
        <v>0</v>
      </c>
      <c r="D79" s="146">
        <v>0</v>
      </c>
      <c r="E79" s="146">
        <f t="shared" si="2"/>
        <v>0</v>
      </c>
      <c r="F79" s="150">
        <f t="shared" si="3"/>
        <v>0</v>
      </c>
    </row>
    <row r="80" spans="1:6" ht="15" customHeight="1" x14ac:dyDescent="0.2">
      <c r="A80" s="141">
        <v>19</v>
      </c>
      <c r="B80" s="149" t="s">
        <v>219</v>
      </c>
      <c r="C80" s="146">
        <v>0</v>
      </c>
      <c r="D80" s="146">
        <v>473200</v>
      </c>
      <c r="E80" s="146">
        <f t="shared" si="2"/>
        <v>473200</v>
      </c>
      <c r="F80" s="150">
        <f t="shared" si="3"/>
        <v>0</v>
      </c>
    </row>
    <row r="81" spans="1:7" ht="15" customHeight="1" x14ac:dyDescent="0.2">
      <c r="A81" s="141">
        <v>20</v>
      </c>
      <c r="B81" s="149" t="s">
        <v>220</v>
      </c>
      <c r="C81" s="146">
        <v>0</v>
      </c>
      <c r="D81" s="146">
        <v>779022</v>
      </c>
      <c r="E81" s="146">
        <f t="shared" si="2"/>
        <v>779022</v>
      </c>
      <c r="F81" s="150">
        <f t="shared" si="3"/>
        <v>0</v>
      </c>
    </row>
    <row r="82" spans="1:7" ht="15" customHeight="1" x14ac:dyDescent="0.2">
      <c r="A82" s="141">
        <v>21</v>
      </c>
      <c r="B82" s="149" t="s">
        <v>221</v>
      </c>
      <c r="C82" s="146">
        <v>0</v>
      </c>
      <c r="D82" s="146">
        <v>261101</v>
      </c>
      <c r="E82" s="146">
        <f t="shared" si="2"/>
        <v>261101</v>
      </c>
      <c r="F82" s="150">
        <f t="shared" si="3"/>
        <v>0</v>
      </c>
    </row>
    <row r="83" spans="1:7" ht="15" customHeight="1" x14ac:dyDescent="0.2">
      <c r="A83" s="141">
        <v>22</v>
      </c>
      <c r="B83" s="149" t="s">
        <v>222</v>
      </c>
      <c r="C83" s="146">
        <v>0</v>
      </c>
      <c r="D83" s="146">
        <v>158906</v>
      </c>
      <c r="E83" s="146">
        <f t="shared" si="2"/>
        <v>158906</v>
      </c>
      <c r="F83" s="150">
        <f t="shared" si="3"/>
        <v>0</v>
      </c>
    </row>
    <row r="84" spans="1:7" ht="15" customHeight="1" x14ac:dyDescent="0.2">
      <c r="A84" s="141">
        <v>23</v>
      </c>
      <c r="B84" s="149" t="s">
        <v>223</v>
      </c>
      <c r="C84" s="146">
        <v>0</v>
      </c>
      <c r="D84" s="146">
        <v>333436</v>
      </c>
      <c r="E84" s="146">
        <f t="shared" si="2"/>
        <v>333436</v>
      </c>
      <c r="F84" s="150">
        <f t="shared" si="3"/>
        <v>0</v>
      </c>
    </row>
    <row r="85" spans="1:7" ht="15" customHeight="1" x14ac:dyDescent="0.2">
      <c r="A85" s="141">
        <v>24</v>
      </c>
      <c r="B85" s="149" t="s">
        <v>224</v>
      </c>
      <c r="C85" s="146">
        <v>0</v>
      </c>
      <c r="D85" s="146">
        <v>0</v>
      </c>
      <c r="E85" s="146">
        <f t="shared" si="2"/>
        <v>0</v>
      </c>
      <c r="F85" s="150">
        <f t="shared" si="3"/>
        <v>0</v>
      </c>
    </row>
    <row r="86" spans="1:7" ht="15" customHeight="1" x14ac:dyDescent="0.2">
      <c r="A86" s="141">
        <v>25</v>
      </c>
      <c r="B86" s="149" t="s">
        <v>225</v>
      </c>
      <c r="C86" s="146">
        <v>0</v>
      </c>
      <c r="D86" s="146">
        <v>81688</v>
      </c>
      <c r="E86" s="146">
        <f t="shared" si="2"/>
        <v>81688</v>
      </c>
      <c r="F86" s="150">
        <f t="shared" si="3"/>
        <v>0</v>
      </c>
    </row>
    <row r="87" spans="1:7" ht="15" customHeight="1" x14ac:dyDescent="0.2">
      <c r="A87" s="141">
        <v>26</v>
      </c>
      <c r="B87" s="149" t="s">
        <v>226</v>
      </c>
      <c r="C87" s="146">
        <v>0</v>
      </c>
      <c r="D87" s="146">
        <v>990388</v>
      </c>
      <c r="E87" s="146">
        <f t="shared" si="2"/>
        <v>990388</v>
      </c>
      <c r="F87" s="150">
        <f t="shared" si="3"/>
        <v>0</v>
      </c>
    </row>
    <row r="88" spans="1:7" ht="15" customHeight="1" x14ac:dyDescent="0.2">
      <c r="A88" s="141">
        <v>27</v>
      </c>
      <c r="B88" s="149" t="s">
        <v>227</v>
      </c>
      <c r="C88" s="146">
        <v>0</v>
      </c>
      <c r="D88" s="146">
        <v>1082565</v>
      </c>
      <c r="E88" s="146">
        <f t="shared" si="2"/>
        <v>1082565</v>
      </c>
      <c r="F88" s="150">
        <f t="shared" si="3"/>
        <v>0</v>
      </c>
    </row>
    <row r="89" spans="1:7" ht="15" customHeight="1" x14ac:dyDescent="0.2">
      <c r="A89" s="141">
        <v>28</v>
      </c>
      <c r="B89" s="149" t="s">
        <v>228</v>
      </c>
      <c r="C89" s="146">
        <v>4163922</v>
      </c>
      <c r="D89" s="146">
        <v>895364</v>
      </c>
      <c r="E89" s="146">
        <f t="shared" si="2"/>
        <v>-3268558</v>
      </c>
      <c r="F89" s="150">
        <f t="shared" si="3"/>
        <v>-0.78497099609454735</v>
      </c>
    </row>
    <row r="90" spans="1:7" ht="15.75" customHeight="1" x14ac:dyDescent="0.25">
      <c r="A90" s="141"/>
      <c r="B90" s="151" t="s">
        <v>229</v>
      </c>
      <c r="C90" s="147">
        <f>SUM(C62:C89)</f>
        <v>7478125</v>
      </c>
      <c r="D90" s="147">
        <f>SUM(D62:D89)</f>
        <v>9172589</v>
      </c>
      <c r="E90" s="147">
        <f t="shared" si="2"/>
        <v>1694464</v>
      </c>
      <c r="F90" s="148">
        <f t="shared" si="3"/>
        <v>0.22658941913915587</v>
      </c>
      <c r="G90" s="124"/>
    </row>
    <row r="91" spans="1:7" ht="15.75" customHeight="1" x14ac:dyDescent="0.25">
      <c r="A91" s="141"/>
      <c r="B91" s="152"/>
      <c r="C91" s="146"/>
      <c r="D91" s="146"/>
      <c r="E91" s="147"/>
      <c r="F91" s="148"/>
      <c r="G91" s="124"/>
    </row>
    <row r="92" spans="1:7" ht="15.75" customHeight="1" x14ac:dyDescent="0.25">
      <c r="A92" s="144" t="s">
        <v>230</v>
      </c>
      <c r="B92" s="145" t="s">
        <v>231</v>
      </c>
      <c r="C92" s="146"/>
      <c r="D92" s="146"/>
      <c r="E92" s="147"/>
      <c r="F92" s="148"/>
      <c r="G92" s="124"/>
    </row>
    <row r="93" spans="1:7" ht="15" customHeight="1" x14ac:dyDescent="0.2">
      <c r="A93" s="141">
        <v>1</v>
      </c>
      <c r="B93" s="149" t="s">
        <v>232</v>
      </c>
      <c r="C93" s="146">
        <v>0</v>
      </c>
      <c r="D93" s="146">
        <v>43912</v>
      </c>
      <c r="E93" s="146">
        <f>+D93-C93</f>
        <v>43912</v>
      </c>
      <c r="F93" s="150">
        <f>IF(C93=0,0,E93/C93)</f>
        <v>0</v>
      </c>
    </row>
    <row r="94" spans="1:7" ht="15.75" customHeight="1" x14ac:dyDescent="0.25">
      <c r="A94" s="141"/>
      <c r="B94" s="152"/>
      <c r="C94" s="146"/>
      <c r="D94" s="146"/>
      <c r="E94" s="147"/>
      <c r="F94" s="148"/>
      <c r="G94" s="124"/>
    </row>
    <row r="95" spans="1:7" ht="15.75" customHeight="1" x14ac:dyDescent="0.25">
      <c r="A95" s="153"/>
      <c r="B95" s="154" t="s">
        <v>233</v>
      </c>
      <c r="C95" s="147">
        <f>+C93+C90+C59+C50+C47+C44+C41+C35+C30+C24+C18</f>
        <v>68017199</v>
      </c>
      <c r="D95" s="147">
        <f>+D93+D90+D59+D50+D47+D44+D41+D35+D30+D24+D18</f>
        <v>74038954</v>
      </c>
      <c r="E95" s="147">
        <f>+D95-C95</f>
        <v>6021755</v>
      </c>
      <c r="F95" s="148">
        <f>IF(C95=0,0,E95/C95)</f>
        <v>8.8532828292444091E-2</v>
      </c>
      <c r="G95" s="155"/>
    </row>
    <row r="96" spans="1:7" ht="15.75" customHeight="1" x14ac:dyDescent="0.25">
      <c r="A96" s="153"/>
      <c r="B96" s="154"/>
      <c r="C96" s="146"/>
      <c r="D96" s="146"/>
      <c r="E96" s="146"/>
      <c r="F96" s="156"/>
      <c r="G96" s="124"/>
    </row>
    <row r="97" spans="1:7" ht="15.75" customHeight="1" x14ac:dyDescent="0.25">
      <c r="A97" s="153"/>
      <c r="B97" s="157" t="s">
        <v>234</v>
      </c>
      <c r="C97" s="146"/>
      <c r="D97" s="146"/>
      <c r="E97" s="146"/>
      <c r="F97" s="156"/>
      <c r="G97" s="124"/>
    </row>
    <row r="98" spans="1:7" ht="15.75" customHeight="1" x14ac:dyDescent="0.25">
      <c r="A98" s="153"/>
      <c r="B98" s="157"/>
      <c r="C98" s="146"/>
      <c r="D98" s="146"/>
      <c r="E98" s="146"/>
      <c r="F98" s="156"/>
      <c r="G98" s="124"/>
    </row>
    <row r="99" spans="1:7" ht="15.75" customHeight="1" x14ac:dyDescent="0.25">
      <c r="A99" s="153"/>
      <c r="B99" s="157"/>
      <c r="C99" s="146"/>
      <c r="D99" s="146"/>
      <c r="E99" s="146"/>
      <c r="F99" s="156"/>
      <c r="G99" s="124"/>
    </row>
    <row r="100" spans="1:7" ht="15.75" customHeight="1" x14ac:dyDescent="0.25">
      <c r="A100" s="158" t="s">
        <v>44</v>
      </c>
      <c r="B100" s="142" t="s">
        <v>235</v>
      </c>
      <c r="C100" s="143"/>
      <c r="D100" s="143"/>
      <c r="E100" s="159"/>
      <c r="F100" s="160"/>
      <c r="G100" s="155"/>
    </row>
    <row r="101" spans="1:7" ht="15.75" customHeight="1" x14ac:dyDescent="0.25">
      <c r="A101" s="141"/>
      <c r="B101" s="142"/>
      <c r="C101" s="143"/>
      <c r="D101" s="143"/>
      <c r="E101" s="159"/>
      <c r="F101" s="160"/>
      <c r="G101" s="155"/>
    </row>
    <row r="102" spans="1:7" ht="15.75" customHeight="1" x14ac:dyDescent="0.25">
      <c r="A102" s="144" t="s">
        <v>110</v>
      </c>
      <c r="B102" s="145" t="s">
        <v>236</v>
      </c>
      <c r="C102" s="146"/>
      <c r="D102" s="146"/>
      <c r="E102" s="147"/>
      <c r="F102" s="160"/>
      <c r="G102" s="155"/>
    </row>
    <row r="103" spans="1:7" ht="15" customHeight="1" x14ac:dyDescent="0.2">
      <c r="A103" s="141">
        <v>1</v>
      </c>
      <c r="B103" s="161" t="s">
        <v>237</v>
      </c>
      <c r="C103" s="146">
        <v>1803466</v>
      </c>
      <c r="D103" s="146">
        <v>1682311</v>
      </c>
      <c r="E103" s="146">
        <f t="shared" ref="E103:E121" si="4">D103-C103</f>
        <v>-121155</v>
      </c>
      <c r="F103" s="150">
        <f t="shared" ref="F103:F121" si="5">IF(C103=0,0,E103/C103)</f>
        <v>-6.717897648195198E-2</v>
      </c>
      <c r="G103" s="155"/>
    </row>
    <row r="104" spans="1:7" ht="15" customHeight="1" x14ac:dyDescent="0.2">
      <c r="A104" s="141">
        <v>2</v>
      </c>
      <c r="B104" s="161" t="s">
        <v>238</v>
      </c>
      <c r="C104" s="146">
        <v>762398</v>
      </c>
      <c r="D104" s="146">
        <v>736083</v>
      </c>
      <c r="E104" s="146">
        <f t="shared" si="4"/>
        <v>-26315</v>
      </c>
      <c r="F104" s="150">
        <f t="shared" si="5"/>
        <v>-3.4516092644524252E-2</v>
      </c>
      <c r="G104" s="155"/>
    </row>
    <row r="105" spans="1:7" ht="15" customHeight="1" x14ac:dyDescent="0.2">
      <c r="A105" s="141">
        <v>3</v>
      </c>
      <c r="B105" s="161" t="s">
        <v>239</v>
      </c>
      <c r="C105" s="146">
        <v>344724</v>
      </c>
      <c r="D105" s="146">
        <v>380537</v>
      </c>
      <c r="E105" s="146">
        <f t="shared" si="4"/>
        <v>35813</v>
      </c>
      <c r="F105" s="150">
        <f t="shared" si="5"/>
        <v>0.10388890822803171</v>
      </c>
      <c r="G105" s="155"/>
    </row>
    <row r="106" spans="1:7" ht="15" customHeight="1" x14ac:dyDescent="0.2">
      <c r="A106" s="141">
        <v>4</v>
      </c>
      <c r="B106" s="161" t="s">
        <v>240</v>
      </c>
      <c r="C106" s="146">
        <v>429212</v>
      </c>
      <c r="D106" s="146">
        <v>464256</v>
      </c>
      <c r="E106" s="146">
        <f t="shared" si="4"/>
        <v>35044</v>
      </c>
      <c r="F106" s="150">
        <f t="shared" si="5"/>
        <v>8.1647297838830235E-2</v>
      </c>
      <c r="G106" s="155"/>
    </row>
    <row r="107" spans="1:7" ht="15" customHeight="1" x14ac:dyDescent="0.2">
      <c r="A107" s="141">
        <v>5</v>
      </c>
      <c r="B107" s="161" t="s">
        <v>241</v>
      </c>
      <c r="C107" s="146">
        <v>1893940</v>
      </c>
      <c r="D107" s="146">
        <v>1856488</v>
      </c>
      <c r="E107" s="146">
        <f t="shared" si="4"/>
        <v>-37452</v>
      </c>
      <c r="F107" s="150">
        <f t="shared" si="5"/>
        <v>-1.9774649672112104E-2</v>
      </c>
      <c r="G107" s="155"/>
    </row>
    <row r="108" spans="1:7" ht="15" customHeight="1" x14ac:dyDescent="0.2">
      <c r="A108" s="141">
        <v>6</v>
      </c>
      <c r="B108" s="161" t="s">
        <v>242</v>
      </c>
      <c r="C108" s="146">
        <v>643788</v>
      </c>
      <c r="D108" s="146">
        <v>599842</v>
      </c>
      <c r="E108" s="146">
        <f t="shared" si="4"/>
        <v>-43946</v>
      </c>
      <c r="F108" s="150">
        <f t="shared" si="5"/>
        <v>-6.8261601645262099E-2</v>
      </c>
      <c r="G108" s="155"/>
    </row>
    <row r="109" spans="1:7" ht="15" customHeight="1" x14ac:dyDescent="0.2">
      <c r="A109" s="141">
        <v>7</v>
      </c>
      <c r="B109" s="161" t="s">
        <v>243</v>
      </c>
      <c r="C109" s="146">
        <v>7221171</v>
      </c>
      <c r="D109" s="146">
        <v>8118389</v>
      </c>
      <c r="E109" s="146">
        <f t="shared" si="4"/>
        <v>897218</v>
      </c>
      <c r="F109" s="150">
        <f t="shared" si="5"/>
        <v>0.12424826942887794</v>
      </c>
      <c r="G109" s="155"/>
    </row>
    <row r="110" spans="1:7" ht="15" customHeight="1" x14ac:dyDescent="0.2">
      <c r="A110" s="141">
        <v>8</v>
      </c>
      <c r="B110" s="161" t="s">
        <v>244</v>
      </c>
      <c r="C110" s="146">
        <v>61727</v>
      </c>
      <c r="D110" s="146">
        <v>88803</v>
      </c>
      <c r="E110" s="146">
        <f t="shared" si="4"/>
        <v>27076</v>
      </c>
      <c r="F110" s="150">
        <f t="shared" si="5"/>
        <v>0.43864111328916033</v>
      </c>
      <c r="G110" s="155"/>
    </row>
    <row r="111" spans="1:7" ht="15" customHeight="1" x14ac:dyDescent="0.2">
      <c r="A111" s="141">
        <v>9</v>
      </c>
      <c r="B111" s="161" t="s">
        <v>245</v>
      </c>
      <c r="C111" s="146">
        <v>232176</v>
      </c>
      <c r="D111" s="146">
        <v>257277</v>
      </c>
      <c r="E111" s="146">
        <f t="shared" si="4"/>
        <v>25101</v>
      </c>
      <c r="F111" s="150">
        <f t="shared" si="5"/>
        <v>0.10811194955550961</v>
      </c>
      <c r="G111" s="155"/>
    </row>
    <row r="112" spans="1:7" ht="15" customHeight="1" x14ac:dyDescent="0.2">
      <c r="A112" s="141">
        <v>10</v>
      </c>
      <c r="B112" s="161" t="s">
        <v>246</v>
      </c>
      <c r="C112" s="146">
        <v>1062510</v>
      </c>
      <c r="D112" s="146">
        <v>1090190</v>
      </c>
      <c r="E112" s="146">
        <f t="shared" si="4"/>
        <v>27680</v>
      </c>
      <c r="F112" s="150">
        <f t="shared" si="5"/>
        <v>2.6051519515110446E-2</v>
      </c>
      <c r="G112" s="155"/>
    </row>
    <row r="113" spans="1:7" ht="15" customHeight="1" x14ac:dyDescent="0.2">
      <c r="A113" s="141">
        <v>11</v>
      </c>
      <c r="B113" s="161" t="s">
        <v>247</v>
      </c>
      <c r="C113" s="146">
        <v>789615</v>
      </c>
      <c r="D113" s="146">
        <v>855721</v>
      </c>
      <c r="E113" s="146">
        <f t="shared" si="4"/>
        <v>66106</v>
      </c>
      <c r="F113" s="150">
        <f t="shared" si="5"/>
        <v>8.3719280915382818E-2</v>
      </c>
      <c r="G113" s="155"/>
    </row>
    <row r="114" spans="1:7" ht="15" customHeight="1" x14ac:dyDescent="0.2">
      <c r="A114" s="141">
        <v>12</v>
      </c>
      <c r="B114" s="161" t="s">
        <v>248</v>
      </c>
      <c r="C114" s="146">
        <v>314893</v>
      </c>
      <c r="D114" s="146">
        <v>347424</v>
      </c>
      <c r="E114" s="146">
        <f t="shared" si="4"/>
        <v>32531</v>
      </c>
      <c r="F114" s="150">
        <f t="shared" si="5"/>
        <v>0.10330810783345454</v>
      </c>
      <c r="G114" s="155"/>
    </row>
    <row r="115" spans="1:7" ht="15" customHeight="1" x14ac:dyDescent="0.2">
      <c r="A115" s="141">
        <v>13</v>
      </c>
      <c r="B115" s="161" t="s">
        <v>249</v>
      </c>
      <c r="C115" s="146">
        <v>1128747</v>
      </c>
      <c r="D115" s="146">
        <v>1126131</v>
      </c>
      <c r="E115" s="146">
        <f t="shared" si="4"/>
        <v>-2616</v>
      </c>
      <c r="F115" s="150">
        <f t="shared" si="5"/>
        <v>-2.3176141331937095E-3</v>
      </c>
      <c r="G115" s="155"/>
    </row>
    <row r="116" spans="1:7" ht="15" customHeight="1" x14ac:dyDescent="0.2">
      <c r="A116" s="141">
        <v>14</v>
      </c>
      <c r="B116" s="161" t="s">
        <v>250</v>
      </c>
      <c r="C116" s="146">
        <v>389095</v>
      </c>
      <c r="D116" s="146">
        <v>343691</v>
      </c>
      <c r="E116" s="146">
        <f t="shared" si="4"/>
        <v>-45404</v>
      </c>
      <c r="F116" s="150">
        <f t="shared" si="5"/>
        <v>-0.11669129647001375</v>
      </c>
      <c r="G116" s="155"/>
    </row>
    <row r="117" spans="1:7" ht="15" customHeight="1" x14ac:dyDescent="0.2">
      <c r="A117" s="141">
        <v>15</v>
      </c>
      <c r="B117" s="161" t="s">
        <v>207</v>
      </c>
      <c r="C117" s="146">
        <v>792584</v>
      </c>
      <c r="D117" s="146">
        <v>878203</v>
      </c>
      <c r="E117" s="146">
        <f t="shared" si="4"/>
        <v>85619</v>
      </c>
      <c r="F117" s="150">
        <f t="shared" si="5"/>
        <v>0.10802514307631746</v>
      </c>
      <c r="G117" s="155"/>
    </row>
    <row r="118" spans="1:7" ht="15" customHeight="1" x14ac:dyDescent="0.2">
      <c r="A118" s="141">
        <v>16</v>
      </c>
      <c r="B118" s="161" t="s">
        <v>251</v>
      </c>
      <c r="C118" s="146">
        <v>226634</v>
      </c>
      <c r="D118" s="146">
        <v>307510</v>
      </c>
      <c r="E118" s="146">
        <f t="shared" si="4"/>
        <v>80876</v>
      </c>
      <c r="F118" s="150">
        <f t="shared" si="5"/>
        <v>0.35685731178905195</v>
      </c>
      <c r="G118" s="155"/>
    </row>
    <row r="119" spans="1:7" ht="15" customHeight="1" x14ac:dyDescent="0.2">
      <c r="A119" s="141">
        <v>17</v>
      </c>
      <c r="B119" s="161" t="s">
        <v>252</v>
      </c>
      <c r="C119" s="146">
        <v>1860176</v>
      </c>
      <c r="D119" s="146">
        <v>1950144</v>
      </c>
      <c r="E119" s="146">
        <f t="shared" si="4"/>
        <v>89968</v>
      </c>
      <c r="F119" s="150">
        <f t="shared" si="5"/>
        <v>4.8365315970101755E-2</v>
      </c>
      <c r="G119" s="155"/>
    </row>
    <row r="120" spans="1:7" ht="15" customHeight="1" x14ac:dyDescent="0.2">
      <c r="A120" s="141">
        <v>18</v>
      </c>
      <c r="B120" s="161" t="s">
        <v>253</v>
      </c>
      <c r="C120" s="146">
        <v>12357220</v>
      </c>
      <c r="D120" s="146">
        <v>13774775</v>
      </c>
      <c r="E120" s="146">
        <f t="shared" si="4"/>
        <v>1417555</v>
      </c>
      <c r="F120" s="150">
        <f t="shared" si="5"/>
        <v>0.11471471738789145</v>
      </c>
      <c r="G120" s="155"/>
    </row>
    <row r="121" spans="1:7" ht="15.75" customHeight="1" x14ac:dyDescent="0.25">
      <c r="A121" s="141"/>
      <c r="B121" s="154" t="s">
        <v>254</v>
      </c>
      <c r="C121" s="147">
        <f>SUM(C103:C120)</f>
        <v>32314076</v>
      </c>
      <c r="D121" s="147">
        <f>SUM(D103:D120)</f>
        <v>34857775</v>
      </c>
      <c r="E121" s="147">
        <f t="shared" si="4"/>
        <v>2543699</v>
      </c>
      <c r="F121" s="148">
        <f t="shared" si="5"/>
        <v>7.8717986551742961E-2</v>
      </c>
      <c r="G121" s="155"/>
    </row>
    <row r="122" spans="1:7" ht="15.75" customHeight="1" x14ac:dyDescent="0.25">
      <c r="A122" s="141"/>
      <c r="B122" s="162"/>
      <c r="C122" s="146"/>
      <c r="D122" s="146"/>
      <c r="E122" s="147"/>
      <c r="F122" s="160"/>
      <c r="G122" s="155"/>
    </row>
    <row r="123" spans="1:7" ht="15.75" customHeight="1" x14ac:dyDescent="0.25">
      <c r="A123" s="144" t="s">
        <v>124</v>
      </c>
      <c r="B123" s="145" t="s">
        <v>255</v>
      </c>
      <c r="C123" s="146"/>
      <c r="D123" s="146"/>
      <c r="E123" s="147"/>
      <c r="F123" s="160"/>
      <c r="G123" s="155"/>
    </row>
    <row r="124" spans="1:7" ht="15" customHeight="1" x14ac:dyDescent="0.2">
      <c r="A124" s="141">
        <v>1</v>
      </c>
      <c r="B124" s="161" t="s">
        <v>256</v>
      </c>
      <c r="C124" s="146">
        <v>2837182</v>
      </c>
      <c r="D124" s="146">
        <v>2348543</v>
      </c>
      <c r="E124" s="146">
        <f t="shared" ref="E124:E130" si="6">D124-C124</f>
        <v>-488639</v>
      </c>
      <c r="F124" s="150">
        <f t="shared" ref="F124:F130" si="7">IF(C124=0,0,E124/C124)</f>
        <v>-0.17222687864225841</v>
      </c>
      <c r="G124" s="155"/>
    </row>
    <row r="125" spans="1:7" ht="15" customHeight="1" x14ac:dyDescent="0.2">
      <c r="A125" s="141">
        <v>2</v>
      </c>
      <c r="B125" s="161" t="s">
        <v>257</v>
      </c>
      <c r="C125" s="146">
        <v>0</v>
      </c>
      <c r="D125" s="146">
        <v>0</v>
      </c>
      <c r="E125" s="146">
        <f t="shared" si="6"/>
        <v>0</v>
      </c>
      <c r="F125" s="150">
        <f t="shared" si="7"/>
        <v>0</v>
      </c>
      <c r="G125" s="155"/>
    </row>
    <row r="126" spans="1:7" ht="15" customHeight="1" x14ac:dyDescent="0.2">
      <c r="A126" s="141">
        <v>3</v>
      </c>
      <c r="B126" s="161" t="s">
        <v>258</v>
      </c>
      <c r="C126" s="146">
        <v>197238</v>
      </c>
      <c r="D126" s="146">
        <v>231304</v>
      </c>
      <c r="E126" s="146">
        <f t="shared" si="6"/>
        <v>34066</v>
      </c>
      <c r="F126" s="150">
        <f t="shared" si="7"/>
        <v>0.17271519686875755</v>
      </c>
      <c r="G126" s="155"/>
    </row>
    <row r="127" spans="1:7" ht="15" customHeight="1" x14ac:dyDescent="0.2">
      <c r="A127" s="141">
        <v>4</v>
      </c>
      <c r="B127" s="161" t="s">
        <v>259</v>
      </c>
      <c r="C127" s="146">
        <v>849579</v>
      </c>
      <c r="D127" s="146">
        <v>838907</v>
      </c>
      <c r="E127" s="146">
        <f t="shared" si="6"/>
        <v>-10672</v>
      </c>
      <c r="F127" s="150">
        <f t="shared" si="7"/>
        <v>-1.2561515762512963E-2</v>
      </c>
      <c r="G127" s="155"/>
    </row>
    <row r="128" spans="1:7" ht="15" customHeight="1" x14ac:dyDescent="0.2">
      <c r="A128" s="141">
        <v>5</v>
      </c>
      <c r="B128" s="161" t="s">
        <v>260</v>
      </c>
      <c r="C128" s="146">
        <v>46528</v>
      </c>
      <c r="D128" s="146">
        <v>41862</v>
      </c>
      <c r="E128" s="146">
        <f t="shared" si="6"/>
        <v>-4666</v>
      </c>
      <c r="F128" s="150">
        <f t="shared" si="7"/>
        <v>-0.10028370013755158</v>
      </c>
      <c r="G128" s="155"/>
    </row>
    <row r="129" spans="1:7" ht="15" customHeight="1" x14ac:dyDescent="0.2">
      <c r="A129" s="141">
        <v>6</v>
      </c>
      <c r="B129" s="161" t="s">
        <v>261</v>
      </c>
      <c r="C129" s="146">
        <v>0</v>
      </c>
      <c r="D129" s="146">
        <v>0</v>
      </c>
      <c r="E129" s="146">
        <f t="shared" si="6"/>
        <v>0</v>
      </c>
      <c r="F129" s="150">
        <f t="shared" si="7"/>
        <v>0</v>
      </c>
      <c r="G129" s="155"/>
    </row>
    <row r="130" spans="1:7" ht="15.75" customHeight="1" x14ac:dyDescent="0.25">
      <c r="A130" s="141"/>
      <c r="B130" s="154" t="s">
        <v>262</v>
      </c>
      <c r="C130" s="147">
        <f>SUM(C124:C129)</f>
        <v>3930527</v>
      </c>
      <c r="D130" s="147">
        <f>SUM(D124:D129)</f>
        <v>3460616</v>
      </c>
      <c r="E130" s="147">
        <f t="shared" si="6"/>
        <v>-469911</v>
      </c>
      <c r="F130" s="148">
        <f t="shared" si="7"/>
        <v>-0.11955419718526294</v>
      </c>
      <c r="G130" s="155"/>
    </row>
    <row r="131" spans="1:7" ht="15.75" customHeight="1" x14ac:dyDescent="0.25">
      <c r="A131" s="141"/>
      <c r="B131" s="162"/>
      <c r="C131" s="146"/>
      <c r="D131" s="146"/>
      <c r="E131" s="147"/>
      <c r="F131" s="160"/>
      <c r="G131" s="155"/>
    </row>
    <row r="132" spans="1:7" ht="15.75" customHeight="1" x14ac:dyDescent="0.25">
      <c r="A132" s="144" t="s">
        <v>141</v>
      </c>
      <c r="B132" s="145" t="s">
        <v>263</v>
      </c>
      <c r="C132" s="146"/>
      <c r="D132" s="146"/>
      <c r="E132" s="147"/>
      <c r="F132" s="160"/>
      <c r="G132" s="155"/>
    </row>
    <row r="133" spans="1:7" ht="15" customHeight="1" x14ac:dyDescent="0.2">
      <c r="A133" s="141">
        <v>1</v>
      </c>
      <c r="B133" s="161" t="s">
        <v>264</v>
      </c>
      <c r="C133" s="146">
        <v>5756016</v>
      </c>
      <c r="D133" s="146">
        <v>8708603</v>
      </c>
      <c r="E133" s="146">
        <f t="shared" ref="E133:E167" si="8">D133-C133</f>
        <v>2952587</v>
      </c>
      <c r="F133" s="150">
        <f t="shared" ref="F133:F167" si="9">IF(C133=0,0,E133/C133)</f>
        <v>0.51295670477635924</v>
      </c>
      <c r="G133" s="155"/>
    </row>
    <row r="134" spans="1:7" ht="15" customHeight="1" x14ac:dyDescent="0.2">
      <c r="A134" s="141">
        <v>2</v>
      </c>
      <c r="B134" s="161" t="s">
        <v>265</v>
      </c>
      <c r="C134" s="146">
        <v>474599</v>
      </c>
      <c r="D134" s="146">
        <v>443111</v>
      </c>
      <c r="E134" s="146">
        <f t="shared" si="8"/>
        <v>-31488</v>
      </c>
      <c r="F134" s="150">
        <f t="shared" si="9"/>
        <v>-6.6346536760507294E-2</v>
      </c>
      <c r="G134" s="155"/>
    </row>
    <row r="135" spans="1:7" ht="15" customHeight="1" x14ac:dyDescent="0.2">
      <c r="A135" s="141">
        <v>3</v>
      </c>
      <c r="B135" s="161" t="s">
        <v>266</v>
      </c>
      <c r="C135" s="146">
        <v>254530</v>
      </c>
      <c r="D135" s="146">
        <v>242021</v>
      </c>
      <c r="E135" s="146">
        <f t="shared" si="8"/>
        <v>-12509</v>
      </c>
      <c r="F135" s="150">
        <f t="shared" si="9"/>
        <v>-4.9145483832947E-2</v>
      </c>
      <c r="G135" s="155"/>
    </row>
    <row r="136" spans="1:7" ht="15" customHeight="1" x14ac:dyDescent="0.2">
      <c r="A136" s="141">
        <v>4</v>
      </c>
      <c r="B136" s="161" t="s">
        <v>267</v>
      </c>
      <c r="C136" s="146">
        <v>786582</v>
      </c>
      <c r="D136" s="146">
        <v>351676</v>
      </c>
      <c r="E136" s="146">
        <f t="shared" si="8"/>
        <v>-434906</v>
      </c>
      <c r="F136" s="150">
        <f t="shared" si="9"/>
        <v>-0.55290611786183763</v>
      </c>
      <c r="G136" s="155"/>
    </row>
    <row r="137" spans="1:7" ht="15" customHeight="1" x14ac:dyDescent="0.2">
      <c r="A137" s="141">
        <v>5</v>
      </c>
      <c r="B137" s="161" t="s">
        <v>268</v>
      </c>
      <c r="C137" s="146">
        <v>1862429</v>
      </c>
      <c r="D137" s="146">
        <v>3086801</v>
      </c>
      <c r="E137" s="146">
        <f t="shared" si="8"/>
        <v>1224372</v>
      </c>
      <c r="F137" s="150">
        <f t="shared" si="9"/>
        <v>0.65740600044350683</v>
      </c>
      <c r="G137" s="155"/>
    </row>
    <row r="138" spans="1:7" ht="15" customHeight="1" x14ac:dyDescent="0.2">
      <c r="A138" s="141">
        <v>6</v>
      </c>
      <c r="B138" s="161" t="s">
        <v>269</v>
      </c>
      <c r="C138" s="146">
        <v>375076</v>
      </c>
      <c r="D138" s="146">
        <v>410065</v>
      </c>
      <c r="E138" s="146">
        <f t="shared" si="8"/>
        <v>34989</v>
      </c>
      <c r="F138" s="150">
        <f t="shared" si="9"/>
        <v>9.3285094220904557E-2</v>
      </c>
      <c r="G138" s="155"/>
    </row>
    <row r="139" spans="1:7" ht="15" customHeight="1" x14ac:dyDescent="0.2">
      <c r="A139" s="141">
        <v>7</v>
      </c>
      <c r="B139" s="161" t="s">
        <v>270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8</v>
      </c>
      <c r="B140" s="161" t="s">
        <v>271</v>
      </c>
      <c r="C140" s="146">
        <v>241031</v>
      </c>
      <c r="D140" s="146">
        <v>281045</v>
      </c>
      <c r="E140" s="146">
        <f t="shared" si="8"/>
        <v>40014</v>
      </c>
      <c r="F140" s="150">
        <f t="shared" si="9"/>
        <v>0.16601184080056092</v>
      </c>
      <c r="G140" s="155"/>
    </row>
    <row r="141" spans="1:7" ht="15" customHeight="1" x14ac:dyDescent="0.2">
      <c r="A141" s="141">
        <v>9</v>
      </c>
      <c r="B141" s="161" t="s">
        <v>272</v>
      </c>
      <c r="C141" s="146">
        <v>347989</v>
      </c>
      <c r="D141" s="146">
        <v>331161</v>
      </c>
      <c r="E141" s="146">
        <f t="shared" si="8"/>
        <v>-16828</v>
      </c>
      <c r="F141" s="150">
        <f t="shared" si="9"/>
        <v>-4.8357850391822728E-2</v>
      </c>
      <c r="G141" s="155"/>
    </row>
    <row r="142" spans="1:7" ht="15" customHeight="1" x14ac:dyDescent="0.2">
      <c r="A142" s="141">
        <v>10</v>
      </c>
      <c r="B142" s="161" t="s">
        <v>273</v>
      </c>
      <c r="C142" s="146">
        <v>3533848</v>
      </c>
      <c r="D142" s="146">
        <v>3190948</v>
      </c>
      <c r="E142" s="146">
        <f t="shared" si="8"/>
        <v>-342900</v>
      </c>
      <c r="F142" s="150">
        <f t="shared" si="9"/>
        <v>-9.7033035942689097E-2</v>
      </c>
      <c r="G142" s="155"/>
    </row>
    <row r="143" spans="1:7" ht="15" customHeight="1" x14ac:dyDescent="0.2">
      <c r="A143" s="141">
        <v>11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12</v>
      </c>
      <c r="B144" s="161" t="s">
        <v>275</v>
      </c>
      <c r="C144" s="146">
        <v>1366068</v>
      </c>
      <c r="D144" s="146">
        <v>1399205</v>
      </c>
      <c r="E144" s="146">
        <f t="shared" si="8"/>
        <v>33137</v>
      </c>
      <c r="F144" s="150">
        <f t="shared" si="9"/>
        <v>2.42572112076412E-2</v>
      </c>
      <c r="G144" s="155"/>
    </row>
    <row r="145" spans="1:7" ht="15" customHeight="1" x14ac:dyDescent="0.2">
      <c r="A145" s="141">
        <v>13</v>
      </c>
      <c r="B145" s="161" t="s">
        <v>276</v>
      </c>
      <c r="C145" s="146">
        <v>129475</v>
      </c>
      <c r="D145" s="146">
        <v>100963</v>
      </c>
      <c r="E145" s="146">
        <f t="shared" si="8"/>
        <v>-28512</v>
      </c>
      <c r="F145" s="150">
        <f t="shared" si="9"/>
        <v>-0.22021239621548561</v>
      </c>
      <c r="G145" s="155"/>
    </row>
    <row r="146" spans="1:7" ht="15" customHeight="1" x14ac:dyDescent="0.2">
      <c r="A146" s="141">
        <v>14</v>
      </c>
      <c r="B146" s="161" t="s">
        <v>277</v>
      </c>
      <c r="C146" s="146">
        <v>22401</v>
      </c>
      <c r="D146" s="146">
        <v>14332</v>
      </c>
      <c r="E146" s="146">
        <f t="shared" si="8"/>
        <v>-8069</v>
      </c>
      <c r="F146" s="150">
        <f t="shared" si="9"/>
        <v>-0.3602071336101067</v>
      </c>
      <c r="G146" s="155"/>
    </row>
    <row r="147" spans="1:7" ht="15" customHeight="1" x14ac:dyDescent="0.2">
      <c r="A147" s="141">
        <v>15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16</v>
      </c>
      <c r="B148" s="161" t="s">
        <v>279</v>
      </c>
      <c r="C148" s="146">
        <v>38902</v>
      </c>
      <c r="D148" s="146">
        <v>36979</v>
      </c>
      <c r="E148" s="146">
        <f t="shared" si="8"/>
        <v>-1923</v>
      </c>
      <c r="F148" s="150">
        <f t="shared" si="9"/>
        <v>-4.9431905814611071E-2</v>
      </c>
      <c r="G148" s="155"/>
    </row>
    <row r="149" spans="1:7" ht="15" customHeight="1" x14ac:dyDescent="0.2">
      <c r="A149" s="141">
        <v>17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18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19</v>
      </c>
      <c r="B151" s="161" t="s">
        <v>282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20</v>
      </c>
      <c r="B152" s="161" t="s">
        <v>283</v>
      </c>
      <c r="C152" s="146">
        <v>1931</v>
      </c>
      <c r="D152" s="146">
        <v>0</v>
      </c>
      <c r="E152" s="146">
        <f t="shared" si="8"/>
        <v>-1931</v>
      </c>
      <c r="F152" s="150">
        <f t="shared" si="9"/>
        <v>-1</v>
      </c>
      <c r="G152" s="155"/>
    </row>
    <row r="153" spans="1:7" ht="15" customHeight="1" x14ac:dyDescent="0.2">
      <c r="A153" s="141">
        <v>21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22</v>
      </c>
      <c r="B154" s="161" t="s">
        <v>285</v>
      </c>
      <c r="C154" s="146">
        <v>0</v>
      </c>
      <c r="D154" s="146">
        <v>0</v>
      </c>
      <c r="E154" s="146">
        <f t="shared" si="8"/>
        <v>0</v>
      </c>
      <c r="F154" s="150">
        <f t="shared" si="9"/>
        <v>0</v>
      </c>
      <c r="G154" s="155"/>
    </row>
    <row r="155" spans="1:7" ht="15" customHeight="1" x14ac:dyDescent="0.2">
      <c r="A155" s="141">
        <v>23</v>
      </c>
      <c r="B155" s="161" t="s">
        <v>286</v>
      </c>
      <c r="C155" s="146">
        <v>116386</v>
      </c>
      <c r="D155" s="146">
        <v>117450</v>
      </c>
      <c r="E155" s="146">
        <f t="shared" si="8"/>
        <v>1064</v>
      </c>
      <c r="F155" s="150">
        <f t="shared" si="9"/>
        <v>9.1419930232158504E-3</v>
      </c>
      <c r="G155" s="155"/>
    </row>
    <row r="156" spans="1:7" ht="15" customHeight="1" x14ac:dyDescent="0.2">
      <c r="A156" s="141">
        <v>24</v>
      </c>
      <c r="B156" s="161" t="s">
        <v>287</v>
      </c>
      <c r="C156" s="146">
        <v>5104059</v>
      </c>
      <c r="D156" s="146">
        <v>5369695</v>
      </c>
      <c r="E156" s="146">
        <f t="shared" si="8"/>
        <v>265636</v>
      </c>
      <c r="F156" s="150">
        <f t="shared" si="9"/>
        <v>5.2044069239795231E-2</v>
      </c>
      <c r="G156" s="155"/>
    </row>
    <row r="157" spans="1:7" ht="15" customHeight="1" x14ac:dyDescent="0.2">
      <c r="A157" s="141">
        <v>25</v>
      </c>
      <c r="B157" s="161" t="s">
        <v>288</v>
      </c>
      <c r="C157" s="146">
        <v>202292</v>
      </c>
      <c r="D157" s="146">
        <v>198592</v>
      </c>
      <c r="E157" s="146">
        <f t="shared" si="8"/>
        <v>-3700</v>
      </c>
      <c r="F157" s="150">
        <f t="shared" si="9"/>
        <v>-1.8290392106459968E-2</v>
      </c>
      <c r="G157" s="155"/>
    </row>
    <row r="158" spans="1:7" ht="15" customHeight="1" x14ac:dyDescent="0.2">
      <c r="A158" s="141">
        <v>26</v>
      </c>
      <c r="B158" s="161" t="s">
        <v>289</v>
      </c>
      <c r="C158" s="146">
        <v>0</v>
      </c>
      <c r="D158" s="146">
        <v>0</v>
      </c>
      <c r="E158" s="146">
        <f t="shared" si="8"/>
        <v>0</v>
      </c>
      <c r="F158" s="150">
        <f t="shared" si="9"/>
        <v>0</v>
      </c>
      <c r="G158" s="155"/>
    </row>
    <row r="159" spans="1:7" ht="15" customHeight="1" x14ac:dyDescent="0.2">
      <c r="A159" s="141">
        <v>27</v>
      </c>
      <c r="B159" s="161" t="s">
        <v>290</v>
      </c>
      <c r="C159" s="146">
        <v>0</v>
      </c>
      <c r="D159" s="146">
        <v>0</v>
      </c>
      <c r="E159" s="146">
        <f t="shared" si="8"/>
        <v>0</v>
      </c>
      <c r="F159" s="150">
        <f t="shared" si="9"/>
        <v>0</v>
      </c>
      <c r="G159" s="155"/>
    </row>
    <row r="160" spans="1:7" ht="15" customHeight="1" x14ac:dyDescent="0.2">
      <c r="A160" s="141">
        <v>28</v>
      </c>
      <c r="B160" s="161" t="s">
        <v>291</v>
      </c>
      <c r="C160" s="146">
        <v>930218</v>
      </c>
      <c r="D160" s="146">
        <v>971607</v>
      </c>
      <c r="E160" s="146">
        <f t="shared" si="8"/>
        <v>41389</v>
      </c>
      <c r="F160" s="150">
        <f t="shared" si="9"/>
        <v>4.4493871329086297E-2</v>
      </c>
      <c r="G160" s="155"/>
    </row>
    <row r="161" spans="1:7" ht="15" customHeight="1" x14ac:dyDescent="0.2">
      <c r="A161" s="141">
        <v>29</v>
      </c>
      <c r="B161" s="161" t="s">
        <v>292</v>
      </c>
      <c r="C161" s="146">
        <v>0</v>
      </c>
      <c r="D161" s="146">
        <v>0</v>
      </c>
      <c r="E161" s="146">
        <f t="shared" si="8"/>
        <v>0</v>
      </c>
      <c r="F161" s="150">
        <f t="shared" si="9"/>
        <v>0</v>
      </c>
      <c r="G161" s="155"/>
    </row>
    <row r="162" spans="1:7" ht="15" customHeight="1" x14ac:dyDescent="0.2">
      <c r="A162" s="141">
        <v>30</v>
      </c>
      <c r="B162" s="161" t="s">
        <v>293</v>
      </c>
      <c r="C162" s="146">
        <v>0</v>
      </c>
      <c r="D162" s="146">
        <v>0</v>
      </c>
      <c r="E162" s="146">
        <f t="shared" si="8"/>
        <v>0</v>
      </c>
      <c r="F162" s="150">
        <f t="shared" si="9"/>
        <v>0</v>
      </c>
      <c r="G162" s="155"/>
    </row>
    <row r="163" spans="1:7" ht="15" customHeight="1" x14ac:dyDescent="0.2">
      <c r="A163" s="141">
        <v>31</v>
      </c>
      <c r="B163" s="161" t="s">
        <v>294</v>
      </c>
      <c r="C163" s="146">
        <v>0</v>
      </c>
      <c r="D163" s="146">
        <v>0</v>
      </c>
      <c r="E163" s="146">
        <f t="shared" si="8"/>
        <v>0</v>
      </c>
      <c r="F163" s="150">
        <f t="shared" si="9"/>
        <v>0</v>
      </c>
      <c r="G163" s="155"/>
    </row>
    <row r="164" spans="1:7" ht="15" customHeight="1" x14ac:dyDescent="0.2">
      <c r="A164" s="141">
        <v>32</v>
      </c>
      <c r="B164" s="161" t="s">
        <v>295</v>
      </c>
      <c r="C164" s="146">
        <v>2139148</v>
      </c>
      <c r="D164" s="146">
        <v>1551119</v>
      </c>
      <c r="E164" s="146">
        <f t="shared" si="8"/>
        <v>-588029</v>
      </c>
      <c r="F164" s="150">
        <f t="shared" si="9"/>
        <v>-0.27488934846957763</v>
      </c>
      <c r="G164" s="155"/>
    </row>
    <row r="165" spans="1:7" ht="15" customHeight="1" x14ac:dyDescent="0.2">
      <c r="A165" s="141">
        <v>33</v>
      </c>
      <c r="B165" s="161" t="s">
        <v>296</v>
      </c>
      <c r="C165" s="146">
        <v>0</v>
      </c>
      <c r="D165" s="146">
        <v>0</v>
      </c>
      <c r="E165" s="146">
        <f t="shared" si="8"/>
        <v>0</v>
      </c>
      <c r="F165" s="150">
        <f t="shared" si="9"/>
        <v>0</v>
      </c>
      <c r="G165" s="155"/>
    </row>
    <row r="166" spans="1:7" ht="15" customHeight="1" x14ac:dyDescent="0.2">
      <c r="A166" s="141">
        <v>34</v>
      </c>
      <c r="B166" s="161" t="s">
        <v>297</v>
      </c>
      <c r="C166" s="146">
        <v>1121812</v>
      </c>
      <c r="D166" s="146">
        <v>1185857</v>
      </c>
      <c r="E166" s="146">
        <f t="shared" si="8"/>
        <v>64045</v>
      </c>
      <c r="F166" s="150">
        <f t="shared" si="9"/>
        <v>5.7090671164152285E-2</v>
      </c>
      <c r="G166" s="155"/>
    </row>
    <row r="167" spans="1:7" ht="15.75" customHeight="1" x14ac:dyDescent="0.25">
      <c r="A167" s="141"/>
      <c r="B167" s="154" t="s">
        <v>298</v>
      </c>
      <c r="C167" s="147">
        <f>SUM(C133:C166)</f>
        <v>24804792</v>
      </c>
      <c r="D167" s="147">
        <f>SUM(D133:D166)</f>
        <v>27991230</v>
      </c>
      <c r="E167" s="147">
        <f t="shared" si="8"/>
        <v>3186438</v>
      </c>
      <c r="F167" s="148">
        <f t="shared" si="9"/>
        <v>0.12846058132638241</v>
      </c>
      <c r="G167" s="155"/>
    </row>
    <row r="168" spans="1:7" ht="15.75" customHeight="1" x14ac:dyDescent="0.25">
      <c r="A168" s="141"/>
      <c r="B168" s="162"/>
      <c r="C168" s="146"/>
      <c r="D168" s="146"/>
      <c r="E168" s="147"/>
      <c r="F168" s="160"/>
      <c r="G168" s="155"/>
    </row>
    <row r="169" spans="1:7" ht="15.75" customHeight="1" x14ac:dyDescent="0.25">
      <c r="A169" s="144" t="s">
        <v>171</v>
      </c>
      <c r="B169" s="145" t="s">
        <v>299</v>
      </c>
      <c r="C169" s="146"/>
      <c r="D169" s="146"/>
      <c r="E169" s="147"/>
      <c r="F169" s="160"/>
      <c r="G169" s="155"/>
    </row>
    <row r="170" spans="1:7" ht="15" customHeight="1" x14ac:dyDescent="0.2">
      <c r="A170" s="141">
        <v>1</v>
      </c>
      <c r="B170" s="161" t="s">
        <v>300</v>
      </c>
      <c r="C170" s="146">
        <v>4032333</v>
      </c>
      <c r="D170" s="146">
        <v>4585481</v>
      </c>
      <c r="E170" s="146">
        <f t="shared" ref="E170:E183" si="10">D170-C170</f>
        <v>553148</v>
      </c>
      <c r="F170" s="150">
        <f t="shared" ref="F170:F183" si="11">IF(C170=0,0,E170/C170)</f>
        <v>0.13717815468117339</v>
      </c>
      <c r="G170" s="155"/>
    </row>
    <row r="171" spans="1:7" ht="15" customHeight="1" x14ac:dyDescent="0.2">
      <c r="A171" s="141">
        <v>2</v>
      </c>
      <c r="B171" s="161" t="s">
        <v>301</v>
      </c>
      <c r="C171" s="146">
        <v>2080955</v>
      </c>
      <c r="D171" s="146">
        <v>2161921</v>
      </c>
      <c r="E171" s="146">
        <f t="shared" si="10"/>
        <v>80966</v>
      </c>
      <c r="F171" s="150">
        <f t="shared" si="11"/>
        <v>3.8908097484087835E-2</v>
      </c>
      <c r="G171" s="155"/>
    </row>
    <row r="172" spans="1:7" ht="15" customHeight="1" x14ac:dyDescent="0.2">
      <c r="A172" s="141">
        <v>3</v>
      </c>
      <c r="B172" s="161" t="s">
        <v>302</v>
      </c>
      <c r="C172" s="146">
        <v>0</v>
      </c>
      <c r="D172" s="146">
        <v>0</v>
      </c>
      <c r="E172" s="146">
        <f t="shared" si="10"/>
        <v>0</v>
      </c>
      <c r="F172" s="150">
        <f t="shared" si="11"/>
        <v>0</v>
      </c>
      <c r="G172" s="155"/>
    </row>
    <row r="173" spans="1:7" ht="15" customHeight="1" x14ac:dyDescent="0.2">
      <c r="A173" s="141">
        <v>4</v>
      </c>
      <c r="B173" s="161" t="s">
        <v>303</v>
      </c>
      <c r="C173" s="146">
        <v>0</v>
      </c>
      <c r="D173" s="146">
        <v>0</v>
      </c>
      <c r="E173" s="146">
        <f t="shared" si="10"/>
        <v>0</v>
      </c>
      <c r="F173" s="150">
        <f t="shared" si="11"/>
        <v>0</v>
      </c>
      <c r="G173" s="155"/>
    </row>
    <row r="174" spans="1:7" ht="15" customHeight="1" x14ac:dyDescent="0.2">
      <c r="A174" s="141">
        <v>5</v>
      </c>
      <c r="B174" s="161" t="s">
        <v>304</v>
      </c>
      <c r="C174" s="146">
        <v>0</v>
      </c>
      <c r="D174" s="146">
        <v>0</v>
      </c>
      <c r="E174" s="146">
        <f t="shared" si="10"/>
        <v>0</v>
      </c>
      <c r="F174" s="150">
        <f t="shared" si="11"/>
        <v>0</v>
      </c>
      <c r="G174" s="155"/>
    </row>
    <row r="175" spans="1:7" ht="15" customHeight="1" x14ac:dyDescent="0.2">
      <c r="A175" s="141">
        <v>6</v>
      </c>
      <c r="B175" s="161" t="s">
        <v>305</v>
      </c>
      <c r="C175" s="146">
        <v>0</v>
      </c>
      <c r="D175" s="146">
        <v>0</v>
      </c>
      <c r="E175" s="146">
        <f t="shared" si="10"/>
        <v>0</v>
      </c>
      <c r="F175" s="150">
        <f t="shared" si="11"/>
        <v>0</v>
      </c>
      <c r="G175" s="155"/>
    </row>
    <row r="176" spans="1:7" ht="15" customHeight="1" x14ac:dyDescent="0.2">
      <c r="A176" s="141">
        <v>7</v>
      </c>
      <c r="B176" s="161" t="s">
        <v>306</v>
      </c>
      <c r="C176" s="146">
        <v>0</v>
      </c>
      <c r="D176" s="146">
        <v>0</v>
      </c>
      <c r="E176" s="146">
        <f t="shared" si="10"/>
        <v>0</v>
      </c>
      <c r="F176" s="150">
        <f t="shared" si="11"/>
        <v>0</v>
      </c>
      <c r="G176" s="155"/>
    </row>
    <row r="177" spans="1:7" ht="15" customHeight="1" x14ac:dyDescent="0.2">
      <c r="A177" s="141">
        <v>8</v>
      </c>
      <c r="B177" s="161" t="s">
        <v>307</v>
      </c>
      <c r="C177" s="146">
        <v>0</v>
      </c>
      <c r="D177" s="146">
        <v>0</v>
      </c>
      <c r="E177" s="146">
        <f t="shared" si="10"/>
        <v>0</v>
      </c>
      <c r="F177" s="150">
        <f t="shared" si="11"/>
        <v>0</v>
      </c>
      <c r="G177" s="155"/>
    </row>
    <row r="178" spans="1:7" ht="15" customHeight="1" x14ac:dyDescent="0.2">
      <c r="A178" s="141">
        <v>9</v>
      </c>
      <c r="B178" s="161" t="s">
        <v>308</v>
      </c>
      <c r="C178" s="146">
        <v>0</v>
      </c>
      <c r="D178" s="146">
        <v>0</v>
      </c>
      <c r="E178" s="146">
        <f t="shared" si="10"/>
        <v>0</v>
      </c>
      <c r="F178" s="150">
        <f t="shared" si="11"/>
        <v>0</v>
      </c>
      <c r="G178" s="155"/>
    </row>
    <row r="179" spans="1:7" ht="15" customHeight="1" x14ac:dyDescent="0.2">
      <c r="A179" s="141">
        <v>10</v>
      </c>
      <c r="B179" s="161" t="s">
        <v>309</v>
      </c>
      <c r="C179" s="146">
        <v>494504</v>
      </c>
      <c r="D179" s="146">
        <v>577825</v>
      </c>
      <c r="E179" s="146">
        <f t="shared" si="10"/>
        <v>83321</v>
      </c>
      <c r="F179" s="150">
        <f t="shared" si="11"/>
        <v>0.16849408700435184</v>
      </c>
      <c r="G179" s="155"/>
    </row>
    <row r="180" spans="1:7" ht="15" customHeight="1" x14ac:dyDescent="0.2">
      <c r="A180" s="141">
        <v>11</v>
      </c>
      <c r="B180" s="161" t="s">
        <v>310</v>
      </c>
      <c r="C180" s="146">
        <v>0</v>
      </c>
      <c r="D180" s="146">
        <v>0</v>
      </c>
      <c r="E180" s="146">
        <f t="shared" si="10"/>
        <v>0</v>
      </c>
      <c r="F180" s="150">
        <f t="shared" si="11"/>
        <v>0</v>
      </c>
      <c r="G180" s="155"/>
    </row>
    <row r="181" spans="1:7" ht="15" customHeight="1" x14ac:dyDescent="0.2">
      <c r="A181" s="141">
        <v>12</v>
      </c>
      <c r="B181" s="161" t="s">
        <v>311</v>
      </c>
      <c r="C181" s="146">
        <v>0</v>
      </c>
      <c r="D181" s="146">
        <v>0</v>
      </c>
      <c r="E181" s="146">
        <f t="shared" si="10"/>
        <v>0</v>
      </c>
      <c r="F181" s="150">
        <f t="shared" si="11"/>
        <v>0</v>
      </c>
      <c r="G181" s="155"/>
    </row>
    <row r="182" spans="1:7" ht="15" customHeight="1" x14ac:dyDescent="0.2">
      <c r="A182" s="141">
        <v>13</v>
      </c>
      <c r="B182" s="161" t="s">
        <v>312</v>
      </c>
      <c r="C182" s="146">
        <v>360012</v>
      </c>
      <c r="D182" s="146">
        <v>404106</v>
      </c>
      <c r="E182" s="146">
        <f t="shared" si="10"/>
        <v>44094</v>
      </c>
      <c r="F182" s="150">
        <f t="shared" si="11"/>
        <v>0.12247925069164362</v>
      </c>
      <c r="G182" s="155"/>
    </row>
    <row r="183" spans="1:7" ht="15.75" customHeight="1" x14ac:dyDescent="0.25">
      <c r="A183" s="141"/>
      <c r="B183" s="154" t="s">
        <v>313</v>
      </c>
      <c r="C183" s="147">
        <f>SUM(C170:C182)</f>
        <v>6967804</v>
      </c>
      <c r="D183" s="147">
        <f>SUM(D170:D182)</f>
        <v>7729333</v>
      </c>
      <c r="E183" s="147">
        <f t="shared" si="10"/>
        <v>761529</v>
      </c>
      <c r="F183" s="148">
        <f t="shared" si="11"/>
        <v>0.10929254037570517</v>
      </c>
      <c r="G183" s="155"/>
    </row>
    <row r="184" spans="1:7" ht="15.75" customHeight="1" x14ac:dyDescent="0.25">
      <c r="A184" s="141"/>
      <c r="B184" s="162"/>
      <c r="C184" s="146"/>
      <c r="D184" s="146"/>
      <c r="E184" s="147"/>
      <c r="F184" s="160"/>
      <c r="G184" s="155"/>
    </row>
    <row r="185" spans="1:7" ht="15.75" customHeight="1" x14ac:dyDescent="0.25">
      <c r="A185" s="144" t="s">
        <v>176</v>
      </c>
      <c r="B185" s="145" t="s">
        <v>314</v>
      </c>
      <c r="C185" s="146"/>
      <c r="D185" s="146"/>
      <c r="E185" s="147"/>
      <c r="F185" s="160"/>
      <c r="G185" s="155"/>
    </row>
    <row r="186" spans="1:7" ht="15" customHeight="1" x14ac:dyDescent="0.2">
      <c r="A186" s="141">
        <v>1</v>
      </c>
      <c r="B186" s="161" t="s">
        <v>315</v>
      </c>
      <c r="C186" s="146">
        <v>0</v>
      </c>
      <c r="D186" s="146">
        <v>0</v>
      </c>
      <c r="E186" s="146">
        <f>D186-C186</f>
        <v>0</v>
      </c>
      <c r="F186" s="150">
        <f>IF(C186=0,0,E186/C186)</f>
        <v>0</v>
      </c>
      <c r="G186" s="155"/>
    </row>
    <row r="187" spans="1:7" ht="15.75" customHeight="1" x14ac:dyDescent="0.25">
      <c r="A187" s="141"/>
      <c r="B187" s="162"/>
      <c r="C187" s="146"/>
      <c r="D187" s="146"/>
      <c r="E187" s="147"/>
      <c r="F187" s="160"/>
      <c r="G187" s="155"/>
    </row>
    <row r="188" spans="1:7" ht="15.75" customHeight="1" x14ac:dyDescent="0.25">
      <c r="A188" s="153"/>
      <c r="B188" s="154" t="s">
        <v>316</v>
      </c>
      <c r="C188" s="147">
        <f>+C186+C183+C167+C130+C121</f>
        <v>68017199</v>
      </c>
      <c r="D188" s="147">
        <f>+D186+D183+D167+D130+D121</f>
        <v>74038954</v>
      </c>
      <c r="E188" s="147">
        <f>D188-C188</f>
        <v>6021755</v>
      </c>
      <c r="F188" s="148">
        <f>IF(C188=0,0,E188/C188)</f>
        <v>8.8532828292444091E-2</v>
      </c>
      <c r="G188" s="155"/>
    </row>
    <row r="189" spans="1:7" ht="15.75" customHeight="1" x14ac:dyDescent="0.25">
      <c r="A189" s="153"/>
      <c r="B189" s="162"/>
      <c r="C189" s="146"/>
      <c r="D189" s="146"/>
      <c r="E189" s="147"/>
      <c r="F189" s="148"/>
      <c r="G189" s="155"/>
    </row>
    <row r="190" spans="1:7" ht="15.75" customHeight="1" x14ac:dyDescent="0.25">
      <c r="A190" s="153"/>
      <c r="B190" s="157" t="s">
        <v>317</v>
      </c>
      <c r="C190" s="146"/>
      <c r="D190" s="146"/>
      <c r="E190" s="147"/>
      <c r="F190" s="148"/>
      <c r="G190" s="155"/>
    </row>
    <row r="191" spans="1:7" ht="15" customHeight="1" x14ac:dyDescent="0.2">
      <c r="A191" s="153"/>
      <c r="B191" s="162"/>
      <c r="C191" s="163"/>
      <c r="D191" s="163"/>
      <c r="E191" s="163"/>
      <c r="F191" s="163"/>
      <c r="G191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FILING&amp;RROCKVILLE GENERAL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318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319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320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64174022</v>
      </c>
      <c r="D11" s="164">
        <v>63387116</v>
      </c>
      <c r="E11" s="51">
        <v>67847638</v>
      </c>
      <c r="F11" s="13"/>
    </row>
    <row r="12" spans="1:6" ht="24" customHeight="1" x14ac:dyDescent="0.25">
      <c r="A12" s="44">
        <v>2</v>
      </c>
      <c r="B12" s="165" t="s">
        <v>321</v>
      </c>
      <c r="C12" s="49">
        <v>5266293</v>
      </c>
      <c r="D12" s="49">
        <v>4793055</v>
      </c>
      <c r="E12" s="49">
        <v>6871608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69440315</v>
      </c>
      <c r="D13" s="51">
        <f>+D11+D12</f>
        <v>68180171</v>
      </c>
      <c r="E13" s="51">
        <f>+E11+E12</f>
        <v>74719246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65883977</v>
      </c>
      <c r="D14" s="49">
        <v>68017199</v>
      </c>
      <c r="E14" s="49">
        <v>74038954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3556338</v>
      </c>
      <c r="D15" s="51">
        <f>+D13-D14</f>
        <v>162972</v>
      </c>
      <c r="E15" s="51">
        <f>+E13-E14</f>
        <v>680292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-468466</v>
      </c>
      <c r="D16" s="49">
        <v>-855256</v>
      </c>
      <c r="E16" s="49">
        <v>-179961</v>
      </c>
      <c r="F16" s="13"/>
    </row>
    <row r="17" spans="1:6" ht="24" customHeight="1" x14ac:dyDescent="0.25">
      <c r="A17" s="44">
        <v>7</v>
      </c>
      <c r="B17" s="45" t="s">
        <v>322</v>
      </c>
      <c r="C17" s="51">
        <f>C15+C16</f>
        <v>3087872</v>
      </c>
      <c r="D17" s="51">
        <f>D15+D16</f>
        <v>-692284</v>
      </c>
      <c r="E17" s="51">
        <f>E15+E16</f>
        <v>500331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323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324</v>
      </c>
      <c r="C20" s="169">
        <f>IF(+C27=0,0,+C24/+C27)</f>
        <v>5.1562167051661903E-2</v>
      </c>
      <c r="D20" s="169">
        <f>IF(+D27=0,0,+D24/+D27)</f>
        <v>2.4206788824018568E-3</v>
      </c>
      <c r="E20" s="169">
        <f>IF(+E27=0,0,+E24/+E27)</f>
        <v>9.1266236320887706E-3</v>
      </c>
      <c r="F20" s="13"/>
    </row>
    <row r="21" spans="1:6" ht="24" customHeight="1" x14ac:dyDescent="0.25">
      <c r="A21" s="25">
        <v>2</v>
      </c>
      <c r="B21" s="48" t="s">
        <v>325</v>
      </c>
      <c r="C21" s="169">
        <f>IF(C27=0,0,+C26/C27)</f>
        <v>-6.7921334108354842E-3</v>
      </c>
      <c r="D21" s="169">
        <f>IF(D27=0,0,+D26/D27)</f>
        <v>-1.270341002287192E-2</v>
      </c>
      <c r="E21" s="169">
        <f>IF(E27=0,0,+E26/E27)</f>
        <v>-2.4143107892703828E-3</v>
      </c>
      <c r="F21" s="13"/>
    </row>
    <row r="22" spans="1:6" ht="24" customHeight="1" x14ac:dyDescent="0.25">
      <c r="A22" s="25">
        <v>3</v>
      </c>
      <c r="B22" s="48" t="s">
        <v>326</v>
      </c>
      <c r="C22" s="169">
        <f>IF(C27=0,0,+C28/C27)</f>
        <v>4.477003364082642E-2</v>
      </c>
      <c r="D22" s="169">
        <f>IF(D27=0,0,+D28/D27)</f>
        <v>-1.0282731140470062E-2</v>
      </c>
      <c r="E22" s="169">
        <f>IF(E27=0,0,+E28/E27)</f>
        <v>6.7123128428183878E-3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3556338</v>
      </c>
      <c r="D24" s="51">
        <f>+D15</f>
        <v>162972</v>
      </c>
      <c r="E24" s="51">
        <f>+E15</f>
        <v>680292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69440315</v>
      </c>
      <c r="D25" s="51">
        <f>+D13</f>
        <v>68180171</v>
      </c>
      <c r="E25" s="51">
        <f>+E13</f>
        <v>74719246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-468466</v>
      </c>
      <c r="D26" s="51">
        <f>+D16</f>
        <v>-855256</v>
      </c>
      <c r="E26" s="51">
        <f>+E16</f>
        <v>-179961</v>
      </c>
      <c r="F26" s="13"/>
    </row>
    <row r="27" spans="1:6" ht="24" customHeight="1" x14ac:dyDescent="0.25">
      <c r="A27" s="21">
        <v>7</v>
      </c>
      <c r="B27" s="48" t="s">
        <v>327</v>
      </c>
      <c r="C27" s="51">
        <f>+C25+C26</f>
        <v>68971849</v>
      </c>
      <c r="D27" s="51">
        <f>+D25+D26</f>
        <v>67324915</v>
      </c>
      <c r="E27" s="51">
        <f>+E25+E26</f>
        <v>74539285</v>
      </c>
      <c r="F27" s="13"/>
    </row>
    <row r="28" spans="1:6" ht="24" customHeight="1" x14ac:dyDescent="0.25">
      <c r="A28" s="21">
        <v>8</v>
      </c>
      <c r="B28" s="45" t="s">
        <v>322</v>
      </c>
      <c r="C28" s="51">
        <f>+C17</f>
        <v>3087872</v>
      </c>
      <c r="D28" s="51">
        <f>+D17</f>
        <v>-692284</v>
      </c>
      <c r="E28" s="51">
        <f>+E17</f>
        <v>500331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328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329</v>
      </c>
      <c r="C31" s="51">
        <v>33744284</v>
      </c>
      <c r="D31" s="51">
        <v>24688727</v>
      </c>
      <c r="E31" s="51">
        <v>17066097</v>
      </c>
      <c r="F31" s="13"/>
    </row>
    <row r="32" spans="1:6" ht="24" customHeight="1" x14ac:dyDescent="0.25">
      <c r="A32" s="25">
        <v>2</v>
      </c>
      <c r="B32" s="48" t="s">
        <v>330</v>
      </c>
      <c r="C32" s="51">
        <v>38664631</v>
      </c>
      <c r="D32" s="51">
        <v>29017364</v>
      </c>
      <c r="E32" s="51">
        <v>21315011</v>
      </c>
      <c r="F32" s="13"/>
    </row>
    <row r="33" spans="1:6" ht="24" customHeight="1" x14ac:dyDescent="0.2">
      <c r="A33" s="25">
        <v>3</v>
      </c>
      <c r="B33" s="48" t="s">
        <v>331</v>
      </c>
      <c r="C33" s="51">
        <v>2202416</v>
      </c>
      <c r="D33" s="51">
        <f>+D32-C32</f>
        <v>-9647267</v>
      </c>
      <c r="E33" s="51">
        <f>+E32-D32</f>
        <v>-7702353</v>
      </c>
      <c r="F33" s="5"/>
    </row>
    <row r="34" spans="1:6" ht="24" customHeight="1" x14ac:dyDescent="0.2">
      <c r="A34" s="25">
        <v>4</v>
      </c>
      <c r="B34" s="48" t="s">
        <v>332</v>
      </c>
      <c r="C34" s="171">
        <v>1.0604</v>
      </c>
      <c r="D34" s="171">
        <f>IF(C32=0,0,+D33/C32)</f>
        <v>-0.2495114203986584</v>
      </c>
      <c r="E34" s="171">
        <f>IF(D32=0,0,+E33/D32)</f>
        <v>-0.26543944515428763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333</v>
      </c>
      <c r="B36" s="41" t="s">
        <v>334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335</v>
      </c>
      <c r="C38" s="172">
        <f>IF((C40+C41)=0,0,+C39/(C40+C41))</f>
        <v>0.43230833208984387</v>
      </c>
      <c r="D38" s="172">
        <f>IF((D40+D41)=0,0,+D39/(D40+D41))</f>
        <v>0.44494748811402574</v>
      </c>
      <c r="E38" s="172">
        <f>IF((E40+E41)=0,0,+E39/(E40+E41))</f>
        <v>0.37980204113753324</v>
      </c>
      <c r="F38" s="5"/>
    </row>
    <row r="39" spans="1:6" ht="24" customHeight="1" x14ac:dyDescent="0.2">
      <c r="A39" s="21">
        <v>2</v>
      </c>
      <c r="B39" s="48" t="s">
        <v>336</v>
      </c>
      <c r="C39" s="51">
        <v>65883977</v>
      </c>
      <c r="D39" s="51">
        <v>68017199</v>
      </c>
      <c r="E39" s="23">
        <v>74038954</v>
      </c>
      <c r="F39" s="5"/>
    </row>
    <row r="40" spans="1:6" ht="24" customHeight="1" x14ac:dyDescent="0.2">
      <c r="A40" s="21">
        <v>3</v>
      </c>
      <c r="B40" s="48" t="s">
        <v>337</v>
      </c>
      <c r="C40" s="51">
        <v>147134140</v>
      </c>
      <c r="D40" s="51">
        <v>148072622</v>
      </c>
      <c r="E40" s="23">
        <v>188069298</v>
      </c>
      <c r="F40" s="5"/>
    </row>
    <row r="41" spans="1:6" ht="24" customHeight="1" x14ac:dyDescent="0.2">
      <c r="A41" s="21">
        <v>4</v>
      </c>
      <c r="B41" s="48" t="s">
        <v>338</v>
      </c>
      <c r="C41" s="51">
        <v>5266293</v>
      </c>
      <c r="D41" s="51">
        <v>4793055</v>
      </c>
      <c r="E41" s="23">
        <v>6871608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339</v>
      </c>
      <c r="C43" s="173">
        <f>IF(C38=0,0,IF((C46-C47)=0,0,((+C44-C45)/(C46-C47)/C38)))</f>
        <v>1.222653111706113</v>
      </c>
      <c r="D43" s="173">
        <f>IF(D38=0,0,IF((D46-D47)=0,0,((+D44-D45)/(D46-D47)/D38)))</f>
        <v>1.309363060306981</v>
      </c>
      <c r="E43" s="173">
        <f>IF(E38=0,0,IF((E46-E47)=0,0,((+E44-E45)/(E46-E47)/E38)))</f>
        <v>1.3668487643880496</v>
      </c>
      <c r="F43" s="5"/>
    </row>
    <row r="44" spans="1:6" ht="24" customHeight="1" x14ac:dyDescent="0.2">
      <c r="A44" s="21">
        <v>6</v>
      </c>
      <c r="B44" s="48" t="s">
        <v>340</v>
      </c>
      <c r="C44" s="51">
        <v>30009695</v>
      </c>
      <c r="D44" s="51">
        <v>31151713</v>
      </c>
      <c r="E44" s="23">
        <v>33998505</v>
      </c>
      <c r="F44" s="5"/>
    </row>
    <row r="45" spans="1:6" ht="24" customHeight="1" x14ac:dyDescent="0.2">
      <c r="A45" s="21">
        <v>7</v>
      </c>
      <c r="B45" s="48" t="s">
        <v>341</v>
      </c>
      <c r="C45" s="51">
        <v>925381</v>
      </c>
      <c r="D45" s="51">
        <v>188102</v>
      </c>
      <c r="E45" s="23">
        <v>257134</v>
      </c>
      <c r="F45" s="5"/>
    </row>
    <row r="46" spans="1:6" ht="24" customHeight="1" x14ac:dyDescent="0.2">
      <c r="A46" s="21">
        <v>8</v>
      </c>
      <c r="B46" s="48" t="s">
        <v>342</v>
      </c>
      <c r="C46" s="51">
        <v>60244853</v>
      </c>
      <c r="D46" s="51">
        <v>57080304</v>
      </c>
      <c r="E46" s="23">
        <v>70753155</v>
      </c>
      <c r="F46" s="5"/>
    </row>
    <row r="47" spans="1:6" ht="24" customHeight="1" x14ac:dyDescent="0.2">
      <c r="A47" s="21">
        <v>9</v>
      </c>
      <c r="B47" s="48" t="s">
        <v>343</v>
      </c>
      <c r="C47" s="51">
        <v>5219611</v>
      </c>
      <c r="D47" s="51">
        <v>3932814</v>
      </c>
      <c r="E47" s="174">
        <v>5757404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344</v>
      </c>
      <c r="C49" s="175">
        <f>IF(C38=0,0,IF(C51=0,0,(C50/C51)/C38))</f>
        <v>0.8630390099285502</v>
      </c>
      <c r="D49" s="175">
        <f>IF(D38=0,0,IF(D51=0,0,(D50/D51)/D38))</f>
        <v>0.76174930624302095</v>
      </c>
      <c r="E49" s="175">
        <f>IF(E38=0,0,IF(E51=0,0,(E50/E51)/E38))</f>
        <v>0.76185022561841642</v>
      </c>
      <c r="F49" s="7"/>
    </row>
    <row r="50" spans="1:6" ht="24" customHeight="1" x14ac:dyDescent="0.25">
      <c r="A50" s="21">
        <v>11</v>
      </c>
      <c r="B50" s="48" t="s">
        <v>345</v>
      </c>
      <c r="C50" s="176">
        <v>23252360</v>
      </c>
      <c r="D50" s="176">
        <v>22836214</v>
      </c>
      <c r="E50" s="176">
        <v>24986318</v>
      </c>
      <c r="F50" s="11"/>
    </row>
    <row r="51" spans="1:6" ht="24" customHeight="1" x14ac:dyDescent="0.25">
      <c r="A51" s="21">
        <v>12</v>
      </c>
      <c r="B51" s="48" t="s">
        <v>346</v>
      </c>
      <c r="C51" s="176">
        <v>62322233</v>
      </c>
      <c r="D51" s="176">
        <v>67375698</v>
      </c>
      <c r="E51" s="176">
        <v>86352590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347</v>
      </c>
      <c r="C53" s="175">
        <f>IF(C38=0,0,IF(C55=0,0,(C54/C55)/C38))</f>
        <v>0.700596429288182</v>
      </c>
      <c r="D53" s="175">
        <f>IF(D38=0,0,IF(D55=0,0,(D54/D55)/D38))</f>
        <v>0.55656466994602161</v>
      </c>
      <c r="E53" s="175">
        <f>IF(E38=0,0,IF(E55=0,0,(E54/E55)/E38))</f>
        <v>0.51550392753860141</v>
      </c>
      <c r="F53" s="13"/>
    </row>
    <row r="54" spans="1:6" ht="24" customHeight="1" x14ac:dyDescent="0.25">
      <c r="A54" s="21">
        <v>14</v>
      </c>
      <c r="B54" s="48" t="s">
        <v>348</v>
      </c>
      <c r="C54" s="176">
        <v>5933583</v>
      </c>
      <c r="D54" s="176">
        <v>5725063</v>
      </c>
      <c r="E54" s="176">
        <v>5921881</v>
      </c>
      <c r="F54" s="13"/>
    </row>
    <row r="55" spans="1:6" ht="24" customHeight="1" x14ac:dyDescent="0.25">
      <c r="A55" s="21">
        <v>15</v>
      </c>
      <c r="B55" s="48" t="s">
        <v>349</v>
      </c>
      <c r="C55" s="176">
        <v>19590950</v>
      </c>
      <c r="D55" s="176">
        <v>23118299</v>
      </c>
      <c r="E55" s="176">
        <v>30246171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350</v>
      </c>
      <c r="C57" s="53">
        <f>+C60*C38</f>
        <v>1890941.7184442384</v>
      </c>
      <c r="D57" s="53">
        <f>+D60*D38</f>
        <v>1667217.7930157664</v>
      </c>
      <c r="E57" s="53">
        <f>+E60*E38</f>
        <v>2089937.0715695452</v>
      </c>
      <c r="F57" s="13"/>
    </row>
    <row r="58" spans="1:6" ht="24" customHeight="1" x14ac:dyDescent="0.25">
      <c r="A58" s="21">
        <v>17</v>
      </c>
      <c r="B58" s="48" t="s">
        <v>351</v>
      </c>
      <c r="C58" s="51">
        <v>772244</v>
      </c>
      <c r="D58" s="51">
        <v>821721</v>
      </c>
      <c r="E58" s="52">
        <v>2192753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3601814</v>
      </c>
      <c r="D59" s="51">
        <v>2925278</v>
      </c>
      <c r="E59" s="52">
        <v>3309948</v>
      </c>
      <c r="F59" s="28"/>
    </row>
    <row r="60" spans="1:6" ht="24" customHeight="1" x14ac:dyDescent="0.25">
      <c r="A60" s="21">
        <v>19</v>
      </c>
      <c r="B60" s="48" t="s">
        <v>352</v>
      </c>
      <c r="C60" s="51">
        <v>4374058</v>
      </c>
      <c r="D60" s="51">
        <v>3746999</v>
      </c>
      <c r="E60" s="52">
        <v>5502701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353</v>
      </c>
      <c r="C62" s="178">
        <f>IF(C63=0,0,+C57/C63)</f>
        <v>2.8701086433264925E-2</v>
      </c>
      <c r="D62" s="178">
        <f>IF(D63=0,0,+D57/D63)</f>
        <v>2.4511709060759272E-2</v>
      </c>
      <c r="E62" s="178">
        <f>IF(E63=0,0,+E57/E63)</f>
        <v>2.8227533732709746E-2</v>
      </c>
      <c r="F62" s="13"/>
    </row>
    <row r="63" spans="1:6" ht="24" customHeight="1" x14ac:dyDescent="0.25">
      <c r="A63" s="21">
        <v>21</v>
      </c>
      <c r="B63" s="45" t="s">
        <v>336</v>
      </c>
      <c r="C63" s="176">
        <v>65883977</v>
      </c>
      <c r="D63" s="176">
        <v>68017199</v>
      </c>
      <c r="E63" s="176">
        <v>74038954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354</v>
      </c>
      <c r="B65" s="41" t="s">
        <v>355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356</v>
      </c>
      <c r="C67" s="179">
        <f>IF(C69=0,0,C68/C69)</f>
        <v>1.7338999562320223</v>
      </c>
      <c r="D67" s="179">
        <f>IF(D69=0,0,D68/D69)</f>
        <v>1.4533583468070208</v>
      </c>
      <c r="E67" s="179">
        <f>IF(E69=0,0,E68/E69)</f>
        <v>1.1980512439745901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32952356</v>
      </c>
      <c r="D68" s="180">
        <v>19531911</v>
      </c>
      <c r="E68" s="180">
        <v>16264552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19004762</v>
      </c>
      <c r="D69" s="180">
        <v>13439157</v>
      </c>
      <c r="E69" s="180">
        <v>13575840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357</v>
      </c>
      <c r="C71" s="181">
        <f>IF((C77/365)=0,0,+C74/(C77/365))</f>
        <v>34.332302144753115</v>
      </c>
      <c r="D71" s="181">
        <f>IF((D77/365)=0,0,+D74/(D77/365))</f>
        <v>26.884813811667627</v>
      </c>
      <c r="E71" s="181">
        <f>IF((E77/365)=0,0,+E74/(E77/365))</f>
        <v>7.6081190964125174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5837411</v>
      </c>
      <c r="D72" s="182">
        <v>4739454</v>
      </c>
      <c r="E72" s="182">
        <v>1463823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358</v>
      </c>
      <c r="C74" s="180">
        <f>+C72+C73</f>
        <v>5837411</v>
      </c>
      <c r="D74" s="180">
        <f>+D72+D73</f>
        <v>4739454</v>
      </c>
      <c r="E74" s="180">
        <f>+E72+E73</f>
        <v>1463823</v>
      </c>
      <c r="F74" s="28"/>
    </row>
    <row r="75" spans="1:6" ht="24" customHeight="1" x14ac:dyDescent="0.25">
      <c r="A75" s="21">
        <v>8</v>
      </c>
      <c r="B75" s="48" t="s">
        <v>336</v>
      </c>
      <c r="C75" s="180">
        <f>+C14</f>
        <v>65883977</v>
      </c>
      <c r="D75" s="180">
        <f>+D14</f>
        <v>68017199</v>
      </c>
      <c r="E75" s="180">
        <f>+E14</f>
        <v>74038954</v>
      </c>
      <c r="F75" s="28"/>
    </row>
    <row r="76" spans="1:6" ht="24" customHeight="1" x14ac:dyDescent="0.25">
      <c r="A76" s="21">
        <v>9</v>
      </c>
      <c r="B76" s="45" t="s">
        <v>359</v>
      </c>
      <c r="C76" s="180">
        <v>3824200</v>
      </c>
      <c r="D76" s="180">
        <v>3672297</v>
      </c>
      <c r="E76" s="180">
        <v>3811952</v>
      </c>
      <c r="F76" s="28"/>
    </row>
    <row r="77" spans="1:6" ht="24" customHeight="1" x14ac:dyDescent="0.25">
      <c r="A77" s="21">
        <v>10</v>
      </c>
      <c r="B77" s="45" t="s">
        <v>360</v>
      </c>
      <c r="C77" s="180">
        <f>+C75-C76</f>
        <v>62059777</v>
      </c>
      <c r="D77" s="180">
        <f>+D75-D76</f>
        <v>64344902</v>
      </c>
      <c r="E77" s="180">
        <f>+E75-E76</f>
        <v>70227002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361</v>
      </c>
      <c r="C79" s="179">
        <f>IF((C84/365)=0,0,+C83/(C84/365))</f>
        <v>56.216316783136946</v>
      </c>
      <c r="D79" s="179">
        <f>IF((D84/365)=0,0,+D83/(D84/365))</f>
        <v>55.062130370468346</v>
      </c>
      <c r="E79" s="179">
        <f>IF((E84/365)=0,0,+E83/(E84/365))</f>
        <v>57.321934405439436</v>
      </c>
      <c r="F79" s="28"/>
    </row>
    <row r="80" spans="1:6" ht="24" customHeight="1" x14ac:dyDescent="0.25">
      <c r="A80" s="21">
        <v>12</v>
      </c>
      <c r="B80" s="188" t="s">
        <v>362</v>
      </c>
      <c r="C80" s="189">
        <v>9664890</v>
      </c>
      <c r="D80" s="189">
        <v>10246785</v>
      </c>
      <c r="E80" s="189">
        <v>10959585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361514</v>
      </c>
      <c r="D81" s="190">
        <v>0</v>
      </c>
      <c r="E81" s="190">
        <v>853555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142494</v>
      </c>
      <c r="D82" s="190">
        <v>684512</v>
      </c>
      <c r="E82" s="190">
        <v>1157913</v>
      </c>
      <c r="F82" s="28"/>
    </row>
    <row r="83" spans="1:6" ht="33.950000000000003" customHeight="1" x14ac:dyDescent="0.25">
      <c r="A83" s="21">
        <v>15</v>
      </c>
      <c r="B83" s="45" t="s">
        <v>363</v>
      </c>
      <c r="C83" s="191">
        <f>+C80+C81-C82</f>
        <v>9883910</v>
      </c>
      <c r="D83" s="191">
        <f>+D80+D81-D82</f>
        <v>9562273</v>
      </c>
      <c r="E83" s="191">
        <f>+E80+E81-E82</f>
        <v>10655227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64174022</v>
      </c>
      <c r="D84" s="191">
        <f>+D11</f>
        <v>63387116</v>
      </c>
      <c r="E84" s="191">
        <f>+E11</f>
        <v>67847638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364</v>
      </c>
      <c r="C86" s="179">
        <f>IF((C90/365)=0,0,+C87/(C90/365))</f>
        <v>111.77510563726325</v>
      </c>
      <c r="D86" s="179">
        <f>IF((D90/365)=0,0,+D87/(D90/365))</f>
        <v>76.234358162516116</v>
      </c>
      <c r="E86" s="179">
        <f>IF((E90/365)=0,0,+E87/(E90/365))</f>
        <v>70.559492202158935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19004762</v>
      </c>
      <c r="D87" s="51">
        <f>+D69</f>
        <v>13439157</v>
      </c>
      <c r="E87" s="51">
        <f>+E69</f>
        <v>13575840</v>
      </c>
      <c r="F87" s="28"/>
    </row>
    <row r="88" spans="1:6" ht="24" customHeight="1" x14ac:dyDescent="0.25">
      <c r="A88" s="21">
        <v>19</v>
      </c>
      <c r="B88" s="48" t="s">
        <v>336</v>
      </c>
      <c r="C88" s="51">
        <f t="shared" ref="C88:E89" si="0">+C75</f>
        <v>65883977</v>
      </c>
      <c r="D88" s="51">
        <f t="shared" si="0"/>
        <v>68017199</v>
      </c>
      <c r="E88" s="51">
        <f t="shared" si="0"/>
        <v>74038954</v>
      </c>
      <c r="F88" s="28"/>
    </row>
    <row r="89" spans="1:6" ht="24" customHeight="1" x14ac:dyDescent="0.25">
      <c r="A89" s="21">
        <v>20</v>
      </c>
      <c r="B89" s="48" t="s">
        <v>359</v>
      </c>
      <c r="C89" s="52">
        <f t="shared" si="0"/>
        <v>3824200</v>
      </c>
      <c r="D89" s="52">
        <f t="shared" si="0"/>
        <v>3672297</v>
      </c>
      <c r="E89" s="52">
        <f t="shared" si="0"/>
        <v>3811952</v>
      </c>
      <c r="F89" s="28"/>
    </row>
    <row r="90" spans="1:6" ht="24" customHeight="1" x14ac:dyDescent="0.25">
      <c r="A90" s="21">
        <v>21</v>
      </c>
      <c r="B90" s="48" t="s">
        <v>365</v>
      </c>
      <c r="C90" s="51">
        <f>+C88-C89</f>
        <v>62059777</v>
      </c>
      <c r="D90" s="51">
        <f>+D88-D89</f>
        <v>64344902</v>
      </c>
      <c r="E90" s="51">
        <f>+E88-E89</f>
        <v>70227002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366</v>
      </c>
      <c r="B92" s="41" t="s">
        <v>367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368</v>
      </c>
      <c r="C94" s="192">
        <f>IF(C96=0,0,(C95/C96)*100)</f>
        <v>40.919856027618465</v>
      </c>
      <c r="D94" s="192">
        <f>IF(D96=0,0,(D95/D96)*100)</f>
        <v>35.218011588360945</v>
      </c>
      <c r="E94" s="192">
        <f>IF(E96=0,0,(E95/E96)*100)</f>
        <v>26.687540323174865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38664631</v>
      </c>
      <c r="D95" s="51">
        <f>+D32</f>
        <v>29017364</v>
      </c>
      <c r="E95" s="51">
        <f>+E32</f>
        <v>21315011</v>
      </c>
      <c r="F95" s="28"/>
    </row>
    <row r="96" spans="1:6" ht="24" customHeight="1" x14ac:dyDescent="0.25">
      <c r="A96" s="21">
        <v>3</v>
      </c>
      <c r="B96" s="48" t="s">
        <v>43</v>
      </c>
      <c r="C96" s="51">
        <v>94488678</v>
      </c>
      <c r="D96" s="51">
        <v>82393533</v>
      </c>
      <c r="E96" s="51">
        <v>79868773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369</v>
      </c>
      <c r="C98" s="192">
        <f>IF(C104=0,0,(C101/C104)*100)</f>
        <v>16.111514011311929</v>
      </c>
      <c r="D98" s="192">
        <f>IF(D104=0,0,(D101/D104)*100)</f>
        <v>7.5828325420164697</v>
      </c>
      <c r="E98" s="192">
        <f>IF(E104=0,0,(E101/E104)*100)</f>
        <v>11.357102005260796</v>
      </c>
      <c r="F98" s="28"/>
    </row>
    <row r="99" spans="1:6" ht="24" customHeight="1" x14ac:dyDescent="0.25">
      <c r="A99" s="21">
        <v>5</v>
      </c>
      <c r="B99" s="48" t="s">
        <v>370</v>
      </c>
      <c r="C99" s="51">
        <f>+C28</f>
        <v>3087872</v>
      </c>
      <c r="D99" s="51">
        <f>+D28</f>
        <v>-692284</v>
      </c>
      <c r="E99" s="51">
        <f>+E28</f>
        <v>500331</v>
      </c>
      <c r="F99" s="28"/>
    </row>
    <row r="100" spans="1:6" ht="24" customHeight="1" x14ac:dyDescent="0.25">
      <c r="A100" s="21">
        <v>6</v>
      </c>
      <c r="B100" s="48" t="s">
        <v>359</v>
      </c>
      <c r="C100" s="52">
        <f>+C76</f>
        <v>3824200</v>
      </c>
      <c r="D100" s="52">
        <f>+D76</f>
        <v>3672297</v>
      </c>
      <c r="E100" s="52">
        <f>+E76</f>
        <v>3811952</v>
      </c>
      <c r="F100" s="28"/>
    </row>
    <row r="101" spans="1:6" ht="24" customHeight="1" x14ac:dyDescent="0.25">
      <c r="A101" s="21">
        <v>7</v>
      </c>
      <c r="B101" s="48" t="s">
        <v>371</v>
      </c>
      <c r="C101" s="51">
        <f>+C99+C100</f>
        <v>6912072</v>
      </c>
      <c r="D101" s="51">
        <f>+D99+D100</f>
        <v>2980013</v>
      </c>
      <c r="E101" s="51">
        <f>+E99+E100</f>
        <v>4312283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19004762</v>
      </c>
      <c r="D102" s="180">
        <f>+D69</f>
        <v>13439157</v>
      </c>
      <c r="E102" s="180">
        <f>+E69</f>
        <v>13575840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23896681</v>
      </c>
      <c r="D103" s="194">
        <v>25860313</v>
      </c>
      <c r="E103" s="194">
        <v>24394084</v>
      </c>
      <c r="F103" s="28"/>
    </row>
    <row r="104" spans="1:6" ht="24" customHeight="1" x14ac:dyDescent="0.25">
      <c r="A104" s="21">
        <v>10</v>
      </c>
      <c r="B104" s="195" t="s">
        <v>372</v>
      </c>
      <c r="C104" s="180">
        <f>+C102+C103</f>
        <v>42901443</v>
      </c>
      <c r="D104" s="180">
        <f>+D102+D103</f>
        <v>39299470</v>
      </c>
      <c r="E104" s="180">
        <f>+E102+E103</f>
        <v>37969924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373</v>
      </c>
      <c r="C106" s="197">
        <f>IF(C109=0,0,(C107/C109)*100)</f>
        <v>38.197218434293703</v>
      </c>
      <c r="D106" s="197">
        <f>IF(D109=0,0,(D107/D109)*100)</f>
        <v>47.123556268608091</v>
      </c>
      <c r="E106" s="197">
        <f>IF(E109=0,0,(E107/E109)*100)</f>
        <v>53.368118533084065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23896681</v>
      </c>
      <c r="D107" s="180">
        <f>+D103</f>
        <v>25860313</v>
      </c>
      <c r="E107" s="180">
        <f>+E103</f>
        <v>24394084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38664631</v>
      </c>
      <c r="D108" s="180">
        <f>+D32</f>
        <v>29017364</v>
      </c>
      <c r="E108" s="180">
        <f>+E32</f>
        <v>21315011</v>
      </c>
      <c r="F108" s="28"/>
    </row>
    <row r="109" spans="1:6" ht="24" customHeight="1" x14ac:dyDescent="0.25">
      <c r="A109" s="17">
        <v>14</v>
      </c>
      <c r="B109" s="48" t="s">
        <v>374</v>
      </c>
      <c r="C109" s="180">
        <f>+C107+C108</f>
        <v>62561312</v>
      </c>
      <c r="D109" s="180">
        <f>+D107+D108</f>
        <v>54877677</v>
      </c>
      <c r="E109" s="180">
        <f>+E107+E108</f>
        <v>45709095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375</v>
      </c>
      <c r="C111" s="197">
        <f>IF((+C113+C115)=0,0,((+C112+C113+C114)/(+C113+C115)))</f>
        <v>2.9501922018366304</v>
      </c>
      <c r="D111" s="197">
        <f>IF((+D113+D115)=0,0,((+D112+D113+D114)/(+D113+D115)))</f>
        <v>0.22706536867079105</v>
      </c>
      <c r="E111" s="197">
        <f>IF((+E113+E115)=0,0,((+E112+E113+E114)/(+E113+E115)))</f>
        <v>1.6568190552022752</v>
      </c>
    </row>
    <row r="112" spans="1:6" ht="24" customHeight="1" x14ac:dyDescent="0.25">
      <c r="A112" s="17">
        <v>16</v>
      </c>
      <c r="B112" s="48" t="s">
        <v>376</v>
      </c>
      <c r="C112" s="180">
        <f>+C17</f>
        <v>3087872</v>
      </c>
      <c r="D112" s="180">
        <f>+D17</f>
        <v>-692284</v>
      </c>
      <c r="E112" s="180">
        <f>+E17</f>
        <v>500331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1507868</v>
      </c>
      <c r="D113" s="180">
        <v>1115177</v>
      </c>
      <c r="E113" s="180">
        <v>719107</v>
      </c>
      <c r="F113" s="28"/>
    </row>
    <row r="114" spans="1:8" ht="24" customHeight="1" x14ac:dyDescent="0.25">
      <c r="A114" s="17">
        <v>18</v>
      </c>
      <c r="B114" s="48" t="s">
        <v>377</v>
      </c>
      <c r="C114" s="180">
        <v>3824200</v>
      </c>
      <c r="D114" s="180">
        <v>3672297</v>
      </c>
      <c r="E114" s="180">
        <v>3811952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1346163</v>
      </c>
      <c r="D115" s="180">
        <v>16920114</v>
      </c>
      <c r="E115" s="180">
        <v>2317670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378</v>
      </c>
      <c r="B117" s="30" t="s">
        <v>379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380</v>
      </c>
      <c r="C119" s="197">
        <f>IF(+C121=0,0,(+C120)/(+C121))</f>
        <v>14.406702839809633</v>
      </c>
      <c r="D119" s="197">
        <f>IF(+D121=0,0,(+D120)/(+D121))</f>
        <v>16.185260614814108</v>
      </c>
      <c r="E119" s="197">
        <f>IF(+E121=0,0,(+E120)/(+E121))</f>
        <v>16.565405335639063</v>
      </c>
    </row>
    <row r="120" spans="1:8" ht="24" customHeight="1" x14ac:dyDescent="0.25">
      <c r="A120" s="17">
        <v>21</v>
      </c>
      <c r="B120" s="48" t="s">
        <v>381</v>
      </c>
      <c r="C120" s="180">
        <v>55094113</v>
      </c>
      <c r="D120" s="180">
        <v>59437084</v>
      </c>
      <c r="E120" s="180">
        <v>63146530</v>
      </c>
      <c r="F120" s="28"/>
    </row>
    <row r="121" spans="1:8" ht="24" customHeight="1" x14ac:dyDescent="0.25">
      <c r="A121" s="17">
        <v>22</v>
      </c>
      <c r="B121" s="48" t="s">
        <v>377</v>
      </c>
      <c r="C121" s="180">
        <v>3824200</v>
      </c>
      <c r="D121" s="180">
        <v>3672297</v>
      </c>
      <c r="E121" s="180">
        <v>3811952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382</v>
      </c>
      <c r="B123" s="30" t="s">
        <v>383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384</v>
      </c>
      <c r="C124" s="198">
        <v>14180</v>
      </c>
      <c r="D124" s="198">
        <v>12370</v>
      </c>
      <c r="E124" s="198">
        <v>13056</v>
      </c>
    </row>
    <row r="125" spans="1:8" ht="24" customHeight="1" x14ac:dyDescent="0.2">
      <c r="A125" s="44">
        <v>2</v>
      </c>
      <c r="B125" s="48" t="s">
        <v>385</v>
      </c>
      <c r="C125" s="198">
        <v>3386</v>
      </c>
      <c r="D125" s="198">
        <v>2515</v>
      </c>
      <c r="E125" s="198">
        <v>2519</v>
      </c>
    </row>
    <row r="126" spans="1:8" ht="24" customHeight="1" x14ac:dyDescent="0.2">
      <c r="A126" s="44">
        <v>3</v>
      </c>
      <c r="B126" s="48" t="s">
        <v>386</v>
      </c>
      <c r="C126" s="199">
        <f>IF(C125=0,0,C124/C125)</f>
        <v>4.1878322504430008</v>
      </c>
      <c r="D126" s="199">
        <f>IF(D125=0,0,D124/D125)</f>
        <v>4.9184890656063622</v>
      </c>
      <c r="E126" s="199">
        <f>IF(E125=0,0,E124/E125)</f>
        <v>5.1830091306073838</v>
      </c>
    </row>
    <row r="127" spans="1:8" ht="24" customHeight="1" x14ac:dyDescent="0.2">
      <c r="A127" s="44">
        <v>4</v>
      </c>
      <c r="B127" s="48" t="s">
        <v>387</v>
      </c>
      <c r="C127" s="198">
        <v>66</v>
      </c>
      <c r="D127" s="198">
        <v>66</v>
      </c>
      <c r="E127" s="198">
        <v>47</v>
      </c>
    </row>
    <row r="128" spans="1:8" ht="24" customHeight="1" x14ac:dyDescent="0.2">
      <c r="A128" s="44">
        <v>5</v>
      </c>
      <c r="B128" s="48" t="s">
        <v>388</v>
      </c>
      <c r="C128" s="198">
        <v>0</v>
      </c>
      <c r="D128" s="198">
        <v>118</v>
      </c>
      <c r="E128" s="198">
        <v>118</v>
      </c>
      <c r="G128" s="6"/>
      <c r="H128" s="12"/>
    </row>
    <row r="129" spans="1:8" ht="24" customHeight="1" x14ac:dyDescent="0.2">
      <c r="A129" s="44">
        <v>6</v>
      </c>
      <c r="B129" s="48" t="s">
        <v>389</v>
      </c>
      <c r="C129" s="198">
        <v>118</v>
      </c>
      <c r="D129" s="198">
        <v>118</v>
      </c>
      <c r="E129" s="198">
        <v>118</v>
      </c>
      <c r="G129" s="6"/>
      <c r="H129" s="12"/>
    </row>
    <row r="130" spans="1:8" ht="24" customHeight="1" x14ac:dyDescent="0.2">
      <c r="A130" s="44">
        <v>6</v>
      </c>
      <c r="B130" s="48" t="s">
        <v>390</v>
      </c>
      <c r="C130" s="171">
        <v>0.58860000000000001</v>
      </c>
      <c r="D130" s="171">
        <v>0.51339999999999997</v>
      </c>
      <c r="E130" s="171">
        <v>0.76100000000000001</v>
      </c>
    </row>
    <row r="131" spans="1:8" ht="24" customHeight="1" x14ac:dyDescent="0.2">
      <c r="A131" s="44">
        <v>7</v>
      </c>
      <c r="B131" s="48" t="s">
        <v>391</v>
      </c>
      <c r="C131" s="171">
        <v>0.32919999999999999</v>
      </c>
      <c r="D131" s="171">
        <v>0.28720000000000001</v>
      </c>
      <c r="E131" s="171">
        <v>0.30309999999999998</v>
      </c>
    </row>
    <row r="132" spans="1:8" ht="24" customHeight="1" x14ac:dyDescent="0.2">
      <c r="A132" s="44">
        <v>8</v>
      </c>
      <c r="B132" s="48" t="s">
        <v>392</v>
      </c>
      <c r="C132" s="199">
        <v>422.7</v>
      </c>
      <c r="D132" s="199">
        <v>405.1</v>
      </c>
      <c r="E132" s="199">
        <v>376.6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393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394</v>
      </c>
      <c r="C135" s="203">
        <f>IF(C149=0,0,C143/C149)</f>
        <v>0.37398011093822275</v>
      </c>
      <c r="D135" s="203">
        <f>IF(D149=0,0,D143/D149)</f>
        <v>0.35892853980798695</v>
      </c>
      <c r="E135" s="203">
        <f>IF(E149=0,0,E143/E149)</f>
        <v>0.34559469137806853</v>
      </c>
      <c r="G135" s="6"/>
    </row>
    <row r="136" spans="1:8" ht="20.100000000000001" customHeight="1" x14ac:dyDescent="0.2">
      <c r="A136" s="202">
        <v>2</v>
      </c>
      <c r="B136" s="195" t="s">
        <v>395</v>
      </c>
      <c r="C136" s="203">
        <f>IF(C149=0,0,C144/C149)</f>
        <v>0.42357425000071364</v>
      </c>
      <c r="D136" s="203">
        <f>IF(D149=0,0,D144/D149)</f>
        <v>0.45501793032340576</v>
      </c>
      <c r="E136" s="203">
        <f>IF(E149=0,0,E144/E149)</f>
        <v>0.4591530404925529</v>
      </c>
    </row>
    <row r="137" spans="1:8" ht="20.100000000000001" customHeight="1" x14ac:dyDescent="0.2">
      <c r="A137" s="202">
        <v>3</v>
      </c>
      <c r="B137" s="195" t="s">
        <v>396</v>
      </c>
      <c r="C137" s="203">
        <f>IF(C149=0,0,C145/C149)</f>
        <v>0.13315026682454528</v>
      </c>
      <c r="D137" s="203">
        <f>IF(D149=0,0,D145/D149)</f>
        <v>0.1561281125959936</v>
      </c>
      <c r="E137" s="203">
        <f>IF(E149=0,0,E145/E149)</f>
        <v>0.16082460732107376</v>
      </c>
      <c r="G137" s="6"/>
    </row>
    <row r="138" spans="1:8" ht="20.100000000000001" customHeight="1" x14ac:dyDescent="0.2">
      <c r="A138" s="202">
        <v>4</v>
      </c>
      <c r="B138" s="195" t="s">
        <v>397</v>
      </c>
      <c r="C138" s="203">
        <f>IF(C149=0,0,C146/C149)</f>
        <v>2.9260081990488407E-2</v>
      </c>
      <c r="D138" s="203">
        <f>IF(D149=0,0,D146/D149)</f>
        <v>0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398</v>
      </c>
      <c r="C139" s="203">
        <f>IF(C149=0,0,C147/C149)</f>
        <v>3.547518611248212E-2</v>
      </c>
      <c r="D139" s="203">
        <f>IF(D149=0,0,D147/D149)</f>
        <v>2.656003484560434E-2</v>
      </c>
      <c r="E139" s="203">
        <f>IF(E149=0,0,E147/E149)</f>
        <v>3.0613205138884499E-2</v>
      </c>
    </row>
    <row r="140" spans="1:8" ht="20.100000000000001" customHeight="1" x14ac:dyDescent="0.2">
      <c r="A140" s="202">
        <v>6</v>
      </c>
      <c r="B140" s="195" t="s">
        <v>399</v>
      </c>
      <c r="C140" s="203">
        <f>IF(C149=0,0,C148/C149)</f>
        <v>4.5601041335477949E-3</v>
      </c>
      <c r="D140" s="203">
        <f>IF(D149=0,0,D148/D149)</f>
        <v>3.3653824270093629E-3</v>
      </c>
      <c r="E140" s="203">
        <f>IF(E149=0,0,E148/E149)</f>
        <v>3.8144556694203217E-3</v>
      </c>
    </row>
    <row r="141" spans="1:8" ht="20.100000000000001" customHeight="1" x14ac:dyDescent="0.2">
      <c r="A141" s="202">
        <v>7</v>
      </c>
      <c r="B141" s="195" t="s">
        <v>400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401</v>
      </c>
      <c r="C143" s="204">
        <f>+C46-C147</f>
        <v>55025242</v>
      </c>
      <c r="D143" s="205">
        <f>+D46-D147</f>
        <v>53147490</v>
      </c>
      <c r="E143" s="205">
        <f>+E46-E147</f>
        <v>64995751</v>
      </c>
    </row>
    <row r="144" spans="1:8" ht="20.100000000000001" customHeight="1" x14ac:dyDescent="0.2">
      <c r="A144" s="202">
        <v>9</v>
      </c>
      <c r="B144" s="201" t="s">
        <v>402</v>
      </c>
      <c r="C144" s="206">
        <f>+C51</f>
        <v>62322233</v>
      </c>
      <c r="D144" s="205">
        <f>+D51</f>
        <v>67375698</v>
      </c>
      <c r="E144" s="205">
        <f>+E51</f>
        <v>86352590</v>
      </c>
    </row>
    <row r="145" spans="1:7" ht="20.100000000000001" customHeight="1" x14ac:dyDescent="0.2">
      <c r="A145" s="202">
        <v>10</v>
      </c>
      <c r="B145" s="201" t="s">
        <v>403</v>
      </c>
      <c r="C145" s="206">
        <f>+C55</f>
        <v>19590950</v>
      </c>
      <c r="D145" s="205">
        <f>+D55</f>
        <v>23118299</v>
      </c>
      <c r="E145" s="205">
        <f>+E55</f>
        <v>30246171</v>
      </c>
    </row>
    <row r="146" spans="1:7" ht="20.100000000000001" customHeight="1" x14ac:dyDescent="0.2">
      <c r="A146" s="202">
        <v>11</v>
      </c>
      <c r="B146" s="201" t="s">
        <v>404</v>
      </c>
      <c r="C146" s="204">
        <v>4305157</v>
      </c>
      <c r="D146" s="205">
        <v>0</v>
      </c>
      <c r="E146" s="205">
        <v>0</v>
      </c>
    </row>
    <row r="147" spans="1:7" ht="20.100000000000001" customHeight="1" x14ac:dyDescent="0.2">
      <c r="A147" s="202">
        <v>12</v>
      </c>
      <c r="B147" s="201" t="s">
        <v>405</v>
      </c>
      <c r="C147" s="206">
        <f>+C47</f>
        <v>5219611</v>
      </c>
      <c r="D147" s="205">
        <f>+D47</f>
        <v>3932814</v>
      </c>
      <c r="E147" s="205">
        <f>+E47</f>
        <v>5757404</v>
      </c>
    </row>
    <row r="148" spans="1:7" ht="20.100000000000001" customHeight="1" x14ac:dyDescent="0.2">
      <c r="A148" s="202">
        <v>13</v>
      </c>
      <c r="B148" s="201" t="s">
        <v>406</v>
      </c>
      <c r="C148" s="206">
        <v>670947</v>
      </c>
      <c r="D148" s="205">
        <v>498321</v>
      </c>
      <c r="E148" s="205">
        <v>717382</v>
      </c>
    </row>
    <row r="149" spans="1:7" ht="20.100000000000001" customHeight="1" x14ac:dyDescent="0.2">
      <c r="A149" s="202">
        <v>14</v>
      </c>
      <c r="B149" s="201" t="s">
        <v>407</v>
      </c>
      <c r="C149" s="204">
        <f>SUM(C143:C148)</f>
        <v>147134140</v>
      </c>
      <c r="D149" s="205">
        <f>SUM(D143:D148)</f>
        <v>148072622</v>
      </c>
      <c r="E149" s="205">
        <f>SUM(E143:E148)</f>
        <v>188069298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408</v>
      </c>
      <c r="B151" s="30" t="s">
        <v>409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410</v>
      </c>
      <c r="C152" s="203">
        <f>IF(C166=0,0,C160/C166)</f>
        <v>0.48277016786124599</v>
      </c>
      <c r="D152" s="203">
        <f>IF(D166=0,0,D160/D166)</f>
        <v>0.51580898435795097</v>
      </c>
      <c r="E152" s="203">
        <f>IF(E166=0,0,E160/E166)</f>
        <v>0.51639531353716783</v>
      </c>
    </row>
    <row r="153" spans="1:7" ht="20.100000000000001" customHeight="1" x14ac:dyDescent="0.2">
      <c r="A153" s="202">
        <v>2</v>
      </c>
      <c r="B153" s="195" t="s">
        <v>411</v>
      </c>
      <c r="C153" s="203">
        <f>IF(C166=0,0,C161/C166)</f>
        <v>0.3859656356471094</v>
      </c>
      <c r="D153" s="203">
        <f>IF(D166=0,0,D161/D166)</f>
        <v>0.38041830295312851</v>
      </c>
      <c r="E153" s="203">
        <f>IF(E166=0,0,E161/E166)</f>
        <v>0.38240347488397497</v>
      </c>
    </row>
    <row r="154" spans="1:7" ht="20.100000000000001" customHeight="1" x14ac:dyDescent="0.2">
      <c r="A154" s="202">
        <v>3</v>
      </c>
      <c r="B154" s="195" t="s">
        <v>412</v>
      </c>
      <c r="C154" s="203">
        <f>IF(C166=0,0,C162/C166)</f>
        <v>9.8491470726407224E-2</v>
      </c>
      <c r="D154" s="203">
        <f>IF(D166=0,0,D162/D166)</f>
        <v>9.5371270857758941E-2</v>
      </c>
      <c r="E154" s="203">
        <f>IF(E166=0,0,E162/E166)</f>
        <v>9.0631515705891064E-2</v>
      </c>
    </row>
    <row r="155" spans="1:7" ht="20.100000000000001" customHeight="1" x14ac:dyDescent="0.2">
      <c r="A155" s="202">
        <v>4</v>
      </c>
      <c r="B155" s="195" t="s">
        <v>413</v>
      </c>
      <c r="C155" s="203">
        <f>IF(C166=0,0,C163/C166)</f>
        <v>1.1667328800282607E-2</v>
      </c>
      <c r="D155" s="203">
        <f>IF(D166=0,0,D163/D166)</f>
        <v>0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414</v>
      </c>
      <c r="C156" s="203">
        <f>IF(C166=0,0,C164/C166)</f>
        <v>1.5360387757662349E-2</v>
      </c>
      <c r="D156" s="203">
        <f>IF(D166=0,0,D164/D166)</f>
        <v>3.1335073152707967E-3</v>
      </c>
      <c r="E156" s="203">
        <f>IF(E166=0,0,E164/E166)</f>
        <v>3.9353111215032167E-3</v>
      </c>
    </row>
    <row r="157" spans="1:7" ht="20.100000000000001" customHeight="1" x14ac:dyDescent="0.2">
      <c r="A157" s="202">
        <v>6</v>
      </c>
      <c r="B157" s="195" t="s">
        <v>415</v>
      </c>
      <c r="C157" s="203">
        <f>IF(C166=0,0,C165/C166)</f>
        <v>5.7450092072924399E-3</v>
      </c>
      <c r="D157" s="203">
        <f>IF(D166=0,0,D165/D166)</f>
        <v>5.2679345158907608E-3</v>
      </c>
      <c r="E157" s="203">
        <f>IF(E166=0,0,E165/E166)</f>
        <v>6.6343847514629432E-3</v>
      </c>
    </row>
    <row r="158" spans="1:7" ht="20.100000000000001" customHeight="1" x14ac:dyDescent="0.2">
      <c r="A158" s="202">
        <v>7</v>
      </c>
      <c r="B158" s="195" t="s">
        <v>416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417</v>
      </c>
      <c r="C160" s="207">
        <f>+C44-C164</f>
        <v>29084314</v>
      </c>
      <c r="D160" s="208">
        <f>+D44-D164</f>
        <v>30963611</v>
      </c>
      <c r="E160" s="208">
        <f>+E44-E164</f>
        <v>33741371</v>
      </c>
    </row>
    <row r="161" spans="1:6" ht="20.100000000000001" customHeight="1" x14ac:dyDescent="0.2">
      <c r="A161" s="202">
        <v>9</v>
      </c>
      <c r="B161" s="201" t="s">
        <v>418</v>
      </c>
      <c r="C161" s="209">
        <f>+C50</f>
        <v>23252360</v>
      </c>
      <c r="D161" s="208">
        <f>+D50</f>
        <v>22836214</v>
      </c>
      <c r="E161" s="208">
        <f>+E50</f>
        <v>24986318</v>
      </c>
    </row>
    <row r="162" spans="1:6" ht="20.100000000000001" customHeight="1" x14ac:dyDescent="0.2">
      <c r="A162" s="202">
        <v>10</v>
      </c>
      <c r="B162" s="201" t="s">
        <v>419</v>
      </c>
      <c r="C162" s="209">
        <f>+C54</f>
        <v>5933583</v>
      </c>
      <c r="D162" s="208">
        <f>+D54</f>
        <v>5725063</v>
      </c>
      <c r="E162" s="208">
        <f>+E54</f>
        <v>5921881</v>
      </c>
    </row>
    <row r="163" spans="1:6" ht="20.100000000000001" customHeight="1" x14ac:dyDescent="0.2">
      <c r="A163" s="202">
        <v>11</v>
      </c>
      <c r="B163" s="201" t="s">
        <v>420</v>
      </c>
      <c r="C163" s="207">
        <v>702894</v>
      </c>
      <c r="D163" s="208">
        <v>0</v>
      </c>
      <c r="E163" s="208">
        <v>0</v>
      </c>
    </row>
    <row r="164" spans="1:6" ht="20.100000000000001" customHeight="1" x14ac:dyDescent="0.2">
      <c r="A164" s="202">
        <v>12</v>
      </c>
      <c r="B164" s="201" t="s">
        <v>421</v>
      </c>
      <c r="C164" s="209">
        <f>+C45</f>
        <v>925381</v>
      </c>
      <c r="D164" s="208">
        <f>+D45</f>
        <v>188102</v>
      </c>
      <c r="E164" s="208">
        <f>+E45</f>
        <v>257134</v>
      </c>
    </row>
    <row r="165" spans="1:6" ht="20.100000000000001" customHeight="1" x14ac:dyDescent="0.2">
      <c r="A165" s="202">
        <v>13</v>
      </c>
      <c r="B165" s="201" t="s">
        <v>422</v>
      </c>
      <c r="C165" s="209">
        <v>346106</v>
      </c>
      <c r="D165" s="208">
        <v>316230</v>
      </c>
      <c r="E165" s="208">
        <v>433492</v>
      </c>
    </row>
    <row r="166" spans="1:6" ht="20.100000000000001" customHeight="1" x14ac:dyDescent="0.2">
      <c r="A166" s="202">
        <v>14</v>
      </c>
      <c r="B166" s="201" t="s">
        <v>423</v>
      </c>
      <c r="C166" s="207">
        <f>SUM(C160:C165)</f>
        <v>60244638</v>
      </c>
      <c r="D166" s="208">
        <f>SUM(D160:D165)</f>
        <v>60029220</v>
      </c>
      <c r="E166" s="208">
        <f>SUM(E160:E165)</f>
        <v>65340196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424</v>
      </c>
      <c r="B168" s="30" t="s">
        <v>385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425</v>
      </c>
      <c r="C169" s="198">
        <v>1129</v>
      </c>
      <c r="D169" s="198">
        <v>663</v>
      </c>
      <c r="E169" s="198">
        <v>594</v>
      </c>
    </row>
    <row r="170" spans="1:6" ht="20.100000000000001" customHeight="1" x14ac:dyDescent="0.2">
      <c r="A170" s="202">
        <v>2</v>
      </c>
      <c r="B170" s="201" t="s">
        <v>426</v>
      </c>
      <c r="C170" s="198">
        <v>1595</v>
      </c>
      <c r="D170" s="198">
        <v>1581</v>
      </c>
      <c r="E170" s="198">
        <v>1655</v>
      </c>
    </row>
    <row r="171" spans="1:6" ht="20.100000000000001" customHeight="1" x14ac:dyDescent="0.2">
      <c r="A171" s="202">
        <v>3</v>
      </c>
      <c r="B171" s="201" t="s">
        <v>427</v>
      </c>
      <c r="C171" s="198">
        <v>645</v>
      </c>
      <c r="D171" s="198">
        <v>268</v>
      </c>
      <c r="E171" s="198">
        <v>266</v>
      </c>
    </row>
    <row r="172" spans="1:6" ht="20.100000000000001" customHeight="1" x14ac:dyDescent="0.2">
      <c r="A172" s="202">
        <v>4</v>
      </c>
      <c r="B172" s="201" t="s">
        <v>428</v>
      </c>
      <c r="C172" s="198">
        <v>548</v>
      </c>
      <c r="D172" s="198">
        <v>268</v>
      </c>
      <c r="E172" s="198">
        <v>266</v>
      </c>
    </row>
    <row r="173" spans="1:6" ht="20.100000000000001" customHeight="1" x14ac:dyDescent="0.2">
      <c r="A173" s="202">
        <v>5</v>
      </c>
      <c r="B173" s="201" t="s">
        <v>429</v>
      </c>
      <c r="C173" s="198">
        <v>97</v>
      </c>
      <c r="D173" s="198">
        <v>0</v>
      </c>
      <c r="E173" s="198">
        <v>0</v>
      </c>
    </row>
    <row r="174" spans="1:6" ht="20.100000000000001" customHeight="1" x14ac:dyDescent="0.2">
      <c r="A174" s="202">
        <v>6</v>
      </c>
      <c r="B174" s="201" t="s">
        <v>430</v>
      </c>
      <c r="C174" s="198">
        <v>17</v>
      </c>
      <c r="D174" s="198">
        <v>3</v>
      </c>
      <c r="E174" s="198">
        <v>4</v>
      </c>
    </row>
    <row r="175" spans="1:6" ht="20.100000000000001" customHeight="1" x14ac:dyDescent="0.2">
      <c r="A175" s="202">
        <v>7</v>
      </c>
      <c r="B175" s="201" t="s">
        <v>431</v>
      </c>
      <c r="C175" s="198">
        <v>65</v>
      </c>
      <c r="D175" s="198">
        <v>63</v>
      </c>
      <c r="E175" s="198">
        <v>58</v>
      </c>
    </row>
    <row r="176" spans="1:6" ht="20.100000000000001" customHeight="1" x14ac:dyDescent="0.2">
      <c r="A176" s="202">
        <v>8</v>
      </c>
      <c r="B176" s="201" t="s">
        <v>432</v>
      </c>
      <c r="C176" s="198">
        <f>+C169+C170+C171+C174</f>
        <v>3386</v>
      </c>
      <c r="D176" s="198">
        <f>+D169+D170+D171+D174</f>
        <v>2515</v>
      </c>
      <c r="E176" s="198">
        <f>+E169+E170+E171+E174</f>
        <v>2519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433</v>
      </c>
      <c r="B178" s="30" t="s">
        <v>434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425</v>
      </c>
      <c r="C179" s="210">
        <v>1.0759000000000001</v>
      </c>
      <c r="D179" s="210">
        <v>1.3484</v>
      </c>
      <c r="E179" s="210">
        <v>1.6539200000000001</v>
      </c>
    </row>
    <row r="180" spans="1:6" ht="20.100000000000001" customHeight="1" x14ac:dyDescent="0.2">
      <c r="A180" s="202">
        <v>2</v>
      </c>
      <c r="B180" s="201" t="s">
        <v>426</v>
      </c>
      <c r="C180" s="210">
        <v>1.4282999999999999</v>
      </c>
      <c r="D180" s="210">
        <v>1.4683999999999999</v>
      </c>
      <c r="E180" s="210">
        <v>1.49234</v>
      </c>
    </row>
    <row r="181" spans="1:6" ht="20.100000000000001" customHeight="1" x14ac:dyDescent="0.2">
      <c r="A181" s="202">
        <v>3</v>
      </c>
      <c r="B181" s="201" t="s">
        <v>427</v>
      </c>
      <c r="C181" s="210">
        <v>0.87244999999999995</v>
      </c>
      <c r="D181" s="210">
        <v>1.103</v>
      </c>
      <c r="E181" s="210">
        <v>1.18327</v>
      </c>
    </row>
    <row r="182" spans="1:6" ht="20.100000000000001" customHeight="1" x14ac:dyDescent="0.2">
      <c r="A182" s="202">
        <v>4</v>
      </c>
      <c r="B182" s="201" t="s">
        <v>428</v>
      </c>
      <c r="C182" s="210">
        <v>0.8</v>
      </c>
      <c r="D182" s="210">
        <v>1.103</v>
      </c>
      <c r="E182" s="210">
        <v>1.18327</v>
      </c>
    </row>
    <row r="183" spans="1:6" ht="20.100000000000001" customHeight="1" x14ac:dyDescent="0.2">
      <c r="A183" s="202">
        <v>5</v>
      </c>
      <c r="B183" s="201" t="s">
        <v>429</v>
      </c>
      <c r="C183" s="210">
        <v>1.28176</v>
      </c>
      <c r="D183" s="210">
        <v>0</v>
      </c>
      <c r="E183" s="210">
        <v>0</v>
      </c>
    </row>
    <row r="184" spans="1:6" ht="20.100000000000001" customHeight="1" x14ac:dyDescent="0.2">
      <c r="A184" s="202">
        <v>6</v>
      </c>
      <c r="B184" s="201" t="s">
        <v>430</v>
      </c>
      <c r="C184" s="210">
        <v>1.0069999999999999</v>
      </c>
      <c r="D184" s="210">
        <v>0.78386999999999996</v>
      </c>
      <c r="E184" s="210">
        <v>1.29484</v>
      </c>
    </row>
    <row r="185" spans="1:6" ht="20.100000000000001" customHeight="1" x14ac:dyDescent="0.2">
      <c r="A185" s="202">
        <v>7</v>
      </c>
      <c r="B185" s="201" t="s">
        <v>431</v>
      </c>
      <c r="C185" s="210">
        <v>1.0134799999999999</v>
      </c>
      <c r="D185" s="210">
        <v>1.2078</v>
      </c>
      <c r="E185" s="210">
        <v>1.12859</v>
      </c>
    </row>
    <row r="186" spans="1:6" ht="20.100000000000001" customHeight="1" x14ac:dyDescent="0.2">
      <c r="A186" s="202">
        <v>8</v>
      </c>
      <c r="B186" s="201" t="s">
        <v>435</v>
      </c>
      <c r="C186" s="210">
        <v>1.202799</v>
      </c>
      <c r="D186" s="210">
        <v>1.3970119999999999</v>
      </c>
      <c r="E186" s="210">
        <v>1.4974909999999999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436</v>
      </c>
      <c r="B188" s="30" t="s">
        <v>437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438</v>
      </c>
      <c r="C189" s="198">
        <v>2136</v>
      </c>
      <c r="D189" s="198">
        <v>2066</v>
      </c>
      <c r="E189" s="198">
        <v>2144</v>
      </c>
    </row>
    <row r="190" spans="1:6" ht="20.100000000000001" customHeight="1" x14ac:dyDescent="0.2">
      <c r="A190" s="202">
        <v>2</v>
      </c>
      <c r="B190" s="201" t="s">
        <v>439</v>
      </c>
      <c r="C190" s="198">
        <v>23873</v>
      </c>
      <c r="D190" s="198">
        <v>24397</v>
      </c>
      <c r="E190" s="198">
        <v>24278</v>
      </c>
    </row>
    <row r="191" spans="1:6" ht="20.100000000000001" customHeight="1" x14ac:dyDescent="0.2">
      <c r="A191" s="202">
        <v>3</v>
      </c>
      <c r="B191" s="201" t="s">
        <v>440</v>
      </c>
      <c r="C191" s="198">
        <f>+C190+C189</f>
        <v>26009</v>
      </c>
      <c r="D191" s="198">
        <f>+D190+D189</f>
        <v>26463</v>
      </c>
      <c r="E191" s="198">
        <f>+E190+E189</f>
        <v>26422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FILING&amp;RROCKVILLE GENERAL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441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445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248979</v>
      </c>
      <c r="D14" s="237">
        <v>530244</v>
      </c>
      <c r="E14" s="237">
        <f t="shared" ref="E14:E24" si="0">D14-C14</f>
        <v>281265</v>
      </c>
      <c r="F14" s="238">
        <f t="shared" ref="F14:F24" si="1">IF(C14=0,0,E14/C14)</f>
        <v>1.1296735869290182</v>
      </c>
    </row>
    <row r="15" spans="1:7" ht="20.25" customHeight="1" x14ac:dyDescent="0.3">
      <c r="A15" s="235">
        <v>2</v>
      </c>
      <c r="B15" s="236" t="s">
        <v>447</v>
      </c>
      <c r="C15" s="237">
        <v>105169</v>
      </c>
      <c r="D15" s="237">
        <v>195593</v>
      </c>
      <c r="E15" s="237">
        <f t="shared" si="0"/>
        <v>90424</v>
      </c>
      <c r="F15" s="238">
        <f t="shared" si="1"/>
        <v>0.85979708849565939</v>
      </c>
    </row>
    <row r="16" spans="1:7" ht="20.25" customHeight="1" x14ac:dyDescent="0.3">
      <c r="A16" s="235">
        <v>3</v>
      </c>
      <c r="B16" s="236" t="s">
        <v>448</v>
      </c>
      <c r="C16" s="237">
        <v>73485</v>
      </c>
      <c r="D16" s="237">
        <v>344286</v>
      </c>
      <c r="E16" s="237">
        <f t="shared" si="0"/>
        <v>270801</v>
      </c>
      <c r="F16" s="238">
        <f t="shared" si="1"/>
        <v>3.6851194121249233</v>
      </c>
    </row>
    <row r="17" spans="1:6" ht="20.25" customHeight="1" x14ac:dyDescent="0.3">
      <c r="A17" s="235">
        <v>4</v>
      </c>
      <c r="B17" s="236" t="s">
        <v>449</v>
      </c>
      <c r="C17" s="237">
        <v>20024</v>
      </c>
      <c r="D17" s="237">
        <v>108561</v>
      </c>
      <c r="E17" s="237">
        <f t="shared" si="0"/>
        <v>88537</v>
      </c>
      <c r="F17" s="238">
        <f t="shared" si="1"/>
        <v>4.4215441470235719</v>
      </c>
    </row>
    <row r="18" spans="1:6" ht="20.25" customHeight="1" x14ac:dyDescent="0.3">
      <c r="A18" s="235">
        <v>5</v>
      </c>
      <c r="B18" s="236" t="s">
        <v>385</v>
      </c>
      <c r="C18" s="239">
        <v>9</v>
      </c>
      <c r="D18" s="239">
        <v>17</v>
      </c>
      <c r="E18" s="239">
        <f t="shared" si="0"/>
        <v>8</v>
      </c>
      <c r="F18" s="238">
        <f t="shared" si="1"/>
        <v>0.88888888888888884</v>
      </c>
    </row>
    <row r="19" spans="1:6" ht="20.25" customHeight="1" x14ac:dyDescent="0.3">
      <c r="A19" s="235">
        <v>6</v>
      </c>
      <c r="B19" s="236" t="s">
        <v>384</v>
      </c>
      <c r="C19" s="239">
        <v>62</v>
      </c>
      <c r="D19" s="239">
        <v>83</v>
      </c>
      <c r="E19" s="239">
        <f t="shared" si="0"/>
        <v>21</v>
      </c>
      <c r="F19" s="238">
        <f t="shared" si="1"/>
        <v>0.33870967741935482</v>
      </c>
    </row>
    <row r="20" spans="1:6" ht="20.25" customHeight="1" x14ac:dyDescent="0.3">
      <c r="A20" s="235">
        <v>7</v>
      </c>
      <c r="B20" s="236" t="s">
        <v>450</v>
      </c>
      <c r="C20" s="239">
        <v>69</v>
      </c>
      <c r="D20" s="239">
        <v>239</v>
      </c>
      <c r="E20" s="239">
        <f t="shared" si="0"/>
        <v>170</v>
      </c>
      <c r="F20" s="238">
        <f t="shared" si="1"/>
        <v>2.4637681159420288</v>
      </c>
    </row>
    <row r="21" spans="1:6" ht="20.25" customHeight="1" x14ac:dyDescent="0.3">
      <c r="A21" s="235">
        <v>8</v>
      </c>
      <c r="B21" s="236" t="s">
        <v>451</v>
      </c>
      <c r="C21" s="239">
        <v>11</v>
      </c>
      <c r="D21" s="239">
        <v>33</v>
      </c>
      <c r="E21" s="239">
        <f t="shared" si="0"/>
        <v>22</v>
      </c>
      <c r="F21" s="238">
        <f t="shared" si="1"/>
        <v>2</v>
      </c>
    </row>
    <row r="22" spans="1:6" ht="20.25" customHeight="1" x14ac:dyDescent="0.3">
      <c r="A22" s="235">
        <v>9</v>
      </c>
      <c r="B22" s="236" t="s">
        <v>452</v>
      </c>
      <c r="C22" s="239">
        <v>9</v>
      </c>
      <c r="D22" s="239">
        <v>14</v>
      </c>
      <c r="E22" s="239">
        <f t="shared" si="0"/>
        <v>5</v>
      </c>
      <c r="F22" s="238">
        <f t="shared" si="1"/>
        <v>0.55555555555555558</v>
      </c>
    </row>
    <row r="23" spans="1:6" s="240" customFormat="1" ht="20.25" customHeight="1" x14ac:dyDescent="0.3">
      <c r="A23" s="241"/>
      <c r="B23" s="242" t="s">
        <v>453</v>
      </c>
      <c r="C23" s="243">
        <f>+C14+C16</f>
        <v>322464</v>
      </c>
      <c r="D23" s="243">
        <f>+D14+D16</f>
        <v>874530</v>
      </c>
      <c r="E23" s="243">
        <f t="shared" si="0"/>
        <v>552066</v>
      </c>
      <c r="F23" s="244">
        <f t="shared" si="1"/>
        <v>1.7120236677582614</v>
      </c>
    </row>
    <row r="24" spans="1:6" s="240" customFormat="1" ht="20.25" customHeight="1" x14ac:dyDescent="0.3">
      <c r="A24" s="241"/>
      <c r="B24" s="242" t="s">
        <v>454</v>
      </c>
      <c r="C24" s="243">
        <f>+C15+C17</f>
        <v>125193</v>
      </c>
      <c r="D24" s="243">
        <f>+D15+D17</f>
        <v>304154</v>
      </c>
      <c r="E24" s="243">
        <f t="shared" si="0"/>
        <v>178961</v>
      </c>
      <c r="F24" s="244">
        <f t="shared" si="1"/>
        <v>1.4294808815189348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455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446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447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448</v>
      </c>
      <c r="C29" s="237">
        <v>10509</v>
      </c>
      <c r="D29" s="237">
        <v>0</v>
      </c>
      <c r="E29" s="237">
        <f t="shared" si="2"/>
        <v>-10509</v>
      </c>
      <c r="F29" s="238">
        <f t="shared" si="3"/>
        <v>-1</v>
      </c>
    </row>
    <row r="30" spans="1:6" ht="20.25" customHeight="1" x14ac:dyDescent="0.3">
      <c r="A30" s="235">
        <v>4</v>
      </c>
      <c r="B30" s="236" t="s">
        <v>449</v>
      </c>
      <c r="C30" s="237">
        <v>2979</v>
      </c>
      <c r="D30" s="237">
        <v>0</v>
      </c>
      <c r="E30" s="237">
        <f t="shared" si="2"/>
        <v>-2979</v>
      </c>
      <c r="F30" s="238">
        <f t="shared" si="3"/>
        <v>-1</v>
      </c>
    </row>
    <row r="31" spans="1:6" ht="20.25" customHeight="1" x14ac:dyDescent="0.3">
      <c r="A31" s="235">
        <v>5</v>
      </c>
      <c r="B31" s="236" t="s">
        <v>385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384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450</v>
      </c>
      <c r="C33" s="239">
        <v>4</v>
      </c>
      <c r="D33" s="239">
        <v>0</v>
      </c>
      <c r="E33" s="239">
        <f t="shared" si="2"/>
        <v>-4</v>
      </c>
      <c r="F33" s="238">
        <f t="shared" si="3"/>
        <v>-1</v>
      </c>
    </row>
    <row r="34" spans="1:6" ht="20.25" customHeight="1" x14ac:dyDescent="0.3">
      <c r="A34" s="235">
        <v>8</v>
      </c>
      <c r="B34" s="236" t="s">
        <v>451</v>
      </c>
      <c r="C34" s="239">
        <v>2</v>
      </c>
      <c r="D34" s="239">
        <v>0</v>
      </c>
      <c r="E34" s="239">
        <f t="shared" si="2"/>
        <v>-2</v>
      </c>
      <c r="F34" s="238">
        <f t="shared" si="3"/>
        <v>-1</v>
      </c>
    </row>
    <row r="35" spans="1:6" ht="20.25" customHeight="1" x14ac:dyDescent="0.3">
      <c r="A35" s="235">
        <v>9</v>
      </c>
      <c r="B35" s="236" t="s">
        <v>452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453</v>
      </c>
      <c r="C36" s="243">
        <f>+C27+C29</f>
        <v>10509</v>
      </c>
      <c r="D36" s="243">
        <f>+D27+D29</f>
        <v>0</v>
      </c>
      <c r="E36" s="243">
        <f t="shared" si="2"/>
        <v>-10509</v>
      </c>
      <c r="F36" s="244">
        <f t="shared" si="3"/>
        <v>-1</v>
      </c>
    </row>
    <row r="37" spans="1:6" s="240" customFormat="1" ht="20.25" customHeight="1" x14ac:dyDescent="0.3">
      <c r="A37" s="241"/>
      <c r="B37" s="242" t="s">
        <v>454</v>
      </c>
      <c r="C37" s="243">
        <f>+C28+C30</f>
        <v>2979</v>
      </c>
      <c r="D37" s="243">
        <f>+D28+D30</f>
        <v>0</v>
      </c>
      <c r="E37" s="243">
        <f t="shared" si="2"/>
        <v>-2979</v>
      </c>
      <c r="F37" s="244">
        <f t="shared" si="3"/>
        <v>-1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456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446</v>
      </c>
      <c r="C40" s="237">
        <v>3176524</v>
      </c>
      <c r="D40" s="237">
        <v>5199014</v>
      </c>
      <c r="E40" s="237">
        <f t="shared" ref="E40:E50" si="4">D40-C40</f>
        <v>2022490</v>
      </c>
      <c r="F40" s="238">
        <f t="shared" ref="F40:F50" si="5">IF(C40=0,0,E40/C40)</f>
        <v>0.63669910883720693</v>
      </c>
    </row>
    <row r="41" spans="1:6" ht="20.25" customHeight="1" x14ac:dyDescent="0.3">
      <c r="A41" s="235">
        <v>2</v>
      </c>
      <c r="B41" s="236" t="s">
        <v>447</v>
      </c>
      <c r="C41" s="237">
        <v>1239222</v>
      </c>
      <c r="D41" s="237">
        <v>1762390</v>
      </c>
      <c r="E41" s="237">
        <f t="shared" si="4"/>
        <v>523168</v>
      </c>
      <c r="F41" s="238">
        <f t="shared" si="5"/>
        <v>0.42217455790810687</v>
      </c>
    </row>
    <row r="42" spans="1:6" ht="20.25" customHeight="1" x14ac:dyDescent="0.3">
      <c r="A42" s="235">
        <v>3</v>
      </c>
      <c r="B42" s="236" t="s">
        <v>448</v>
      </c>
      <c r="C42" s="237">
        <v>2990542</v>
      </c>
      <c r="D42" s="237">
        <v>5364128</v>
      </c>
      <c r="E42" s="237">
        <f t="shared" si="4"/>
        <v>2373586</v>
      </c>
      <c r="F42" s="238">
        <f t="shared" si="5"/>
        <v>0.7936975972917284</v>
      </c>
    </row>
    <row r="43" spans="1:6" ht="20.25" customHeight="1" x14ac:dyDescent="0.3">
      <c r="A43" s="235">
        <v>4</v>
      </c>
      <c r="B43" s="236" t="s">
        <v>449</v>
      </c>
      <c r="C43" s="237">
        <v>539446</v>
      </c>
      <c r="D43" s="237">
        <v>1157650</v>
      </c>
      <c r="E43" s="237">
        <f t="shared" si="4"/>
        <v>618204</v>
      </c>
      <c r="F43" s="238">
        <f t="shared" si="5"/>
        <v>1.145997931210909</v>
      </c>
    </row>
    <row r="44" spans="1:6" ht="20.25" customHeight="1" x14ac:dyDescent="0.3">
      <c r="A44" s="235">
        <v>5</v>
      </c>
      <c r="B44" s="236" t="s">
        <v>385</v>
      </c>
      <c r="C44" s="239">
        <v>135</v>
      </c>
      <c r="D44" s="239">
        <v>193</v>
      </c>
      <c r="E44" s="239">
        <f t="shared" si="4"/>
        <v>58</v>
      </c>
      <c r="F44" s="238">
        <f t="shared" si="5"/>
        <v>0.42962962962962964</v>
      </c>
    </row>
    <row r="45" spans="1:6" ht="20.25" customHeight="1" x14ac:dyDescent="0.3">
      <c r="A45" s="235">
        <v>6</v>
      </c>
      <c r="B45" s="236" t="s">
        <v>384</v>
      </c>
      <c r="C45" s="239">
        <v>702</v>
      </c>
      <c r="D45" s="239">
        <v>926</v>
      </c>
      <c r="E45" s="239">
        <f t="shared" si="4"/>
        <v>224</v>
      </c>
      <c r="F45" s="238">
        <f t="shared" si="5"/>
        <v>0.31908831908831908</v>
      </c>
    </row>
    <row r="46" spans="1:6" ht="20.25" customHeight="1" x14ac:dyDescent="0.3">
      <c r="A46" s="235">
        <v>7</v>
      </c>
      <c r="B46" s="236" t="s">
        <v>450</v>
      </c>
      <c r="C46" s="239">
        <v>1526</v>
      </c>
      <c r="D46" s="239">
        <v>3272</v>
      </c>
      <c r="E46" s="239">
        <f t="shared" si="4"/>
        <v>1746</v>
      </c>
      <c r="F46" s="238">
        <f t="shared" si="5"/>
        <v>1.1441677588466579</v>
      </c>
    </row>
    <row r="47" spans="1:6" ht="20.25" customHeight="1" x14ac:dyDescent="0.3">
      <c r="A47" s="235">
        <v>8</v>
      </c>
      <c r="B47" s="236" t="s">
        <v>451</v>
      </c>
      <c r="C47" s="239">
        <v>357</v>
      </c>
      <c r="D47" s="239">
        <v>446</v>
      </c>
      <c r="E47" s="239">
        <f t="shared" si="4"/>
        <v>89</v>
      </c>
      <c r="F47" s="238">
        <f t="shared" si="5"/>
        <v>0.24929971988795518</v>
      </c>
    </row>
    <row r="48" spans="1:6" ht="20.25" customHeight="1" x14ac:dyDescent="0.3">
      <c r="A48" s="235">
        <v>9</v>
      </c>
      <c r="B48" s="236" t="s">
        <v>452</v>
      </c>
      <c r="C48" s="239">
        <v>110</v>
      </c>
      <c r="D48" s="239">
        <v>149</v>
      </c>
      <c r="E48" s="239">
        <f t="shared" si="4"/>
        <v>39</v>
      </c>
      <c r="F48" s="238">
        <f t="shared" si="5"/>
        <v>0.35454545454545455</v>
      </c>
    </row>
    <row r="49" spans="1:6" s="240" customFormat="1" ht="20.25" customHeight="1" x14ac:dyDescent="0.3">
      <c r="A49" s="241"/>
      <c r="B49" s="242" t="s">
        <v>453</v>
      </c>
      <c r="C49" s="243">
        <f>+C40+C42</f>
        <v>6167066</v>
      </c>
      <c r="D49" s="243">
        <f>+D40+D42</f>
        <v>10563142</v>
      </c>
      <c r="E49" s="243">
        <f t="shared" si="4"/>
        <v>4396076</v>
      </c>
      <c r="F49" s="244">
        <f t="shared" si="5"/>
        <v>0.71283102856366387</v>
      </c>
    </row>
    <row r="50" spans="1:6" s="240" customFormat="1" ht="20.25" customHeight="1" x14ac:dyDescent="0.3">
      <c r="A50" s="241"/>
      <c r="B50" s="242" t="s">
        <v>454</v>
      </c>
      <c r="C50" s="243">
        <f>+C41+C43</f>
        <v>1778668</v>
      </c>
      <c r="D50" s="243">
        <f>+D41+D43</f>
        <v>2920040</v>
      </c>
      <c r="E50" s="243">
        <f t="shared" si="4"/>
        <v>1141372</v>
      </c>
      <c r="F50" s="244">
        <f t="shared" si="5"/>
        <v>0.64170041851542836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457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446</v>
      </c>
      <c r="C53" s="237">
        <v>547045</v>
      </c>
      <c r="D53" s="237">
        <v>0</v>
      </c>
      <c r="E53" s="237">
        <f t="shared" ref="E53:E63" si="6">D53-C53</f>
        <v>-547045</v>
      </c>
      <c r="F53" s="238">
        <f t="shared" ref="F53:F63" si="7">IF(C53=0,0,E53/C53)</f>
        <v>-1</v>
      </c>
    </row>
    <row r="54" spans="1:6" ht="20.25" customHeight="1" x14ac:dyDescent="0.3">
      <c r="A54" s="235">
        <v>2</v>
      </c>
      <c r="B54" s="236" t="s">
        <v>447</v>
      </c>
      <c r="C54" s="237">
        <v>177611</v>
      </c>
      <c r="D54" s="237">
        <v>0</v>
      </c>
      <c r="E54" s="237">
        <f t="shared" si="6"/>
        <v>-177611</v>
      </c>
      <c r="F54" s="238">
        <f t="shared" si="7"/>
        <v>-1</v>
      </c>
    </row>
    <row r="55" spans="1:6" ht="20.25" customHeight="1" x14ac:dyDescent="0.3">
      <c r="A55" s="235">
        <v>3</v>
      </c>
      <c r="B55" s="236" t="s">
        <v>448</v>
      </c>
      <c r="C55" s="237">
        <v>714814</v>
      </c>
      <c r="D55" s="237">
        <v>0</v>
      </c>
      <c r="E55" s="237">
        <f t="shared" si="6"/>
        <v>-714814</v>
      </c>
      <c r="F55" s="238">
        <f t="shared" si="7"/>
        <v>-1</v>
      </c>
    </row>
    <row r="56" spans="1:6" ht="20.25" customHeight="1" x14ac:dyDescent="0.3">
      <c r="A56" s="235">
        <v>4</v>
      </c>
      <c r="B56" s="236" t="s">
        <v>449</v>
      </c>
      <c r="C56" s="237">
        <v>202208</v>
      </c>
      <c r="D56" s="237">
        <v>0</v>
      </c>
      <c r="E56" s="237">
        <f t="shared" si="6"/>
        <v>-202208</v>
      </c>
      <c r="F56" s="238">
        <f t="shared" si="7"/>
        <v>-1</v>
      </c>
    </row>
    <row r="57" spans="1:6" ht="20.25" customHeight="1" x14ac:dyDescent="0.3">
      <c r="A57" s="235">
        <v>5</v>
      </c>
      <c r="B57" s="236" t="s">
        <v>385</v>
      </c>
      <c r="C57" s="239">
        <v>29</v>
      </c>
      <c r="D57" s="239">
        <v>0</v>
      </c>
      <c r="E57" s="239">
        <f t="shared" si="6"/>
        <v>-29</v>
      </c>
      <c r="F57" s="238">
        <f t="shared" si="7"/>
        <v>-1</v>
      </c>
    </row>
    <row r="58" spans="1:6" ht="20.25" customHeight="1" x14ac:dyDescent="0.3">
      <c r="A58" s="235">
        <v>6</v>
      </c>
      <c r="B58" s="236" t="s">
        <v>384</v>
      </c>
      <c r="C58" s="239">
        <v>130</v>
      </c>
      <c r="D58" s="239">
        <v>0</v>
      </c>
      <c r="E58" s="239">
        <f t="shared" si="6"/>
        <v>-130</v>
      </c>
      <c r="F58" s="238">
        <f t="shared" si="7"/>
        <v>-1</v>
      </c>
    </row>
    <row r="59" spans="1:6" ht="20.25" customHeight="1" x14ac:dyDescent="0.3">
      <c r="A59" s="235">
        <v>7</v>
      </c>
      <c r="B59" s="236" t="s">
        <v>450</v>
      </c>
      <c r="C59" s="239">
        <v>341</v>
      </c>
      <c r="D59" s="239">
        <v>0</v>
      </c>
      <c r="E59" s="239">
        <f t="shared" si="6"/>
        <v>-341</v>
      </c>
      <c r="F59" s="238">
        <f t="shared" si="7"/>
        <v>-1</v>
      </c>
    </row>
    <row r="60" spans="1:6" ht="20.25" customHeight="1" x14ac:dyDescent="0.3">
      <c r="A60" s="235">
        <v>8</v>
      </c>
      <c r="B60" s="236" t="s">
        <v>451</v>
      </c>
      <c r="C60" s="239">
        <v>88</v>
      </c>
      <c r="D60" s="239">
        <v>0</v>
      </c>
      <c r="E60" s="239">
        <f t="shared" si="6"/>
        <v>-88</v>
      </c>
      <c r="F60" s="238">
        <f t="shared" si="7"/>
        <v>-1</v>
      </c>
    </row>
    <row r="61" spans="1:6" ht="20.25" customHeight="1" x14ac:dyDescent="0.3">
      <c r="A61" s="235">
        <v>9</v>
      </c>
      <c r="B61" s="236" t="s">
        <v>452</v>
      </c>
      <c r="C61" s="239">
        <v>26</v>
      </c>
      <c r="D61" s="239">
        <v>0</v>
      </c>
      <c r="E61" s="239">
        <f t="shared" si="6"/>
        <v>-26</v>
      </c>
      <c r="F61" s="238">
        <f t="shared" si="7"/>
        <v>-1</v>
      </c>
    </row>
    <row r="62" spans="1:6" s="240" customFormat="1" ht="20.25" customHeight="1" x14ac:dyDescent="0.3">
      <c r="A62" s="241"/>
      <c r="B62" s="242" t="s">
        <v>453</v>
      </c>
      <c r="C62" s="243">
        <f>+C53+C55</f>
        <v>1261859</v>
      </c>
      <c r="D62" s="243">
        <f>+D53+D55</f>
        <v>0</v>
      </c>
      <c r="E62" s="243">
        <f t="shared" si="6"/>
        <v>-1261859</v>
      </c>
      <c r="F62" s="244">
        <f t="shared" si="7"/>
        <v>-1</v>
      </c>
    </row>
    <row r="63" spans="1:6" s="240" customFormat="1" ht="20.25" customHeight="1" x14ac:dyDescent="0.3">
      <c r="A63" s="241"/>
      <c r="B63" s="242" t="s">
        <v>454</v>
      </c>
      <c r="C63" s="243">
        <f>+C54+C56</f>
        <v>379819</v>
      </c>
      <c r="D63" s="243">
        <f>+D54+D56</f>
        <v>0</v>
      </c>
      <c r="E63" s="243">
        <f t="shared" si="6"/>
        <v>-379819</v>
      </c>
      <c r="F63" s="244">
        <f t="shared" si="7"/>
        <v>-1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458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446</v>
      </c>
      <c r="C66" s="237">
        <v>307480</v>
      </c>
      <c r="D66" s="237">
        <v>43140</v>
      </c>
      <c r="E66" s="237">
        <f t="shared" ref="E66:E76" si="8">D66-C66</f>
        <v>-264340</v>
      </c>
      <c r="F66" s="238">
        <f t="shared" ref="F66:F76" si="9">IF(C66=0,0,E66/C66)</f>
        <v>-0.8596981917523091</v>
      </c>
    </row>
    <row r="67" spans="1:6" ht="20.25" customHeight="1" x14ac:dyDescent="0.3">
      <c r="A67" s="235">
        <v>2</v>
      </c>
      <c r="B67" s="236" t="s">
        <v>447</v>
      </c>
      <c r="C67" s="237">
        <v>102480</v>
      </c>
      <c r="D67" s="237">
        <v>13752</v>
      </c>
      <c r="E67" s="237">
        <f t="shared" si="8"/>
        <v>-88728</v>
      </c>
      <c r="F67" s="238">
        <f t="shared" si="9"/>
        <v>-0.86580796252927406</v>
      </c>
    </row>
    <row r="68" spans="1:6" ht="20.25" customHeight="1" x14ac:dyDescent="0.3">
      <c r="A68" s="235">
        <v>3</v>
      </c>
      <c r="B68" s="236" t="s">
        <v>448</v>
      </c>
      <c r="C68" s="237">
        <v>247826</v>
      </c>
      <c r="D68" s="237">
        <v>75493</v>
      </c>
      <c r="E68" s="237">
        <f t="shared" si="8"/>
        <v>-172333</v>
      </c>
      <c r="F68" s="238">
        <f t="shared" si="9"/>
        <v>-0.69537901592246176</v>
      </c>
    </row>
    <row r="69" spans="1:6" ht="20.25" customHeight="1" x14ac:dyDescent="0.3">
      <c r="A69" s="235">
        <v>4</v>
      </c>
      <c r="B69" s="236" t="s">
        <v>449</v>
      </c>
      <c r="C69" s="237">
        <v>72826</v>
      </c>
      <c r="D69" s="237">
        <v>17254</v>
      </c>
      <c r="E69" s="237">
        <f t="shared" si="8"/>
        <v>-55572</v>
      </c>
      <c r="F69" s="238">
        <f t="shared" si="9"/>
        <v>-0.76307912009447176</v>
      </c>
    </row>
    <row r="70" spans="1:6" ht="20.25" customHeight="1" x14ac:dyDescent="0.3">
      <c r="A70" s="235">
        <v>5</v>
      </c>
      <c r="B70" s="236" t="s">
        <v>385</v>
      </c>
      <c r="C70" s="239">
        <v>12</v>
      </c>
      <c r="D70" s="239">
        <v>1</v>
      </c>
      <c r="E70" s="239">
        <f t="shared" si="8"/>
        <v>-11</v>
      </c>
      <c r="F70" s="238">
        <f t="shared" si="9"/>
        <v>-0.91666666666666663</v>
      </c>
    </row>
    <row r="71" spans="1:6" ht="20.25" customHeight="1" x14ac:dyDescent="0.3">
      <c r="A71" s="235">
        <v>6</v>
      </c>
      <c r="B71" s="236" t="s">
        <v>384</v>
      </c>
      <c r="C71" s="239">
        <v>76</v>
      </c>
      <c r="D71" s="239">
        <v>7</v>
      </c>
      <c r="E71" s="239">
        <f t="shared" si="8"/>
        <v>-69</v>
      </c>
      <c r="F71" s="238">
        <f t="shared" si="9"/>
        <v>-0.90789473684210531</v>
      </c>
    </row>
    <row r="72" spans="1:6" ht="20.25" customHeight="1" x14ac:dyDescent="0.3">
      <c r="A72" s="235">
        <v>7</v>
      </c>
      <c r="B72" s="236" t="s">
        <v>450</v>
      </c>
      <c r="C72" s="239">
        <v>133</v>
      </c>
      <c r="D72" s="239">
        <v>22</v>
      </c>
      <c r="E72" s="239">
        <f t="shared" si="8"/>
        <v>-111</v>
      </c>
      <c r="F72" s="238">
        <f t="shared" si="9"/>
        <v>-0.83458646616541354</v>
      </c>
    </row>
    <row r="73" spans="1:6" ht="20.25" customHeight="1" x14ac:dyDescent="0.3">
      <c r="A73" s="235">
        <v>8</v>
      </c>
      <c r="B73" s="236" t="s">
        <v>451</v>
      </c>
      <c r="C73" s="239">
        <v>59</v>
      </c>
      <c r="D73" s="239">
        <v>30</v>
      </c>
      <c r="E73" s="239">
        <f t="shared" si="8"/>
        <v>-29</v>
      </c>
      <c r="F73" s="238">
        <f t="shared" si="9"/>
        <v>-0.49152542372881358</v>
      </c>
    </row>
    <row r="74" spans="1:6" ht="20.25" customHeight="1" x14ac:dyDescent="0.3">
      <c r="A74" s="235">
        <v>9</v>
      </c>
      <c r="B74" s="236" t="s">
        <v>452</v>
      </c>
      <c r="C74" s="239">
        <v>7</v>
      </c>
      <c r="D74" s="239">
        <v>1</v>
      </c>
      <c r="E74" s="239">
        <f t="shared" si="8"/>
        <v>-6</v>
      </c>
      <c r="F74" s="238">
        <f t="shared" si="9"/>
        <v>-0.8571428571428571</v>
      </c>
    </row>
    <row r="75" spans="1:6" s="240" customFormat="1" ht="20.25" customHeight="1" x14ac:dyDescent="0.3">
      <c r="A75" s="241"/>
      <c r="B75" s="242" t="s">
        <v>453</v>
      </c>
      <c r="C75" s="243">
        <f>+C66+C68</f>
        <v>555306</v>
      </c>
      <c r="D75" s="243">
        <f>+D66+D68</f>
        <v>118633</v>
      </c>
      <c r="E75" s="243">
        <f t="shared" si="8"/>
        <v>-436673</v>
      </c>
      <c r="F75" s="244">
        <f t="shared" si="9"/>
        <v>-0.7863646349940393</v>
      </c>
    </row>
    <row r="76" spans="1:6" s="240" customFormat="1" ht="20.25" customHeight="1" x14ac:dyDescent="0.3">
      <c r="A76" s="241"/>
      <c r="B76" s="242" t="s">
        <v>454</v>
      </c>
      <c r="C76" s="243">
        <f>+C67+C69</f>
        <v>175306</v>
      </c>
      <c r="D76" s="243">
        <f>+D67+D69</f>
        <v>31006</v>
      </c>
      <c r="E76" s="243">
        <f t="shared" si="8"/>
        <v>-144300</v>
      </c>
      <c r="F76" s="244">
        <f t="shared" si="9"/>
        <v>-0.82313212325875895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459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446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447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448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449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385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384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450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451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452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453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454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460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446</v>
      </c>
      <c r="C92" s="237">
        <v>957159</v>
      </c>
      <c r="D92" s="237">
        <v>2440655</v>
      </c>
      <c r="E92" s="237">
        <f t="shared" ref="E92:E102" si="12">D92-C92</f>
        <v>1483496</v>
      </c>
      <c r="F92" s="238">
        <f t="shared" ref="F92:F102" si="13">IF(C92=0,0,E92/C92)</f>
        <v>1.5498950540087906</v>
      </c>
    </row>
    <row r="93" spans="1:6" ht="20.25" customHeight="1" x14ac:dyDescent="0.3">
      <c r="A93" s="235">
        <v>2</v>
      </c>
      <c r="B93" s="236" t="s">
        <v>447</v>
      </c>
      <c r="C93" s="237">
        <v>391801</v>
      </c>
      <c r="D93" s="237">
        <v>760964</v>
      </c>
      <c r="E93" s="237">
        <f t="shared" si="12"/>
        <v>369163</v>
      </c>
      <c r="F93" s="238">
        <f t="shared" si="13"/>
        <v>0.94222066814530847</v>
      </c>
    </row>
    <row r="94" spans="1:6" ht="20.25" customHeight="1" x14ac:dyDescent="0.3">
      <c r="A94" s="235">
        <v>3</v>
      </c>
      <c r="B94" s="236" t="s">
        <v>448</v>
      </c>
      <c r="C94" s="237">
        <v>1114217</v>
      </c>
      <c r="D94" s="237">
        <v>1914946</v>
      </c>
      <c r="E94" s="237">
        <f t="shared" si="12"/>
        <v>800729</v>
      </c>
      <c r="F94" s="238">
        <f t="shared" si="13"/>
        <v>0.71864726529930889</v>
      </c>
    </row>
    <row r="95" spans="1:6" ht="20.25" customHeight="1" x14ac:dyDescent="0.3">
      <c r="A95" s="235">
        <v>4</v>
      </c>
      <c r="B95" s="236" t="s">
        <v>449</v>
      </c>
      <c r="C95" s="237">
        <v>264919</v>
      </c>
      <c r="D95" s="237">
        <v>408278</v>
      </c>
      <c r="E95" s="237">
        <f t="shared" si="12"/>
        <v>143359</v>
      </c>
      <c r="F95" s="238">
        <f t="shared" si="13"/>
        <v>0.54114276439213493</v>
      </c>
    </row>
    <row r="96" spans="1:6" ht="20.25" customHeight="1" x14ac:dyDescent="0.3">
      <c r="A96" s="235">
        <v>5</v>
      </c>
      <c r="B96" s="236" t="s">
        <v>385</v>
      </c>
      <c r="C96" s="239">
        <v>37</v>
      </c>
      <c r="D96" s="239">
        <v>82</v>
      </c>
      <c r="E96" s="239">
        <f t="shared" si="12"/>
        <v>45</v>
      </c>
      <c r="F96" s="238">
        <f t="shared" si="13"/>
        <v>1.2162162162162162</v>
      </c>
    </row>
    <row r="97" spans="1:6" ht="20.25" customHeight="1" x14ac:dyDescent="0.3">
      <c r="A97" s="235">
        <v>6</v>
      </c>
      <c r="B97" s="236" t="s">
        <v>384</v>
      </c>
      <c r="C97" s="239">
        <v>216</v>
      </c>
      <c r="D97" s="239">
        <v>462</v>
      </c>
      <c r="E97" s="239">
        <f t="shared" si="12"/>
        <v>246</v>
      </c>
      <c r="F97" s="238">
        <f t="shared" si="13"/>
        <v>1.1388888888888888</v>
      </c>
    </row>
    <row r="98" spans="1:6" ht="20.25" customHeight="1" x14ac:dyDescent="0.3">
      <c r="A98" s="235">
        <v>7</v>
      </c>
      <c r="B98" s="236" t="s">
        <v>450</v>
      </c>
      <c r="C98" s="239">
        <v>412</v>
      </c>
      <c r="D98" s="239">
        <v>1056</v>
      </c>
      <c r="E98" s="239">
        <f t="shared" si="12"/>
        <v>644</v>
      </c>
      <c r="F98" s="238">
        <f t="shared" si="13"/>
        <v>1.5631067961165048</v>
      </c>
    </row>
    <row r="99" spans="1:6" ht="20.25" customHeight="1" x14ac:dyDescent="0.3">
      <c r="A99" s="235">
        <v>8</v>
      </c>
      <c r="B99" s="236" t="s">
        <v>451</v>
      </c>
      <c r="C99" s="239">
        <v>169</v>
      </c>
      <c r="D99" s="239">
        <v>231</v>
      </c>
      <c r="E99" s="239">
        <f t="shared" si="12"/>
        <v>62</v>
      </c>
      <c r="F99" s="238">
        <f t="shared" si="13"/>
        <v>0.36686390532544377</v>
      </c>
    </row>
    <row r="100" spans="1:6" ht="20.25" customHeight="1" x14ac:dyDescent="0.3">
      <c r="A100" s="235">
        <v>9</v>
      </c>
      <c r="B100" s="236" t="s">
        <v>452</v>
      </c>
      <c r="C100" s="239">
        <v>27</v>
      </c>
      <c r="D100" s="239">
        <v>69</v>
      </c>
      <c r="E100" s="239">
        <f t="shared" si="12"/>
        <v>42</v>
      </c>
      <c r="F100" s="238">
        <f t="shared" si="13"/>
        <v>1.5555555555555556</v>
      </c>
    </row>
    <row r="101" spans="1:6" s="240" customFormat="1" ht="20.25" customHeight="1" x14ac:dyDescent="0.3">
      <c r="A101" s="241"/>
      <c r="B101" s="242" t="s">
        <v>453</v>
      </c>
      <c r="C101" s="243">
        <f>+C92+C94</f>
        <v>2071376</v>
      </c>
      <c r="D101" s="243">
        <f>+D92+D94</f>
        <v>4355601</v>
      </c>
      <c r="E101" s="243">
        <f t="shared" si="12"/>
        <v>2284225</v>
      </c>
      <c r="F101" s="244">
        <f t="shared" si="13"/>
        <v>1.1027572975645175</v>
      </c>
    </row>
    <row r="102" spans="1:6" s="240" customFormat="1" ht="20.25" customHeight="1" x14ac:dyDescent="0.3">
      <c r="A102" s="241"/>
      <c r="B102" s="242" t="s">
        <v>454</v>
      </c>
      <c r="C102" s="243">
        <f>+C93+C95</f>
        <v>656720</v>
      </c>
      <c r="D102" s="243">
        <f>+D93+D95</f>
        <v>1169242</v>
      </c>
      <c r="E102" s="243">
        <f t="shared" si="12"/>
        <v>512522</v>
      </c>
      <c r="F102" s="244">
        <f t="shared" si="13"/>
        <v>0.7804269703983433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461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446</v>
      </c>
      <c r="C105" s="237">
        <v>346601</v>
      </c>
      <c r="D105" s="237">
        <v>799637</v>
      </c>
      <c r="E105" s="237">
        <f t="shared" ref="E105:E115" si="14">D105-C105</f>
        <v>453036</v>
      </c>
      <c r="F105" s="238">
        <f t="shared" ref="F105:F115" si="15">IF(C105=0,0,E105/C105)</f>
        <v>1.3070822069180412</v>
      </c>
    </row>
    <row r="106" spans="1:6" ht="20.25" customHeight="1" x14ac:dyDescent="0.3">
      <c r="A106" s="235">
        <v>2</v>
      </c>
      <c r="B106" s="236" t="s">
        <v>447</v>
      </c>
      <c r="C106" s="237">
        <v>131145</v>
      </c>
      <c r="D106" s="237">
        <v>230391</v>
      </c>
      <c r="E106" s="237">
        <f t="shared" si="14"/>
        <v>99246</v>
      </c>
      <c r="F106" s="238">
        <f t="shared" si="15"/>
        <v>0.75676541232986394</v>
      </c>
    </row>
    <row r="107" spans="1:6" ht="20.25" customHeight="1" x14ac:dyDescent="0.3">
      <c r="A107" s="235">
        <v>3</v>
      </c>
      <c r="B107" s="236" t="s">
        <v>448</v>
      </c>
      <c r="C107" s="237">
        <v>290523</v>
      </c>
      <c r="D107" s="237">
        <v>674471</v>
      </c>
      <c r="E107" s="237">
        <f t="shared" si="14"/>
        <v>383948</v>
      </c>
      <c r="F107" s="238">
        <f t="shared" si="15"/>
        <v>1.3215752281230746</v>
      </c>
    </row>
    <row r="108" spans="1:6" ht="20.25" customHeight="1" x14ac:dyDescent="0.3">
      <c r="A108" s="235">
        <v>4</v>
      </c>
      <c r="B108" s="236" t="s">
        <v>449</v>
      </c>
      <c r="C108" s="237">
        <v>61124</v>
      </c>
      <c r="D108" s="237">
        <v>143754</v>
      </c>
      <c r="E108" s="237">
        <f t="shared" si="14"/>
        <v>82630</v>
      </c>
      <c r="F108" s="238">
        <f t="shared" si="15"/>
        <v>1.3518421569269028</v>
      </c>
    </row>
    <row r="109" spans="1:6" ht="20.25" customHeight="1" x14ac:dyDescent="0.3">
      <c r="A109" s="235">
        <v>5</v>
      </c>
      <c r="B109" s="236" t="s">
        <v>385</v>
      </c>
      <c r="C109" s="239">
        <v>12</v>
      </c>
      <c r="D109" s="239">
        <v>25</v>
      </c>
      <c r="E109" s="239">
        <f t="shared" si="14"/>
        <v>13</v>
      </c>
      <c r="F109" s="238">
        <f t="shared" si="15"/>
        <v>1.0833333333333333</v>
      </c>
    </row>
    <row r="110" spans="1:6" ht="20.25" customHeight="1" x14ac:dyDescent="0.3">
      <c r="A110" s="235">
        <v>6</v>
      </c>
      <c r="B110" s="236" t="s">
        <v>384</v>
      </c>
      <c r="C110" s="239">
        <v>67</v>
      </c>
      <c r="D110" s="239">
        <v>146</v>
      </c>
      <c r="E110" s="239">
        <f t="shared" si="14"/>
        <v>79</v>
      </c>
      <c r="F110" s="238">
        <f t="shared" si="15"/>
        <v>1.1791044776119404</v>
      </c>
    </row>
    <row r="111" spans="1:6" ht="20.25" customHeight="1" x14ac:dyDescent="0.3">
      <c r="A111" s="235">
        <v>7</v>
      </c>
      <c r="B111" s="236" t="s">
        <v>450</v>
      </c>
      <c r="C111" s="239">
        <v>106</v>
      </c>
      <c r="D111" s="239">
        <v>271</v>
      </c>
      <c r="E111" s="239">
        <f t="shared" si="14"/>
        <v>165</v>
      </c>
      <c r="F111" s="238">
        <f t="shared" si="15"/>
        <v>1.5566037735849056</v>
      </c>
    </row>
    <row r="112" spans="1:6" ht="20.25" customHeight="1" x14ac:dyDescent="0.3">
      <c r="A112" s="235">
        <v>8</v>
      </c>
      <c r="B112" s="236" t="s">
        <v>451</v>
      </c>
      <c r="C112" s="239">
        <v>68</v>
      </c>
      <c r="D112" s="239">
        <v>146</v>
      </c>
      <c r="E112" s="239">
        <f t="shared" si="14"/>
        <v>78</v>
      </c>
      <c r="F112" s="238">
        <f t="shared" si="15"/>
        <v>1.1470588235294117</v>
      </c>
    </row>
    <row r="113" spans="1:6" ht="20.25" customHeight="1" x14ac:dyDescent="0.3">
      <c r="A113" s="235">
        <v>9</v>
      </c>
      <c r="B113" s="236" t="s">
        <v>452</v>
      </c>
      <c r="C113" s="239">
        <v>7</v>
      </c>
      <c r="D113" s="239">
        <v>23</v>
      </c>
      <c r="E113" s="239">
        <f t="shared" si="14"/>
        <v>16</v>
      </c>
      <c r="F113" s="238">
        <f t="shared" si="15"/>
        <v>2.2857142857142856</v>
      </c>
    </row>
    <row r="114" spans="1:6" s="240" customFormat="1" ht="20.25" customHeight="1" x14ac:dyDescent="0.3">
      <c r="A114" s="241"/>
      <c r="B114" s="242" t="s">
        <v>453</v>
      </c>
      <c r="C114" s="243">
        <f>+C105+C107</f>
        <v>637124</v>
      </c>
      <c r="D114" s="243">
        <f>+D105+D107</f>
        <v>1474108</v>
      </c>
      <c r="E114" s="243">
        <f t="shared" si="14"/>
        <v>836984</v>
      </c>
      <c r="F114" s="244">
        <f t="shared" si="15"/>
        <v>1.3136908984750222</v>
      </c>
    </row>
    <row r="115" spans="1:6" s="240" customFormat="1" ht="20.25" customHeight="1" x14ac:dyDescent="0.3">
      <c r="A115" s="241"/>
      <c r="B115" s="242" t="s">
        <v>454</v>
      </c>
      <c r="C115" s="243">
        <f>+C106+C108</f>
        <v>192269</v>
      </c>
      <c r="D115" s="243">
        <f>+D106+D108</f>
        <v>374145</v>
      </c>
      <c r="E115" s="243">
        <f t="shared" si="14"/>
        <v>181876</v>
      </c>
      <c r="F115" s="244">
        <f t="shared" si="15"/>
        <v>0.94594552423947698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462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446</v>
      </c>
      <c r="C118" s="237">
        <v>624400</v>
      </c>
      <c r="D118" s="237">
        <v>810554</v>
      </c>
      <c r="E118" s="237">
        <f t="shared" ref="E118:E128" si="16">D118-C118</f>
        <v>186154</v>
      </c>
      <c r="F118" s="238">
        <f t="shared" ref="F118:F128" si="17">IF(C118=0,0,E118/C118)</f>
        <v>0.29813260730301089</v>
      </c>
    </row>
    <row r="119" spans="1:6" ht="20.25" customHeight="1" x14ac:dyDescent="0.3">
      <c r="A119" s="235">
        <v>2</v>
      </c>
      <c r="B119" s="236" t="s">
        <v>447</v>
      </c>
      <c r="C119" s="237">
        <v>258963</v>
      </c>
      <c r="D119" s="237">
        <v>201379</v>
      </c>
      <c r="E119" s="237">
        <f t="shared" si="16"/>
        <v>-57584</v>
      </c>
      <c r="F119" s="238">
        <f t="shared" si="17"/>
        <v>-0.22236381259098789</v>
      </c>
    </row>
    <row r="120" spans="1:6" ht="20.25" customHeight="1" x14ac:dyDescent="0.3">
      <c r="A120" s="235">
        <v>3</v>
      </c>
      <c r="B120" s="236" t="s">
        <v>448</v>
      </c>
      <c r="C120" s="237">
        <v>614621</v>
      </c>
      <c r="D120" s="237">
        <v>642823</v>
      </c>
      <c r="E120" s="237">
        <f t="shared" si="16"/>
        <v>28202</v>
      </c>
      <c r="F120" s="238">
        <f t="shared" si="17"/>
        <v>4.5885187782389474E-2</v>
      </c>
    </row>
    <row r="121" spans="1:6" ht="20.25" customHeight="1" x14ac:dyDescent="0.3">
      <c r="A121" s="235">
        <v>4</v>
      </c>
      <c r="B121" s="236" t="s">
        <v>449</v>
      </c>
      <c r="C121" s="237">
        <v>161915</v>
      </c>
      <c r="D121" s="237">
        <v>127823</v>
      </c>
      <c r="E121" s="237">
        <f t="shared" si="16"/>
        <v>-34092</v>
      </c>
      <c r="F121" s="238">
        <f t="shared" si="17"/>
        <v>-0.21055492079177346</v>
      </c>
    </row>
    <row r="122" spans="1:6" ht="20.25" customHeight="1" x14ac:dyDescent="0.3">
      <c r="A122" s="235">
        <v>5</v>
      </c>
      <c r="B122" s="236" t="s">
        <v>385</v>
      </c>
      <c r="C122" s="239">
        <v>30</v>
      </c>
      <c r="D122" s="239">
        <v>27</v>
      </c>
      <c r="E122" s="239">
        <f t="shared" si="16"/>
        <v>-3</v>
      </c>
      <c r="F122" s="238">
        <f t="shared" si="17"/>
        <v>-0.1</v>
      </c>
    </row>
    <row r="123" spans="1:6" ht="20.25" customHeight="1" x14ac:dyDescent="0.3">
      <c r="A123" s="235">
        <v>6</v>
      </c>
      <c r="B123" s="236" t="s">
        <v>384</v>
      </c>
      <c r="C123" s="239">
        <v>118</v>
      </c>
      <c r="D123" s="239">
        <v>174</v>
      </c>
      <c r="E123" s="239">
        <f t="shared" si="16"/>
        <v>56</v>
      </c>
      <c r="F123" s="238">
        <f t="shared" si="17"/>
        <v>0.47457627118644069</v>
      </c>
    </row>
    <row r="124" spans="1:6" ht="20.25" customHeight="1" x14ac:dyDescent="0.3">
      <c r="A124" s="235">
        <v>7</v>
      </c>
      <c r="B124" s="236" t="s">
        <v>450</v>
      </c>
      <c r="C124" s="239">
        <v>291</v>
      </c>
      <c r="D124" s="239">
        <v>449</v>
      </c>
      <c r="E124" s="239">
        <f t="shared" si="16"/>
        <v>158</v>
      </c>
      <c r="F124" s="238">
        <f t="shared" si="17"/>
        <v>0.54295532646048106</v>
      </c>
    </row>
    <row r="125" spans="1:6" ht="20.25" customHeight="1" x14ac:dyDescent="0.3">
      <c r="A125" s="235">
        <v>8</v>
      </c>
      <c r="B125" s="236" t="s">
        <v>451</v>
      </c>
      <c r="C125" s="239">
        <v>69</v>
      </c>
      <c r="D125" s="239">
        <v>56</v>
      </c>
      <c r="E125" s="239">
        <f t="shared" si="16"/>
        <v>-13</v>
      </c>
      <c r="F125" s="238">
        <f t="shared" si="17"/>
        <v>-0.18840579710144928</v>
      </c>
    </row>
    <row r="126" spans="1:6" ht="20.25" customHeight="1" x14ac:dyDescent="0.3">
      <c r="A126" s="235">
        <v>9</v>
      </c>
      <c r="B126" s="236" t="s">
        <v>452</v>
      </c>
      <c r="C126" s="239">
        <v>22</v>
      </c>
      <c r="D126" s="239">
        <v>25</v>
      </c>
      <c r="E126" s="239">
        <f t="shared" si="16"/>
        <v>3</v>
      </c>
      <c r="F126" s="238">
        <f t="shared" si="17"/>
        <v>0.13636363636363635</v>
      </c>
    </row>
    <row r="127" spans="1:6" s="240" customFormat="1" ht="20.25" customHeight="1" x14ac:dyDescent="0.3">
      <c r="A127" s="241"/>
      <c r="B127" s="242" t="s">
        <v>453</v>
      </c>
      <c r="C127" s="243">
        <f>+C118+C120</f>
        <v>1239021</v>
      </c>
      <c r="D127" s="243">
        <f>+D118+D120</f>
        <v>1453377</v>
      </c>
      <c r="E127" s="243">
        <f t="shared" si="16"/>
        <v>214356</v>
      </c>
      <c r="F127" s="244">
        <f t="shared" si="17"/>
        <v>0.17300433164571061</v>
      </c>
    </row>
    <row r="128" spans="1:6" s="240" customFormat="1" ht="20.25" customHeight="1" x14ac:dyDescent="0.3">
      <c r="A128" s="241"/>
      <c r="B128" s="242" t="s">
        <v>454</v>
      </c>
      <c r="C128" s="243">
        <f>+C119+C121</f>
        <v>420878</v>
      </c>
      <c r="D128" s="243">
        <f>+D119+D121</f>
        <v>329202</v>
      </c>
      <c r="E128" s="243">
        <f t="shared" si="16"/>
        <v>-91676</v>
      </c>
      <c r="F128" s="244">
        <f t="shared" si="17"/>
        <v>-0.21782084119388517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463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446</v>
      </c>
      <c r="C131" s="237">
        <v>0</v>
      </c>
      <c r="D131" s="237">
        <v>11618</v>
      </c>
      <c r="E131" s="237">
        <f t="shared" ref="E131:E141" si="18">D131-C131</f>
        <v>11618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447</v>
      </c>
      <c r="C132" s="237">
        <v>0</v>
      </c>
      <c r="D132" s="237">
        <v>3118</v>
      </c>
      <c r="E132" s="237">
        <f t="shared" si="18"/>
        <v>3118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448</v>
      </c>
      <c r="C133" s="237">
        <v>24836</v>
      </c>
      <c r="D133" s="237">
        <v>39610</v>
      </c>
      <c r="E133" s="237">
        <f t="shared" si="18"/>
        <v>14774</v>
      </c>
      <c r="F133" s="238">
        <f t="shared" si="19"/>
        <v>0.59486229666612978</v>
      </c>
    </row>
    <row r="134" spans="1:6" ht="20.25" customHeight="1" x14ac:dyDescent="0.3">
      <c r="A134" s="235">
        <v>4</v>
      </c>
      <c r="B134" s="236" t="s">
        <v>449</v>
      </c>
      <c r="C134" s="237">
        <v>6581</v>
      </c>
      <c r="D134" s="237">
        <v>5294</v>
      </c>
      <c r="E134" s="237">
        <f t="shared" si="18"/>
        <v>-1287</v>
      </c>
      <c r="F134" s="238">
        <f t="shared" si="19"/>
        <v>-0.19556298434888314</v>
      </c>
    </row>
    <row r="135" spans="1:6" ht="20.25" customHeight="1" x14ac:dyDescent="0.3">
      <c r="A135" s="235">
        <v>5</v>
      </c>
      <c r="B135" s="236" t="s">
        <v>385</v>
      </c>
      <c r="C135" s="239">
        <v>0</v>
      </c>
      <c r="D135" s="239">
        <v>1</v>
      </c>
      <c r="E135" s="239">
        <f t="shared" si="18"/>
        <v>1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384</v>
      </c>
      <c r="C136" s="239">
        <v>0</v>
      </c>
      <c r="D136" s="239">
        <v>2</v>
      </c>
      <c r="E136" s="239">
        <f t="shared" si="18"/>
        <v>2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450</v>
      </c>
      <c r="C137" s="239">
        <v>10</v>
      </c>
      <c r="D137" s="239">
        <v>16</v>
      </c>
      <c r="E137" s="239">
        <f t="shared" si="18"/>
        <v>6</v>
      </c>
      <c r="F137" s="238">
        <f t="shared" si="19"/>
        <v>0.6</v>
      </c>
    </row>
    <row r="138" spans="1:6" ht="20.25" customHeight="1" x14ac:dyDescent="0.3">
      <c r="A138" s="235">
        <v>8</v>
      </c>
      <c r="B138" s="236" t="s">
        <v>451</v>
      </c>
      <c r="C138" s="239">
        <v>3</v>
      </c>
      <c r="D138" s="239">
        <v>2</v>
      </c>
      <c r="E138" s="239">
        <f t="shared" si="18"/>
        <v>-1</v>
      </c>
      <c r="F138" s="238">
        <f t="shared" si="19"/>
        <v>-0.33333333333333331</v>
      </c>
    </row>
    <row r="139" spans="1:6" ht="20.25" customHeight="1" x14ac:dyDescent="0.3">
      <c r="A139" s="235">
        <v>9</v>
      </c>
      <c r="B139" s="236" t="s">
        <v>452</v>
      </c>
      <c r="C139" s="239">
        <v>0</v>
      </c>
      <c r="D139" s="239">
        <v>1</v>
      </c>
      <c r="E139" s="239">
        <f t="shared" si="18"/>
        <v>1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453</v>
      </c>
      <c r="C140" s="243">
        <f>+C131+C133</f>
        <v>24836</v>
      </c>
      <c r="D140" s="243">
        <f>+D131+D133</f>
        <v>51228</v>
      </c>
      <c r="E140" s="243">
        <f t="shared" si="18"/>
        <v>26392</v>
      </c>
      <c r="F140" s="244">
        <f t="shared" si="19"/>
        <v>1.0626509904976646</v>
      </c>
    </row>
    <row r="141" spans="1:6" s="240" customFormat="1" ht="20.25" customHeight="1" x14ac:dyDescent="0.3">
      <c r="A141" s="241"/>
      <c r="B141" s="242" t="s">
        <v>454</v>
      </c>
      <c r="C141" s="243">
        <f>+C132+C134</f>
        <v>6581</v>
      </c>
      <c r="D141" s="243">
        <f>+D132+D134</f>
        <v>8412</v>
      </c>
      <c r="E141" s="243">
        <f t="shared" si="18"/>
        <v>1831</v>
      </c>
      <c r="F141" s="244">
        <f t="shared" si="19"/>
        <v>0.27822519373955323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230</v>
      </c>
      <c r="B143" s="231" t="s">
        <v>464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446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447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448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449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385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384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450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451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452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453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454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465</v>
      </c>
      <c r="B156" s="231" t="s">
        <v>466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446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447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448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449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385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384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450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451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452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453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454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467</v>
      </c>
      <c r="B169" s="231" t="s">
        <v>468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446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447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448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449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385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384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450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451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452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453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454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469</v>
      </c>
      <c r="B182" s="231" t="s">
        <v>470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446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447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448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449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385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384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450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451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452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453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454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471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472</v>
      </c>
      <c r="C198" s="243">
        <f t="shared" ref="C198:D206" si="28">+C183+C170+C157+C144+C131+C118+C105+C92+C79+C66+C53+C40+C27+C14</f>
        <v>6208188</v>
      </c>
      <c r="D198" s="243">
        <f t="shared" si="28"/>
        <v>9834862</v>
      </c>
      <c r="E198" s="243">
        <f t="shared" ref="E198:E208" si="29">D198-C198</f>
        <v>3626674</v>
      </c>
      <c r="F198" s="251">
        <f t="shared" ref="F198:F208" si="30">IF(C198=0,0,E198/C198)</f>
        <v>0.58417593023922598</v>
      </c>
    </row>
    <row r="199" spans="1:9" ht="20.25" customHeight="1" x14ac:dyDescent="0.3">
      <c r="A199" s="249"/>
      <c r="B199" s="250" t="s">
        <v>473</v>
      </c>
      <c r="C199" s="243">
        <f t="shared" si="28"/>
        <v>2406391</v>
      </c>
      <c r="D199" s="243">
        <f t="shared" si="28"/>
        <v>3167587</v>
      </c>
      <c r="E199" s="243">
        <f t="shared" si="29"/>
        <v>761196</v>
      </c>
      <c r="F199" s="251">
        <f t="shared" si="30"/>
        <v>0.31632265911898771</v>
      </c>
    </row>
    <row r="200" spans="1:9" ht="20.25" customHeight="1" x14ac:dyDescent="0.3">
      <c r="A200" s="249"/>
      <c r="B200" s="250" t="s">
        <v>474</v>
      </c>
      <c r="C200" s="243">
        <f t="shared" si="28"/>
        <v>6081373</v>
      </c>
      <c r="D200" s="243">
        <f t="shared" si="28"/>
        <v>9055757</v>
      </c>
      <c r="E200" s="243">
        <f t="shared" si="29"/>
        <v>2974384</v>
      </c>
      <c r="F200" s="251">
        <f t="shared" si="30"/>
        <v>0.48909744559328955</v>
      </c>
    </row>
    <row r="201" spans="1:9" ht="20.25" customHeight="1" x14ac:dyDescent="0.3">
      <c r="A201" s="249"/>
      <c r="B201" s="250" t="s">
        <v>475</v>
      </c>
      <c r="C201" s="243">
        <f t="shared" si="28"/>
        <v>1332022</v>
      </c>
      <c r="D201" s="243">
        <f t="shared" si="28"/>
        <v>1968614</v>
      </c>
      <c r="E201" s="243">
        <f t="shared" si="29"/>
        <v>636592</v>
      </c>
      <c r="F201" s="251">
        <f t="shared" si="30"/>
        <v>0.47791402844697761</v>
      </c>
    </row>
    <row r="202" spans="1:9" ht="20.25" customHeight="1" x14ac:dyDescent="0.3">
      <c r="A202" s="249"/>
      <c r="B202" s="250" t="s">
        <v>476</v>
      </c>
      <c r="C202" s="252">
        <f t="shared" si="28"/>
        <v>264</v>
      </c>
      <c r="D202" s="252">
        <f t="shared" si="28"/>
        <v>346</v>
      </c>
      <c r="E202" s="252">
        <f t="shared" si="29"/>
        <v>82</v>
      </c>
      <c r="F202" s="251">
        <f t="shared" si="30"/>
        <v>0.31060606060606061</v>
      </c>
    </row>
    <row r="203" spans="1:9" ht="20.25" customHeight="1" x14ac:dyDescent="0.3">
      <c r="A203" s="249"/>
      <c r="B203" s="250" t="s">
        <v>477</v>
      </c>
      <c r="C203" s="252">
        <f t="shared" si="28"/>
        <v>1371</v>
      </c>
      <c r="D203" s="252">
        <f t="shared" si="28"/>
        <v>1800</v>
      </c>
      <c r="E203" s="252">
        <f t="shared" si="29"/>
        <v>429</v>
      </c>
      <c r="F203" s="251">
        <f t="shared" si="30"/>
        <v>0.31291028446389496</v>
      </c>
    </row>
    <row r="204" spans="1:9" ht="39.950000000000003" customHeight="1" x14ac:dyDescent="0.3">
      <c r="A204" s="249"/>
      <c r="B204" s="250" t="s">
        <v>478</v>
      </c>
      <c r="C204" s="252">
        <f t="shared" si="28"/>
        <v>2892</v>
      </c>
      <c r="D204" s="252">
        <f t="shared" si="28"/>
        <v>5325</v>
      </c>
      <c r="E204" s="252">
        <f t="shared" si="29"/>
        <v>2433</v>
      </c>
      <c r="F204" s="251">
        <f t="shared" si="30"/>
        <v>0.84128630705394192</v>
      </c>
    </row>
    <row r="205" spans="1:9" ht="39.950000000000003" customHeight="1" x14ac:dyDescent="0.3">
      <c r="A205" s="249"/>
      <c r="B205" s="250" t="s">
        <v>479</v>
      </c>
      <c r="C205" s="252">
        <f t="shared" si="28"/>
        <v>826</v>
      </c>
      <c r="D205" s="252">
        <f t="shared" si="28"/>
        <v>944</v>
      </c>
      <c r="E205" s="252">
        <f t="shared" si="29"/>
        <v>118</v>
      </c>
      <c r="F205" s="251">
        <f t="shared" si="30"/>
        <v>0.14285714285714285</v>
      </c>
    </row>
    <row r="206" spans="1:9" ht="39.950000000000003" customHeight="1" x14ac:dyDescent="0.3">
      <c r="A206" s="249"/>
      <c r="B206" s="250" t="s">
        <v>480</v>
      </c>
      <c r="C206" s="252">
        <f t="shared" si="28"/>
        <v>208</v>
      </c>
      <c r="D206" s="252">
        <f t="shared" si="28"/>
        <v>282</v>
      </c>
      <c r="E206" s="252">
        <f t="shared" si="29"/>
        <v>74</v>
      </c>
      <c r="F206" s="251">
        <f t="shared" si="30"/>
        <v>0.35576923076923078</v>
      </c>
    </row>
    <row r="207" spans="1:9" ht="20.25" customHeight="1" x14ac:dyDescent="0.3">
      <c r="A207" s="249"/>
      <c r="B207" s="242" t="s">
        <v>481</v>
      </c>
      <c r="C207" s="243">
        <f>+C198+C200</f>
        <v>12289561</v>
      </c>
      <c r="D207" s="243">
        <f>+D198+D200</f>
        <v>18890619</v>
      </c>
      <c r="E207" s="243">
        <f t="shared" si="29"/>
        <v>6601058</v>
      </c>
      <c r="F207" s="251">
        <f t="shared" si="30"/>
        <v>0.53712724156705027</v>
      </c>
    </row>
    <row r="208" spans="1:9" ht="20.25" customHeight="1" x14ac:dyDescent="0.3">
      <c r="A208" s="249"/>
      <c r="B208" s="242" t="s">
        <v>482</v>
      </c>
      <c r="C208" s="243">
        <f>+C199+C201</f>
        <v>3738413</v>
      </c>
      <c r="D208" s="243">
        <f>+D199+D201</f>
        <v>5136201</v>
      </c>
      <c r="E208" s="243">
        <f t="shared" si="29"/>
        <v>1397788</v>
      </c>
      <c r="F208" s="251">
        <f t="shared" si="30"/>
        <v>0.37389876399424032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FILING&amp;RROCKVILLE GENERAL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483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484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449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453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482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485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446</v>
      </c>
      <c r="C26" s="237">
        <v>627855</v>
      </c>
      <c r="D26" s="237">
        <v>171899</v>
      </c>
      <c r="E26" s="237">
        <f t="shared" ref="E26:E36" si="2">D26-C26</f>
        <v>-455956</v>
      </c>
      <c r="F26" s="238">
        <f t="shared" ref="F26:F36" si="3">IF(C26=0,0,E26/C26)</f>
        <v>-0.72621226238542336</v>
      </c>
    </row>
    <row r="27" spans="1:6" ht="20.25" customHeight="1" x14ac:dyDescent="0.3">
      <c r="A27" s="235">
        <v>2</v>
      </c>
      <c r="B27" s="236" t="s">
        <v>447</v>
      </c>
      <c r="C27" s="237">
        <v>214332</v>
      </c>
      <c r="D27" s="237">
        <v>24777</v>
      </c>
      <c r="E27" s="237">
        <f t="shared" si="2"/>
        <v>-189555</v>
      </c>
      <c r="F27" s="238">
        <f t="shared" si="3"/>
        <v>-0.88439896982251831</v>
      </c>
    </row>
    <row r="28" spans="1:6" ht="20.25" customHeight="1" x14ac:dyDescent="0.3">
      <c r="A28" s="235">
        <v>3</v>
      </c>
      <c r="B28" s="236" t="s">
        <v>448</v>
      </c>
      <c r="C28" s="237">
        <v>5367723</v>
      </c>
      <c r="D28" s="237">
        <v>1432928</v>
      </c>
      <c r="E28" s="237">
        <f t="shared" si="2"/>
        <v>-3934795</v>
      </c>
      <c r="F28" s="238">
        <f t="shared" si="3"/>
        <v>-0.73304732751671431</v>
      </c>
    </row>
    <row r="29" spans="1:6" ht="20.25" customHeight="1" x14ac:dyDescent="0.3">
      <c r="A29" s="235">
        <v>4</v>
      </c>
      <c r="B29" s="236" t="s">
        <v>449</v>
      </c>
      <c r="C29" s="237">
        <v>1687264</v>
      </c>
      <c r="D29" s="237">
        <v>191786</v>
      </c>
      <c r="E29" s="237">
        <f t="shared" si="2"/>
        <v>-1495478</v>
      </c>
      <c r="F29" s="238">
        <f t="shared" si="3"/>
        <v>-0.88633314051624401</v>
      </c>
    </row>
    <row r="30" spans="1:6" ht="20.25" customHeight="1" x14ac:dyDescent="0.3">
      <c r="A30" s="235">
        <v>5</v>
      </c>
      <c r="B30" s="236" t="s">
        <v>385</v>
      </c>
      <c r="C30" s="239">
        <v>55</v>
      </c>
      <c r="D30" s="239">
        <v>8</v>
      </c>
      <c r="E30" s="239">
        <f t="shared" si="2"/>
        <v>-47</v>
      </c>
      <c r="F30" s="238">
        <f t="shared" si="3"/>
        <v>-0.8545454545454545</v>
      </c>
    </row>
    <row r="31" spans="1:6" ht="20.25" customHeight="1" x14ac:dyDescent="0.3">
      <c r="A31" s="235">
        <v>6</v>
      </c>
      <c r="B31" s="236" t="s">
        <v>384</v>
      </c>
      <c r="C31" s="239">
        <v>171</v>
      </c>
      <c r="D31" s="239">
        <v>23</v>
      </c>
      <c r="E31" s="239">
        <f t="shared" si="2"/>
        <v>-148</v>
      </c>
      <c r="F31" s="238">
        <f t="shared" si="3"/>
        <v>-0.86549707602339176</v>
      </c>
    </row>
    <row r="32" spans="1:6" ht="20.25" customHeight="1" x14ac:dyDescent="0.3">
      <c r="A32" s="235">
        <v>7</v>
      </c>
      <c r="B32" s="236" t="s">
        <v>450</v>
      </c>
      <c r="C32" s="239">
        <v>2227</v>
      </c>
      <c r="D32" s="239">
        <v>754</v>
      </c>
      <c r="E32" s="239">
        <f t="shared" si="2"/>
        <v>-1473</v>
      </c>
      <c r="F32" s="238">
        <f t="shared" si="3"/>
        <v>-0.66142792995060617</v>
      </c>
    </row>
    <row r="33" spans="1:6" ht="20.25" customHeight="1" x14ac:dyDescent="0.3">
      <c r="A33" s="235">
        <v>8</v>
      </c>
      <c r="B33" s="236" t="s">
        <v>451</v>
      </c>
      <c r="C33" s="239">
        <v>2592</v>
      </c>
      <c r="D33" s="239">
        <v>582</v>
      </c>
      <c r="E33" s="239">
        <f t="shared" si="2"/>
        <v>-2010</v>
      </c>
      <c r="F33" s="238">
        <f t="shared" si="3"/>
        <v>-0.77546296296296291</v>
      </c>
    </row>
    <row r="34" spans="1:6" ht="20.25" customHeight="1" x14ac:dyDescent="0.3">
      <c r="A34" s="235">
        <v>9</v>
      </c>
      <c r="B34" s="236" t="s">
        <v>452</v>
      </c>
      <c r="C34" s="239">
        <v>26</v>
      </c>
      <c r="D34" s="239">
        <v>8</v>
      </c>
      <c r="E34" s="239">
        <f t="shared" si="2"/>
        <v>-18</v>
      </c>
      <c r="F34" s="238">
        <f t="shared" si="3"/>
        <v>-0.69230769230769229</v>
      </c>
    </row>
    <row r="35" spans="1:6" s="240" customFormat="1" ht="39.950000000000003" customHeight="1" x14ac:dyDescent="0.3">
      <c r="A35" s="245"/>
      <c r="B35" s="242" t="s">
        <v>453</v>
      </c>
      <c r="C35" s="243">
        <f>+C26+C28</f>
        <v>5995578</v>
      </c>
      <c r="D35" s="243">
        <f>+D26+D28</f>
        <v>1604827</v>
      </c>
      <c r="E35" s="243">
        <f t="shared" si="2"/>
        <v>-4390751</v>
      </c>
      <c r="F35" s="244">
        <f t="shared" si="3"/>
        <v>-0.73233156169430202</v>
      </c>
    </row>
    <row r="36" spans="1:6" s="240" customFormat="1" ht="39.950000000000003" customHeight="1" x14ac:dyDescent="0.3">
      <c r="A36" s="245"/>
      <c r="B36" s="242" t="s">
        <v>482</v>
      </c>
      <c r="C36" s="243">
        <f>+C27+C29</f>
        <v>1901596</v>
      </c>
      <c r="D36" s="243">
        <f>+D27+D29</f>
        <v>216563</v>
      </c>
      <c r="E36" s="243">
        <f t="shared" si="2"/>
        <v>-1685033</v>
      </c>
      <c r="F36" s="244">
        <f t="shared" si="3"/>
        <v>-0.88611513696915645</v>
      </c>
    </row>
    <row r="37" spans="1:6" ht="42" customHeight="1" x14ac:dyDescent="0.3">
      <c r="A37" s="227" t="s">
        <v>141</v>
      </c>
      <c r="B37" s="261" t="s">
        <v>486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446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447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448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449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385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384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450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451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452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453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482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487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446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447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448</v>
      </c>
      <c r="C52" s="237">
        <v>0</v>
      </c>
      <c r="D52" s="237">
        <v>0</v>
      </c>
      <c r="E52" s="237">
        <f t="shared" si="6"/>
        <v>0</v>
      </c>
      <c r="F52" s="238">
        <f t="shared" si="7"/>
        <v>0</v>
      </c>
    </row>
    <row r="53" spans="1:6" ht="20.25" customHeight="1" x14ac:dyDescent="0.3">
      <c r="A53" s="235">
        <v>4</v>
      </c>
      <c r="B53" s="236" t="s">
        <v>449</v>
      </c>
      <c r="C53" s="237">
        <v>0</v>
      </c>
      <c r="D53" s="237">
        <v>0</v>
      </c>
      <c r="E53" s="237">
        <f t="shared" si="6"/>
        <v>0</v>
      </c>
      <c r="F53" s="238">
        <f t="shared" si="7"/>
        <v>0</v>
      </c>
    </row>
    <row r="54" spans="1:6" ht="20.25" customHeight="1" x14ac:dyDescent="0.3">
      <c r="A54" s="235">
        <v>5</v>
      </c>
      <c r="B54" s="236" t="s">
        <v>385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384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450</v>
      </c>
      <c r="C56" s="239">
        <v>0</v>
      </c>
      <c r="D56" s="239">
        <v>0</v>
      </c>
      <c r="E56" s="239">
        <f t="shared" si="6"/>
        <v>0</v>
      </c>
      <c r="F56" s="238">
        <f t="shared" si="7"/>
        <v>0</v>
      </c>
    </row>
    <row r="57" spans="1:6" ht="20.25" customHeight="1" x14ac:dyDescent="0.3">
      <c r="A57" s="235">
        <v>8</v>
      </c>
      <c r="B57" s="236" t="s">
        <v>451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452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453</v>
      </c>
      <c r="C59" s="243">
        <f>+C50+C52</f>
        <v>0</v>
      </c>
      <c r="D59" s="243">
        <f>+D50+D52</f>
        <v>0</v>
      </c>
      <c r="E59" s="243">
        <f t="shared" si="6"/>
        <v>0</v>
      </c>
      <c r="F59" s="244">
        <f t="shared" si="7"/>
        <v>0</v>
      </c>
    </row>
    <row r="60" spans="1:6" s="240" customFormat="1" ht="39.950000000000003" customHeight="1" x14ac:dyDescent="0.3">
      <c r="A60" s="245"/>
      <c r="B60" s="242" t="s">
        <v>482</v>
      </c>
      <c r="C60" s="243">
        <f>+C51+C53</f>
        <v>0</v>
      </c>
      <c r="D60" s="243">
        <f>+D51+D53</f>
        <v>0</v>
      </c>
      <c r="E60" s="243">
        <f t="shared" si="6"/>
        <v>0</v>
      </c>
      <c r="F60" s="244">
        <f t="shared" si="7"/>
        <v>0</v>
      </c>
    </row>
    <row r="61" spans="1:6" ht="42" customHeight="1" x14ac:dyDescent="0.3">
      <c r="A61" s="227" t="s">
        <v>176</v>
      </c>
      <c r="B61" s="261" t="s">
        <v>461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446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447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448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449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385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384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450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451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452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453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482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488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446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447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448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449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385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384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450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451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452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453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482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489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446</v>
      </c>
      <c r="C86" s="237">
        <v>237256</v>
      </c>
      <c r="D86" s="237">
        <v>84553</v>
      </c>
      <c r="E86" s="237">
        <f t="shared" ref="E86:E96" si="12">D86-C86</f>
        <v>-152703</v>
      </c>
      <c r="F86" s="238">
        <f t="shared" ref="F86:F96" si="13">IF(C86=0,0,E86/C86)</f>
        <v>-0.64362123613312205</v>
      </c>
    </row>
    <row r="87" spans="1:6" ht="20.25" customHeight="1" x14ac:dyDescent="0.3">
      <c r="A87" s="235">
        <v>2</v>
      </c>
      <c r="B87" s="236" t="s">
        <v>447</v>
      </c>
      <c r="C87" s="237">
        <v>61022</v>
      </c>
      <c r="D87" s="237">
        <v>26553</v>
      </c>
      <c r="E87" s="237">
        <f t="shared" si="12"/>
        <v>-34469</v>
      </c>
      <c r="F87" s="238">
        <f t="shared" si="13"/>
        <v>-0.56486185310215986</v>
      </c>
    </row>
    <row r="88" spans="1:6" ht="20.25" customHeight="1" x14ac:dyDescent="0.3">
      <c r="A88" s="235">
        <v>3</v>
      </c>
      <c r="B88" s="236" t="s">
        <v>448</v>
      </c>
      <c r="C88" s="237">
        <v>1724425</v>
      </c>
      <c r="D88" s="237">
        <v>373404</v>
      </c>
      <c r="E88" s="237">
        <f t="shared" si="12"/>
        <v>-1351021</v>
      </c>
      <c r="F88" s="238">
        <f t="shared" si="13"/>
        <v>-0.78346173362135207</v>
      </c>
    </row>
    <row r="89" spans="1:6" ht="20.25" customHeight="1" x14ac:dyDescent="0.3">
      <c r="A89" s="235">
        <v>4</v>
      </c>
      <c r="B89" s="236" t="s">
        <v>449</v>
      </c>
      <c r="C89" s="237">
        <v>449444</v>
      </c>
      <c r="D89" s="237">
        <v>73404</v>
      </c>
      <c r="E89" s="237">
        <f t="shared" si="12"/>
        <v>-376040</v>
      </c>
      <c r="F89" s="238">
        <f t="shared" si="13"/>
        <v>-0.83667820685113159</v>
      </c>
    </row>
    <row r="90" spans="1:6" ht="20.25" customHeight="1" x14ac:dyDescent="0.3">
      <c r="A90" s="235">
        <v>5</v>
      </c>
      <c r="B90" s="236" t="s">
        <v>385</v>
      </c>
      <c r="C90" s="239">
        <v>24</v>
      </c>
      <c r="D90" s="239">
        <v>3</v>
      </c>
      <c r="E90" s="239">
        <f t="shared" si="12"/>
        <v>-21</v>
      </c>
      <c r="F90" s="238">
        <f t="shared" si="13"/>
        <v>-0.875</v>
      </c>
    </row>
    <row r="91" spans="1:6" ht="20.25" customHeight="1" x14ac:dyDescent="0.3">
      <c r="A91" s="235">
        <v>6</v>
      </c>
      <c r="B91" s="236" t="s">
        <v>384</v>
      </c>
      <c r="C91" s="239">
        <v>59</v>
      </c>
      <c r="D91" s="239">
        <v>21</v>
      </c>
      <c r="E91" s="239">
        <f t="shared" si="12"/>
        <v>-38</v>
      </c>
      <c r="F91" s="238">
        <f t="shared" si="13"/>
        <v>-0.64406779661016944</v>
      </c>
    </row>
    <row r="92" spans="1:6" ht="20.25" customHeight="1" x14ac:dyDescent="0.3">
      <c r="A92" s="235">
        <v>7</v>
      </c>
      <c r="B92" s="236" t="s">
        <v>450</v>
      </c>
      <c r="C92" s="239">
        <v>680</v>
      </c>
      <c r="D92" s="239">
        <v>217</v>
      </c>
      <c r="E92" s="239">
        <f t="shared" si="12"/>
        <v>-463</v>
      </c>
      <c r="F92" s="238">
        <f t="shared" si="13"/>
        <v>-0.68088235294117649</v>
      </c>
    </row>
    <row r="93" spans="1:6" ht="20.25" customHeight="1" x14ac:dyDescent="0.3">
      <c r="A93" s="235">
        <v>8</v>
      </c>
      <c r="B93" s="236" t="s">
        <v>451</v>
      </c>
      <c r="C93" s="239">
        <v>821</v>
      </c>
      <c r="D93" s="239">
        <v>182</v>
      </c>
      <c r="E93" s="239">
        <f t="shared" si="12"/>
        <v>-639</v>
      </c>
      <c r="F93" s="238">
        <f t="shared" si="13"/>
        <v>-0.77831912302070649</v>
      </c>
    </row>
    <row r="94" spans="1:6" ht="20.25" customHeight="1" x14ac:dyDescent="0.3">
      <c r="A94" s="235">
        <v>9</v>
      </c>
      <c r="B94" s="236" t="s">
        <v>452</v>
      </c>
      <c r="C94" s="239">
        <v>9</v>
      </c>
      <c r="D94" s="239">
        <v>3</v>
      </c>
      <c r="E94" s="239">
        <f t="shared" si="12"/>
        <v>-6</v>
      </c>
      <c r="F94" s="238">
        <f t="shared" si="13"/>
        <v>-0.66666666666666663</v>
      </c>
    </row>
    <row r="95" spans="1:6" s="240" customFormat="1" ht="39.950000000000003" customHeight="1" x14ac:dyDescent="0.3">
      <c r="A95" s="245"/>
      <c r="B95" s="242" t="s">
        <v>453</v>
      </c>
      <c r="C95" s="243">
        <f>+C86+C88</f>
        <v>1961681</v>
      </c>
      <c r="D95" s="243">
        <f>+D86+D88</f>
        <v>457957</v>
      </c>
      <c r="E95" s="243">
        <f t="shared" si="12"/>
        <v>-1503724</v>
      </c>
      <c r="F95" s="244">
        <f t="shared" si="13"/>
        <v>-0.76654868961875045</v>
      </c>
    </row>
    <row r="96" spans="1:6" s="240" customFormat="1" ht="39.950000000000003" customHeight="1" x14ac:dyDescent="0.3">
      <c r="A96" s="245"/>
      <c r="B96" s="242" t="s">
        <v>482</v>
      </c>
      <c r="C96" s="243">
        <f>+C87+C89</f>
        <v>510466</v>
      </c>
      <c r="D96" s="243">
        <f>+D87+D89</f>
        <v>99957</v>
      </c>
      <c r="E96" s="243">
        <f t="shared" si="12"/>
        <v>-410509</v>
      </c>
      <c r="F96" s="244">
        <f t="shared" si="13"/>
        <v>-0.80418480368917811</v>
      </c>
    </row>
    <row r="97" spans="1:7" ht="42" customHeight="1" x14ac:dyDescent="0.3">
      <c r="A97" s="227" t="s">
        <v>187</v>
      </c>
      <c r="B97" s="261" t="s">
        <v>462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446</v>
      </c>
      <c r="C98" s="237">
        <v>420544</v>
      </c>
      <c r="D98" s="237">
        <v>214051</v>
      </c>
      <c r="E98" s="237">
        <f t="shared" ref="E98:E108" si="14">D98-C98</f>
        <v>-206493</v>
      </c>
      <c r="F98" s="238">
        <f t="shared" ref="F98:F108" si="15">IF(C98=0,0,E98/C98)</f>
        <v>-0.49101401993608279</v>
      </c>
    </row>
    <row r="99" spans="1:7" ht="20.25" customHeight="1" x14ac:dyDescent="0.3">
      <c r="A99" s="235">
        <v>2</v>
      </c>
      <c r="B99" s="236" t="s">
        <v>447</v>
      </c>
      <c r="C99" s="237">
        <v>105355</v>
      </c>
      <c r="D99" s="237">
        <v>73538</v>
      </c>
      <c r="E99" s="237">
        <f t="shared" si="14"/>
        <v>-31817</v>
      </c>
      <c r="F99" s="238">
        <f t="shared" si="15"/>
        <v>-0.30199800673912014</v>
      </c>
    </row>
    <row r="100" spans="1:7" ht="20.25" customHeight="1" x14ac:dyDescent="0.3">
      <c r="A100" s="235">
        <v>3</v>
      </c>
      <c r="B100" s="236" t="s">
        <v>448</v>
      </c>
      <c r="C100" s="237">
        <v>3441012</v>
      </c>
      <c r="D100" s="237">
        <v>943601</v>
      </c>
      <c r="E100" s="237">
        <f t="shared" si="14"/>
        <v>-2497411</v>
      </c>
      <c r="F100" s="238">
        <f t="shared" si="15"/>
        <v>-0.72577805599050516</v>
      </c>
    </row>
    <row r="101" spans="1:7" ht="20.25" customHeight="1" x14ac:dyDescent="0.3">
      <c r="A101" s="235">
        <v>4</v>
      </c>
      <c r="B101" s="236" t="s">
        <v>449</v>
      </c>
      <c r="C101" s="237">
        <v>868033</v>
      </c>
      <c r="D101" s="237">
        <v>171685</v>
      </c>
      <c r="E101" s="237">
        <f t="shared" si="14"/>
        <v>-696348</v>
      </c>
      <c r="F101" s="238">
        <f t="shared" si="15"/>
        <v>-0.80221374072183893</v>
      </c>
    </row>
    <row r="102" spans="1:7" ht="20.25" customHeight="1" x14ac:dyDescent="0.3">
      <c r="A102" s="235">
        <v>5</v>
      </c>
      <c r="B102" s="236" t="s">
        <v>385</v>
      </c>
      <c r="C102" s="239">
        <v>41</v>
      </c>
      <c r="D102" s="239">
        <v>7</v>
      </c>
      <c r="E102" s="239">
        <f t="shared" si="14"/>
        <v>-34</v>
      </c>
      <c r="F102" s="238">
        <f t="shared" si="15"/>
        <v>-0.82926829268292679</v>
      </c>
    </row>
    <row r="103" spans="1:7" ht="20.25" customHeight="1" x14ac:dyDescent="0.3">
      <c r="A103" s="235">
        <v>6</v>
      </c>
      <c r="B103" s="236" t="s">
        <v>384</v>
      </c>
      <c r="C103" s="239">
        <v>107</v>
      </c>
      <c r="D103" s="239">
        <v>60</v>
      </c>
      <c r="E103" s="239">
        <f t="shared" si="14"/>
        <v>-47</v>
      </c>
      <c r="F103" s="238">
        <f t="shared" si="15"/>
        <v>-0.43925233644859812</v>
      </c>
    </row>
    <row r="104" spans="1:7" ht="20.25" customHeight="1" x14ac:dyDescent="0.3">
      <c r="A104" s="235">
        <v>7</v>
      </c>
      <c r="B104" s="236" t="s">
        <v>450</v>
      </c>
      <c r="C104" s="239">
        <v>1572</v>
      </c>
      <c r="D104" s="239">
        <v>566</v>
      </c>
      <c r="E104" s="239">
        <f t="shared" si="14"/>
        <v>-1006</v>
      </c>
      <c r="F104" s="238">
        <f t="shared" si="15"/>
        <v>-0.63994910941475824</v>
      </c>
    </row>
    <row r="105" spans="1:7" ht="20.25" customHeight="1" x14ac:dyDescent="0.3">
      <c r="A105" s="235">
        <v>8</v>
      </c>
      <c r="B105" s="236" t="s">
        <v>451</v>
      </c>
      <c r="C105" s="239">
        <v>1583</v>
      </c>
      <c r="D105" s="239">
        <v>369</v>
      </c>
      <c r="E105" s="239">
        <f t="shared" si="14"/>
        <v>-1214</v>
      </c>
      <c r="F105" s="238">
        <f t="shared" si="15"/>
        <v>-0.76689829437776369</v>
      </c>
    </row>
    <row r="106" spans="1:7" ht="20.25" customHeight="1" x14ac:dyDescent="0.3">
      <c r="A106" s="235">
        <v>9</v>
      </c>
      <c r="B106" s="236" t="s">
        <v>452</v>
      </c>
      <c r="C106" s="239">
        <v>14</v>
      </c>
      <c r="D106" s="239">
        <v>6</v>
      </c>
      <c r="E106" s="239">
        <f t="shared" si="14"/>
        <v>-8</v>
      </c>
      <c r="F106" s="238">
        <f t="shared" si="15"/>
        <v>-0.5714285714285714</v>
      </c>
    </row>
    <row r="107" spans="1:7" s="240" customFormat="1" ht="39.950000000000003" customHeight="1" x14ac:dyDescent="0.3">
      <c r="A107" s="245"/>
      <c r="B107" s="242" t="s">
        <v>453</v>
      </c>
      <c r="C107" s="243">
        <f>+C98+C100</f>
        <v>3861556</v>
      </c>
      <c r="D107" s="243">
        <f>+D98+D100</f>
        <v>1157652</v>
      </c>
      <c r="E107" s="243">
        <f t="shared" si="14"/>
        <v>-2703904</v>
      </c>
      <c r="F107" s="244">
        <f t="shared" si="15"/>
        <v>-0.70021100302572326</v>
      </c>
    </row>
    <row r="108" spans="1:7" s="240" customFormat="1" ht="39.950000000000003" customHeight="1" x14ac:dyDescent="0.3">
      <c r="A108" s="245"/>
      <c r="B108" s="242" t="s">
        <v>482</v>
      </c>
      <c r="C108" s="243">
        <f>+C99+C101</f>
        <v>973388</v>
      </c>
      <c r="D108" s="243">
        <f>+D99+D101</f>
        <v>245223</v>
      </c>
      <c r="E108" s="243">
        <f t="shared" si="14"/>
        <v>-728165</v>
      </c>
      <c r="F108" s="244">
        <f t="shared" si="15"/>
        <v>-0.7480727109847255</v>
      </c>
    </row>
    <row r="109" spans="1:7" s="240" customFormat="1" ht="20.25" customHeight="1" x14ac:dyDescent="0.3">
      <c r="A109" s="688" t="s">
        <v>44</v>
      </c>
      <c r="B109" s="689" t="s">
        <v>490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472</v>
      </c>
      <c r="C112" s="243">
        <f t="shared" ref="C112:D120" si="16">+C98+C86+C74+C62+C50+C38+C26+C14</f>
        <v>1285655</v>
      </c>
      <c r="D112" s="243">
        <f t="shared" si="16"/>
        <v>470503</v>
      </c>
      <c r="E112" s="243">
        <f t="shared" ref="E112:E122" si="17">D112-C112</f>
        <v>-815152</v>
      </c>
      <c r="F112" s="244">
        <f t="shared" ref="F112:F122" si="18">IF(C112=0,0,E112/C112)</f>
        <v>-0.63403634723156677</v>
      </c>
    </row>
    <row r="113" spans="1:6" ht="20.25" customHeight="1" x14ac:dyDescent="0.3">
      <c r="A113" s="249"/>
      <c r="B113" s="250" t="s">
        <v>473</v>
      </c>
      <c r="C113" s="243">
        <f t="shared" si="16"/>
        <v>380709</v>
      </c>
      <c r="D113" s="243">
        <f t="shared" si="16"/>
        <v>124868</v>
      </c>
      <c r="E113" s="243">
        <f t="shared" si="17"/>
        <v>-255841</v>
      </c>
      <c r="F113" s="244">
        <f t="shared" si="18"/>
        <v>-0.67201195663879765</v>
      </c>
    </row>
    <row r="114" spans="1:6" ht="20.25" customHeight="1" x14ac:dyDescent="0.3">
      <c r="A114" s="249"/>
      <c r="B114" s="250" t="s">
        <v>474</v>
      </c>
      <c r="C114" s="243">
        <f t="shared" si="16"/>
        <v>10533160</v>
      </c>
      <c r="D114" s="243">
        <f t="shared" si="16"/>
        <v>2749933</v>
      </c>
      <c r="E114" s="243">
        <f t="shared" si="17"/>
        <v>-7783227</v>
      </c>
      <c r="F114" s="244">
        <f t="shared" si="18"/>
        <v>-0.73892611523987106</v>
      </c>
    </row>
    <row r="115" spans="1:6" ht="20.25" customHeight="1" x14ac:dyDescent="0.3">
      <c r="A115" s="249"/>
      <c r="B115" s="250" t="s">
        <v>475</v>
      </c>
      <c r="C115" s="243">
        <f t="shared" si="16"/>
        <v>3004741</v>
      </c>
      <c r="D115" s="243">
        <f t="shared" si="16"/>
        <v>436875</v>
      </c>
      <c r="E115" s="243">
        <f t="shared" si="17"/>
        <v>-2567866</v>
      </c>
      <c r="F115" s="244">
        <f t="shared" si="18"/>
        <v>-0.85460477292385595</v>
      </c>
    </row>
    <row r="116" spans="1:6" ht="20.25" customHeight="1" x14ac:dyDescent="0.3">
      <c r="A116" s="249"/>
      <c r="B116" s="250" t="s">
        <v>476</v>
      </c>
      <c r="C116" s="252">
        <f t="shared" si="16"/>
        <v>120</v>
      </c>
      <c r="D116" s="252">
        <f t="shared" si="16"/>
        <v>18</v>
      </c>
      <c r="E116" s="252">
        <f t="shared" si="17"/>
        <v>-102</v>
      </c>
      <c r="F116" s="244">
        <f t="shared" si="18"/>
        <v>-0.85</v>
      </c>
    </row>
    <row r="117" spans="1:6" ht="20.25" customHeight="1" x14ac:dyDescent="0.3">
      <c r="A117" s="249"/>
      <c r="B117" s="250" t="s">
        <v>477</v>
      </c>
      <c r="C117" s="252">
        <f t="shared" si="16"/>
        <v>337</v>
      </c>
      <c r="D117" s="252">
        <f t="shared" si="16"/>
        <v>104</v>
      </c>
      <c r="E117" s="252">
        <f t="shared" si="17"/>
        <v>-233</v>
      </c>
      <c r="F117" s="244">
        <f t="shared" si="18"/>
        <v>-0.6913946587537092</v>
      </c>
    </row>
    <row r="118" spans="1:6" ht="39.950000000000003" customHeight="1" x14ac:dyDescent="0.3">
      <c r="A118" s="249"/>
      <c r="B118" s="250" t="s">
        <v>478</v>
      </c>
      <c r="C118" s="252">
        <f t="shared" si="16"/>
        <v>4479</v>
      </c>
      <c r="D118" s="252">
        <f t="shared" si="16"/>
        <v>1537</v>
      </c>
      <c r="E118" s="252">
        <f t="shared" si="17"/>
        <v>-2942</v>
      </c>
      <c r="F118" s="244">
        <f t="shared" si="18"/>
        <v>-0.65684304532261661</v>
      </c>
    </row>
    <row r="119" spans="1:6" ht="39.950000000000003" customHeight="1" x14ac:dyDescent="0.3">
      <c r="A119" s="249"/>
      <c r="B119" s="250" t="s">
        <v>479</v>
      </c>
      <c r="C119" s="252">
        <f t="shared" si="16"/>
        <v>4996</v>
      </c>
      <c r="D119" s="252">
        <f t="shared" si="16"/>
        <v>1133</v>
      </c>
      <c r="E119" s="252">
        <f t="shared" si="17"/>
        <v>-3863</v>
      </c>
      <c r="F119" s="244">
        <f t="shared" si="18"/>
        <v>-0.77321857485988787</v>
      </c>
    </row>
    <row r="120" spans="1:6" ht="39.950000000000003" customHeight="1" x14ac:dyDescent="0.3">
      <c r="A120" s="249"/>
      <c r="B120" s="250" t="s">
        <v>480</v>
      </c>
      <c r="C120" s="252">
        <f t="shared" si="16"/>
        <v>49</v>
      </c>
      <c r="D120" s="252">
        <f t="shared" si="16"/>
        <v>17</v>
      </c>
      <c r="E120" s="252">
        <f t="shared" si="17"/>
        <v>-32</v>
      </c>
      <c r="F120" s="244">
        <f t="shared" si="18"/>
        <v>-0.65306122448979587</v>
      </c>
    </row>
    <row r="121" spans="1:6" ht="39.950000000000003" customHeight="1" x14ac:dyDescent="0.3">
      <c r="A121" s="249"/>
      <c r="B121" s="242" t="s">
        <v>453</v>
      </c>
      <c r="C121" s="243">
        <f>+C112+C114</f>
        <v>11818815</v>
      </c>
      <c r="D121" s="243">
        <f>+D112+D114</f>
        <v>3220436</v>
      </c>
      <c r="E121" s="243">
        <f t="shared" si="17"/>
        <v>-8598379</v>
      </c>
      <c r="F121" s="244">
        <f t="shared" si="18"/>
        <v>-0.72751616807607189</v>
      </c>
    </row>
    <row r="122" spans="1:6" ht="39.950000000000003" customHeight="1" x14ac:dyDescent="0.3">
      <c r="A122" s="249"/>
      <c r="B122" s="242" t="s">
        <v>482</v>
      </c>
      <c r="C122" s="243">
        <f>+C113+C115</f>
        <v>3385450</v>
      </c>
      <c r="D122" s="243">
        <f>+D113+D115</f>
        <v>561743</v>
      </c>
      <c r="E122" s="243">
        <f t="shared" si="17"/>
        <v>-2823707</v>
      </c>
      <c r="F122" s="244">
        <f t="shared" si="18"/>
        <v>-0.83407139375858452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FILING&amp;RROCKVILLE GENERAL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491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492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20991180</v>
      </c>
      <c r="D13" s="23">
        <v>20052067</v>
      </c>
      <c r="E13" s="23">
        <f t="shared" ref="E13:E22" si="0">D13-C13</f>
        <v>-939113</v>
      </c>
      <c r="F13" s="24">
        <f t="shared" ref="F13:F22" si="1">IF(C13=0,0,E13/C13)</f>
        <v>-4.4738456818530448E-2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39643428</v>
      </c>
      <c r="D15" s="23">
        <v>46711256</v>
      </c>
      <c r="E15" s="23">
        <f t="shared" si="0"/>
        <v>7067828</v>
      </c>
      <c r="F15" s="24">
        <f t="shared" si="1"/>
        <v>0.17828498584935693</v>
      </c>
    </row>
    <row r="16" spans="1:8" ht="35.1" customHeight="1" x14ac:dyDescent="0.2">
      <c r="A16" s="21">
        <v>4</v>
      </c>
      <c r="B16" s="22" t="s">
        <v>19</v>
      </c>
      <c r="C16" s="23">
        <v>1504988</v>
      </c>
      <c r="D16" s="23">
        <v>5435445</v>
      </c>
      <c r="E16" s="23">
        <f t="shared" si="0"/>
        <v>3930457</v>
      </c>
      <c r="F16" s="24">
        <f t="shared" si="1"/>
        <v>2.611620159097614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432832</v>
      </c>
      <c r="D18" s="23">
        <v>4402920</v>
      </c>
      <c r="E18" s="23">
        <f t="shared" si="0"/>
        <v>3970088</v>
      </c>
      <c r="F18" s="24">
        <f t="shared" si="1"/>
        <v>9.1723532456010641</v>
      </c>
    </row>
    <row r="19" spans="1:11" ht="24" customHeight="1" x14ac:dyDescent="0.2">
      <c r="A19" s="21">
        <v>7</v>
      </c>
      <c r="B19" s="22" t="s">
        <v>22</v>
      </c>
      <c r="C19" s="23">
        <v>4228568</v>
      </c>
      <c r="D19" s="23">
        <v>4253600</v>
      </c>
      <c r="E19" s="23">
        <f t="shared" si="0"/>
        <v>25032</v>
      </c>
      <c r="F19" s="24">
        <f t="shared" si="1"/>
        <v>5.9197345295144838E-3</v>
      </c>
    </row>
    <row r="20" spans="1:11" ht="24" customHeight="1" x14ac:dyDescent="0.2">
      <c r="A20" s="21">
        <v>8</v>
      </c>
      <c r="B20" s="22" t="s">
        <v>23</v>
      </c>
      <c r="C20" s="23">
        <v>4345929</v>
      </c>
      <c r="D20" s="23">
        <v>5020607</v>
      </c>
      <c r="E20" s="23">
        <f t="shared" si="0"/>
        <v>674678</v>
      </c>
      <c r="F20" s="24">
        <f t="shared" si="1"/>
        <v>0.15524367747379214</v>
      </c>
    </row>
    <row r="21" spans="1:11" ht="24" customHeight="1" x14ac:dyDescent="0.2">
      <c r="A21" s="21">
        <v>9</v>
      </c>
      <c r="B21" s="22" t="s">
        <v>24</v>
      </c>
      <c r="C21" s="23">
        <v>0</v>
      </c>
      <c r="D21" s="23">
        <v>0</v>
      </c>
      <c r="E21" s="23">
        <f t="shared" si="0"/>
        <v>0</v>
      </c>
      <c r="F21" s="24">
        <f t="shared" si="1"/>
        <v>0</v>
      </c>
    </row>
    <row r="22" spans="1:11" ht="24" customHeight="1" x14ac:dyDescent="0.25">
      <c r="A22" s="25"/>
      <c r="B22" s="26" t="s">
        <v>25</v>
      </c>
      <c r="C22" s="27">
        <f>SUM(C13:C21)</f>
        <v>71146925</v>
      </c>
      <c r="D22" s="27">
        <f>SUM(D13:D21)</f>
        <v>85875895</v>
      </c>
      <c r="E22" s="27">
        <f t="shared" si="0"/>
        <v>14728970</v>
      </c>
      <c r="F22" s="28">
        <f t="shared" si="1"/>
        <v>0.20702187761452798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6688165</v>
      </c>
      <c r="D25" s="23">
        <v>12342602</v>
      </c>
      <c r="E25" s="23">
        <f>D25-C25</f>
        <v>5654437</v>
      </c>
      <c r="F25" s="24">
        <f>IF(C25=0,0,E25/C25)</f>
        <v>0.84543921987570581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5900811</v>
      </c>
      <c r="D26" s="23">
        <v>0</v>
      </c>
      <c r="E26" s="23">
        <f>D26-C26</f>
        <v>-5900811</v>
      </c>
      <c r="F26" s="24">
        <f>IF(C26=0,0,E26/C26)</f>
        <v>-1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8891170</v>
      </c>
      <c r="D27" s="23">
        <v>0</v>
      </c>
      <c r="E27" s="23">
        <f>D27-C27</f>
        <v>-8891170</v>
      </c>
      <c r="F27" s="24">
        <f>IF(C27=0,0,E27/C27)</f>
        <v>-1</v>
      </c>
    </row>
    <row r="28" spans="1:11" ht="35.1" customHeight="1" x14ac:dyDescent="0.2">
      <c r="A28" s="21">
        <v>4</v>
      </c>
      <c r="B28" s="22" t="s">
        <v>31</v>
      </c>
      <c r="C28" s="23">
        <v>25643372</v>
      </c>
      <c r="D28" s="23">
        <v>42086540</v>
      </c>
      <c r="E28" s="23">
        <f>D28-C28</f>
        <v>16443168</v>
      </c>
      <c r="F28" s="24">
        <f>IF(C28=0,0,E28/C28)</f>
        <v>0.64122487479415735</v>
      </c>
    </row>
    <row r="29" spans="1:11" ht="35.1" customHeight="1" x14ac:dyDescent="0.25">
      <c r="A29" s="25"/>
      <c r="B29" s="26" t="s">
        <v>32</v>
      </c>
      <c r="C29" s="27">
        <f>SUM(C25:C28)</f>
        <v>47123518</v>
      </c>
      <c r="D29" s="27">
        <f>SUM(D25:D28)</f>
        <v>54429142</v>
      </c>
      <c r="E29" s="27">
        <f>D29-C29</f>
        <v>7305624</v>
      </c>
      <c r="F29" s="28">
        <f>IF(C29=0,0,E29/C29)</f>
        <v>0.15503137944836801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33914265</v>
      </c>
      <c r="D32" s="23">
        <v>35011140</v>
      </c>
      <c r="E32" s="23">
        <f>D32-C32</f>
        <v>1096875</v>
      </c>
      <c r="F32" s="24">
        <f>IF(C32=0,0,E32/C32)</f>
        <v>3.2342585044965594E-2</v>
      </c>
    </row>
    <row r="33" spans="1:8" ht="24" customHeight="1" x14ac:dyDescent="0.2">
      <c r="A33" s="21">
        <v>7</v>
      </c>
      <c r="B33" s="22" t="s">
        <v>35</v>
      </c>
      <c r="C33" s="23">
        <v>13915384</v>
      </c>
      <c r="D33" s="23">
        <v>11678494</v>
      </c>
      <c r="E33" s="23">
        <f>D33-C33</f>
        <v>-2236890</v>
      </c>
      <c r="F33" s="24">
        <f>IF(C33=0,0,E33/C33)</f>
        <v>-0.16074942667769715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298818948</v>
      </c>
      <c r="D36" s="23">
        <v>313325973</v>
      </c>
      <c r="E36" s="23">
        <f>D36-C36</f>
        <v>14507025</v>
      </c>
      <c r="F36" s="24">
        <f>IF(C36=0,0,E36/C36)</f>
        <v>4.8547875217069568E-2</v>
      </c>
    </row>
    <row r="37" spans="1:8" ht="24" customHeight="1" x14ac:dyDescent="0.2">
      <c r="A37" s="21">
        <v>2</v>
      </c>
      <c r="B37" s="22" t="s">
        <v>39</v>
      </c>
      <c r="C37" s="23">
        <v>205118802</v>
      </c>
      <c r="D37" s="23">
        <v>219601454</v>
      </c>
      <c r="E37" s="23">
        <f>D37-C37</f>
        <v>14482652</v>
      </c>
      <c r="F37" s="23">
        <f>IF(C37=0,0,E37/C37)</f>
        <v>7.0606165104259919E-2</v>
      </c>
    </row>
    <row r="38" spans="1:8" ht="24" customHeight="1" x14ac:dyDescent="0.25">
      <c r="A38" s="25"/>
      <c r="B38" s="26" t="s">
        <v>40</v>
      </c>
      <c r="C38" s="27">
        <f>C36-C37</f>
        <v>93700146</v>
      </c>
      <c r="D38" s="27">
        <f>D36-D37</f>
        <v>93724519</v>
      </c>
      <c r="E38" s="27">
        <f>D38-C38</f>
        <v>24373</v>
      </c>
      <c r="F38" s="28">
        <f>IF(C38=0,0,E38/C38)</f>
        <v>2.6011699063948094E-4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2489451</v>
      </c>
      <c r="D40" s="23">
        <v>2570935</v>
      </c>
      <c r="E40" s="23">
        <f>D40-C40</f>
        <v>81484</v>
      </c>
      <c r="F40" s="24">
        <f>IF(C40=0,0,E40/C40)</f>
        <v>3.2731714743531808E-2</v>
      </c>
    </row>
    <row r="41" spans="1:8" ht="24" customHeight="1" x14ac:dyDescent="0.25">
      <c r="A41" s="25"/>
      <c r="B41" s="26" t="s">
        <v>42</v>
      </c>
      <c r="C41" s="27">
        <f>+C38+C40</f>
        <v>96189597</v>
      </c>
      <c r="D41" s="27">
        <f>+D38+D40</f>
        <v>96295454</v>
      </c>
      <c r="E41" s="27">
        <f>D41-C41</f>
        <v>105857</v>
      </c>
      <c r="F41" s="28">
        <f>IF(C41=0,0,E41/C41)</f>
        <v>1.1005036230685111E-3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262289689</v>
      </c>
      <c r="D43" s="27">
        <f>D22+D29+D31+D32+D33+D41</f>
        <v>283290125</v>
      </c>
      <c r="E43" s="27">
        <f>D43-C43</f>
        <v>21000436</v>
      </c>
      <c r="F43" s="28">
        <f>IF(C43=0,0,E43/C43)</f>
        <v>8.0065808458067142E-2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20356213</v>
      </c>
      <c r="D49" s="23">
        <v>25121249</v>
      </c>
      <c r="E49" s="23">
        <f t="shared" ref="E49:E56" si="2">D49-C49</f>
        <v>4765036</v>
      </c>
      <c r="F49" s="24">
        <f t="shared" ref="F49:F56" si="3">IF(C49=0,0,E49/C49)</f>
        <v>0.23408263609739199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3261932</v>
      </c>
      <c r="D50" s="23">
        <v>5609427</v>
      </c>
      <c r="E50" s="23">
        <f t="shared" si="2"/>
        <v>2347495</v>
      </c>
      <c r="F50" s="24">
        <f t="shared" si="3"/>
        <v>0.71966399054302788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2104534</v>
      </c>
      <c r="D51" s="23">
        <v>2793775</v>
      </c>
      <c r="E51" s="23">
        <f t="shared" si="2"/>
        <v>689241</v>
      </c>
      <c r="F51" s="24">
        <f t="shared" si="3"/>
        <v>0.32750290563136542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10595265</v>
      </c>
      <c r="D53" s="23">
        <v>8831469</v>
      </c>
      <c r="E53" s="23">
        <f t="shared" si="2"/>
        <v>-1763796</v>
      </c>
      <c r="F53" s="24">
        <f t="shared" si="3"/>
        <v>-0.16647021098575637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3329824</v>
      </c>
      <c r="D54" s="23">
        <v>4572885</v>
      </c>
      <c r="E54" s="23">
        <f t="shared" si="2"/>
        <v>1243061</v>
      </c>
      <c r="F54" s="24">
        <f t="shared" si="3"/>
        <v>0.37331132215997004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17030017</v>
      </c>
      <c r="D55" s="23">
        <v>12050537</v>
      </c>
      <c r="E55" s="23">
        <f t="shared" si="2"/>
        <v>-4979480</v>
      </c>
      <c r="F55" s="24">
        <f t="shared" si="3"/>
        <v>-0.29239430588941867</v>
      </c>
    </row>
    <row r="56" spans="1:6" ht="24" customHeight="1" x14ac:dyDescent="0.25">
      <c r="A56" s="25"/>
      <c r="B56" s="26" t="s">
        <v>54</v>
      </c>
      <c r="C56" s="27">
        <f>SUM(C49:C55)</f>
        <v>56677785</v>
      </c>
      <c r="D56" s="27">
        <f>SUM(D49:D55)</f>
        <v>58979342</v>
      </c>
      <c r="E56" s="27">
        <f t="shared" si="2"/>
        <v>2301557</v>
      </c>
      <c r="F56" s="28">
        <f t="shared" si="3"/>
        <v>4.0607744286407808E-2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78175743</v>
      </c>
      <c r="D59" s="23">
        <v>74496875</v>
      </c>
      <c r="E59" s="23">
        <f>D59-C59</f>
        <v>-3678868</v>
      </c>
      <c r="F59" s="24">
        <f>IF(C59=0,0,E59/C59)</f>
        <v>-4.7058945125727808E-2</v>
      </c>
    </row>
    <row r="60" spans="1:6" ht="24" customHeight="1" x14ac:dyDescent="0.2">
      <c r="A60" s="21">
        <v>2</v>
      </c>
      <c r="B60" s="22" t="s">
        <v>57</v>
      </c>
      <c r="C60" s="23">
        <v>8459422</v>
      </c>
      <c r="D60" s="23">
        <v>13044874</v>
      </c>
      <c r="E60" s="23">
        <f>D60-C60</f>
        <v>4585452</v>
      </c>
      <c r="F60" s="24">
        <f>IF(C60=0,0,E60/C60)</f>
        <v>0.54205263669314518</v>
      </c>
    </row>
    <row r="61" spans="1:6" ht="24" customHeight="1" x14ac:dyDescent="0.25">
      <c r="A61" s="25"/>
      <c r="B61" s="26" t="s">
        <v>58</v>
      </c>
      <c r="C61" s="27">
        <f>SUM(C59:C60)</f>
        <v>86635165</v>
      </c>
      <c r="D61" s="27">
        <f>SUM(D59:D60)</f>
        <v>87541749</v>
      </c>
      <c r="E61" s="27">
        <f>D61-C61</f>
        <v>906584</v>
      </c>
      <c r="F61" s="28">
        <f>IF(C61=0,0,E61/C61)</f>
        <v>1.0464388219264082E-2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56772305</v>
      </c>
      <c r="D63" s="23">
        <v>74618608</v>
      </c>
      <c r="E63" s="23">
        <f>D63-C63</f>
        <v>17846303</v>
      </c>
      <c r="F63" s="24">
        <f>IF(C63=0,0,E63/C63)</f>
        <v>0.31434874803832608</v>
      </c>
    </row>
    <row r="64" spans="1:6" ht="24" customHeight="1" x14ac:dyDescent="0.2">
      <c r="A64" s="21">
        <v>4</v>
      </c>
      <c r="B64" s="22" t="s">
        <v>60</v>
      </c>
      <c r="C64" s="23">
        <v>7042777</v>
      </c>
      <c r="D64" s="23">
        <v>10549165</v>
      </c>
      <c r="E64" s="23">
        <f>D64-C64</f>
        <v>3506388</v>
      </c>
      <c r="F64" s="24">
        <f>IF(C64=0,0,E64/C64)</f>
        <v>0.49787008732492877</v>
      </c>
    </row>
    <row r="65" spans="1:6" ht="24" customHeight="1" x14ac:dyDescent="0.25">
      <c r="A65" s="25"/>
      <c r="B65" s="26" t="s">
        <v>61</v>
      </c>
      <c r="C65" s="27">
        <f>SUM(C61:C64)</f>
        <v>150450247</v>
      </c>
      <c r="D65" s="27">
        <f>SUM(D61:D64)</f>
        <v>172709522</v>
      </c>
      <c r="E65" s="27">
        <f>D65-C65</f>
        <v>22259275</v>
      </c>
      <c r="F65" s="28">
        <f>IF(C65=0,0,E65/C65)</f>
        <v>0.14795106983107845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41815956</v>
      </c>
      <c r="D70" s="23">
        <v>36549384</v>
      </c>
      <c r="E70" s="23">
        <f>D70-C70</f>
        <v>-5266572</v>
      </c>
      <c r="F70" s="24">
        <f>IF(C70=0,0,E70/C70)</f>
        <v>-0.12594646885509445</v>
      </c>
    </row>
    <row r="71" spans="1:6" ht="24" customHeight="1" x14ac:dyDescent="0.2">
      <c r="A71" s="21">
        <v>2</v>
      </c>
      <c r="B71" s="22" t="s">
        <v>65</v>
      </c>
      <c r="C71" s="23">
        <v>2249963</v>
      </c>
      <c r="D71" s="23">
        <v>3243522</v>
      </c>
      <c r="E71" s="23">
        <f>D71-C71</f>
        <v>993559</v>
      </c>
      <c r="F71" s="24">
        <f>IF(C71=0,0,E71/C71)</f>
        <v>0.44158903946420452</v>
      </c>
    </row>
    <row r="72" spans="1:6" ht="24" customHeight="1" x14ac:dyDescent="0.2">
      <c r="A72" s="21">
        <v>3</v>
      </c>
      <c r="B72" s="22" t="s">
        <v>66</v>
      </c>
      <c r="C72" s="23">
        <v>11095738</v>
      </c>
      <c r="D72" s="23">
        <v>11808355</v>
      </c>
      <c r="E72" s="23">
        <f>D72-C72</f>
        <v>712617</v>
      </c>
      <c r="F72" s="24">
        <f>IF(C72=0,0,E72/C72)</f>
        <v>6.4224389580936389E-2</v>
      </c>
    </row>
    <row r="73" spans="1:6" ht="24" customHeight="1" x14ac:dyDescent="0.25">
      <c r="A73" s="21"/>
      <c r="B73" s="26" t="s">
        <v>67</v>
      </c>
      <c r="C73" s="27">
        <f>SUM(C70:C72)</f>
        <v>55161657</v>
      </c>
      <c r="D73" s="27">
        <f>SUM(D70:D72)</f>
        <v>51601261</v>
      </c>
      <c r="E73" s="27">
        <f>D73-C73</f>
        <v>-3560396</v>
      </c>
      <c r="F73" s="28">
        <f>IF(C73=0,0,E73/C73)</f>
        <v>-6.4544761590464919E-2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262289689</v>
      </c>
      <c r="D75" s="27">
        <f>D56+D65+D67+D73</f>
        <v>283290125</v>
      </c>
      <c r="E75" s="27">
        <f>D75-C75</f>
        <v>21000436</v>
      </c>
      <c r="F75" s="28">
        <f>IF(C75=0,0,E75/C75)</f>
        <v>8.0065808458067142E-2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FILING&amp;REASTERN CT HEALTH NETWORK , INC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491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493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638835375</v>
      </c>
      <c r="D12" s="51">
        <v>754864642</v>
      </c>
      <c r="E12" s="51">
        <f t="shared" ref="E12:E19" si="0">D12-C12</f>
        <v>116029267</v>
      </c>
      <c r="F12" s="70">
        <f t="shared" ref="F12:F19" si="1">IF(C12=0,0,E12/C12)</f>
        <v>0.18162623978047551</v>
      </c>
    </row>
    <row r="13" spans="1:8" ht="23.1" customHeight="1" x14ac:dyDescent="0.2">
      <c r="A13" s="25">
        <v>2</v>
      </c>
      <c r="B13" s="48" t="s">
        <v>72</v>
      </c>
      <c r="C13" s="51">
        <v>371826407</v>
      </c>
      <c r="D13" s="51">
        <v>470675259</v>
      </c>
      <c r="E13" s="51">
        <f t="shared" si="0"/>
        <v>98848852</v>
      </c>
      <c r="F13" s="70">
        <f t="shared" si="1"/>
        <v>0.26584677725700101</v>
      </c>
    </row>
    <row r="14" spans="1:8" ht="23.1" customHeight="1" x14ac:dyDescent="0.2">
      <c r="A14" s="25">
        <v>3</v>
      </c>
      <c r="B14" s="48" t="s">
        <v>73</v>
      </c>
      <c r="C14" s="51">
        <v>5660092</v>
      </c>
      <c r="D14" s="51">
        <v>7146386</v>
      </c>
      <c r="E14" s="51">
        <f t="shared" si="0"/>
        <v>1486294</v>
      </c>
      <c r="F14" s="70">
        <f t="shared" si="1"/>
        <v>0.26259184479686903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261348876</v>
      </c>
      <c r="D16" s="27">
        <f>D12-D13-D14-D15</f>
        <v>277042997</v>
      </c>
      <c r="E16" s="27">
        <f t="shared" si="0"/>
        <v>15694121</v>
      </c>
      <c r="F16" s="28">
        <f t="shared" si="1"/>
        <v>6.0050462968128472E-2</v>
      </c>
    </row>
    <row r="17" spans="1:7" ht="23.1" customHeight="1" x14ac:dyDescent="0.2">
      <c r="A17" s="25">
        <v>5</v>
      </c>
      <c r="B17" s="48" t="s">
        <v>76</v>
      </c>
      <c r="C17" s="51">
        <v>18840186</v>
      </c>
      <c r="D17" s="51">
        <v>28201071</v>
      </c>
      <c r="E17" s="51">
        <f t="shared" si="0"/>
        <v>9360885</v>
      </c>
      <c r="F17" s="70">
        <f t="shared" si="1"/>
        <v>0.49685735586686886</v>
      </c>
      <c r="G17" s="64"/>
    </row>
    <row r="18" spans="1:7" ht="33" customHeight="1" x14ac:dyDescent="0.2">
      <c r="A18" s="25">
        <v>6</v>
      </c>
      <c r="B18" s="45" t="s">
        <v>77</v>
      </c>
      <c r="C18" s="51">
        <v>801123</v>
      </c>
      <c r="D18" s="51">
        <v>638113</v>
      </c>
      <c r="E18" s="51">
        <f t="shared" si="0"/>
        <v>-163010</v>
      </c>
      <c r="F18" s="70">
        <f t="shared" si="1"/>
        <v>-0.20347686934465745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280990185</v>
      </c>
      <c r="D19" s="27">
        <f>SUM(D16:D18)</f>
        <v>305882181</v>
      </c>
      <c r="E19" s="27">
        <f t="shared" si="0"/>
        <v>24891996</v>
      </c>
      <c r="F19" s="28">
        <f t="shared" si="1"/>
        <v>8.8586709888105172E-2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134218139</v>
      </c>
      <c r="D22" s="51">
        <v>139915729</v>
      </c>
      <c r="E22" s="51">
        <f t="shared" ref="E22:E31" si="2">D22-C22</f>
        <v>5697590</v>
      </c>
      <c r="F22" s="70">
        <f t="shared" ref="F22:F31" si="3">IF(C22=0,0,E22/C22)</f>
        <v>4.2450223512635651E-2</v>
      </c>
    </row>
    <row r="23" spans="1:7" ht="23.1" customHeight="1" x14ac:dyDescent="0.2">
      <c r="A23" s="25">
        <v>2</v>
      </c>
      <c r="B23" s="48" t="s">
        <v>81</v>
      </c>
      <c r="C23" s="51">
        <v>35696855</v>
      </c>
      <c r="D23" s="51">
        <v>40155469</v>
      </c>
      <c r="E23" s="51">
        <f t="shared" si="2"/>
        <v>4458614</v>
      </c>
      <c r="F23" s="70">
        <f t="shared" si="3"/>
        <v>0.12490215174418026</v>
      </c>
    </row>
    <row r="24" spans="1:7" ht="23.1" customHeight="1" x14ac:dyDescent="0.2">
      <c r="A24" s="25">
        <v>3</v>
      </c>
      <c r="B24" s="48" t="s">
        <v>82</v>
      </c>
      <c r="C24" s="51">
        <v>10277908</v>
      </c>
      <c r="D24" s="51">
        <v>10398896</v>
      </c>
      <c r="E24" s="51">
        <f t="shared" si="2"/>
        <v>120988</v>
      </c>
      <c r="F24" s="70">
        <f t="shared" si="3"/>
        <v>1.1771656255339122E-2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35184525</v>
      </c>
      <c r="D25" s="51">
        <v>36089404</v>
      </c>
      <c r="E25" s="51">
        <f t="shared" si="2"/>
        <v>904879</v>
      </c>
      <c r="F25" s="70">
        <f t="shared" si="3"/>
        <v>2.5718096236910973E-2</v>
      </c>
    </row>
    <row r="26" spans="1:7" ht="23.1" customHeight="1" x14ac:dyDescent="0.2">
      <c r="A26" s="25">
        <v>5</v>
      </c>
      <c r="B26" s="48" t="s">
        <v>84</v>
      </c>
      <c r="C26" s="51">
        <v>11898918</v>
      </c>
      <c r="D26" s="51">
        <v>11811633</v>
      </c>
      <c r="E26" s="51">
        <f t="shared" si="2"/>
        <v>-87285</v>
      </c>
      <c r="F26" s="70">
        <f t="shared" si="3"/>
        <v>-7.3355409290155622E-3</v>
      </c>
    </row>
    <row r="27" spans="1:7" ht="23.1" customHeight="1" x14ac:dyDescent="0.2">
      <c r="A27" s="25">
        <v>6</v>
      </c>
      <c r="B27" s="48" t="s">
        <v>85</v>
      </c>
      <c r="C27" s="51">
        <v>11106480</v>
      </c>
      <c r="D27" s="51">
        <v>11285210</v>
      </c>
      <c r="E27" s="51">
        <f t="shared" si="2"/>
        <v>178730</v>
      </c>
      <c r="F27" s="70">
        <f t="shared" si="3"/>
        <v>1.6092407315369046E-2</v>
      </c>
    </row>
    <row r="28" spans="1:7" ht="23.1" customHeight="1" x14ac:dyDescent="0.2">
      <c r="A28" s="25">
        <v>7</v>
      </c>
      <c r="B28" s="48" t="s">
        <v>86</v>
      </c>
      <c r="C28" s="51">
        <v>4224420</v>
      </c>
      <c r="D28" s="51">
        <v>3981831</v>
      </c>
      <c r="E28" s="51">
        <f t="shared" si="2"/>
        <v>-242589</v>
      </c>
      <c r="F28" s="70">
        <f t="shared" si="3"/>
        <v>-5.7425398042808246E-2</v>
      </c>
    </row>
    <row r="29" spans="1:7" ht="23.1" customHeight="1" x14ac:dyDescent="0.2">
      <c r="A29" s="25">
        <v>8</v>
      </c>
      <c r="B29" s="48" t="s">
        <v>87</v>
      </c>
      <c r="C29" s="51">
        <v>2961029</v>
      </c>
      <c r="D29" s="51">
        <v>6669181</v>
      </c>
      <c r="E29" s="51">
        <f t="shared" si="2"/>
        <v>3708152</v>
      </c>
      <c r="F29" s="70">
        <f t="shared" si="3"/>
        <v>1.2523187040721317</v>
      </c>
    </row>
    <row r="30" spans="1:7" ht="23.1" customHeight="1" x14ac:dyDescent="0.2">
      <c r="A30" s="25">
        <v>9</v>
      </c>
      <c r="B30" s="48" t="s">
        <v>88</v>
      </c>
      <c r="C30" s="51">
        <v>35379234</v>
      </c>
      <c r="D30" s="51">
        <v>40647136</v>
      </c>
      <c r="E30" s="51">
        <f t="shared" si="2"/>
        <v>5267902</v>
      </c>
      <c r="F30" s="70">
        <f t="shared" si="3"/>
        <v>0.14889813612131908</v>
      </c>
    </row>
    <row r="31" spans="1:7" ht="23.1" customHeight="1" x14ac:dyDescent="0.25">
      <c r="A31" s="29"/>
      <c r="B31" s="71" t="s">
        <v>89</v>
      </c>
      <c r="C31" s="27">
        <f>SUM(C22:C30)</f>
        <v>280947508</v>
      </c>
      <c r="D31" s="27">
        <f>SUM(D22:D30)</f>
        <v>300954489</v>
      </c>
      <c r="E31" s="27">
        <f t="shared" si="2"/>
        <v>20006981</v>
      </c>
      <c r="F31" s="28">
        <f t="shared" si="3"/>
        <v>7.1212523444059164E-2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42677</v>
      </c>
      <c r="D33" s="27">
        <f>+D19-D31</f>
        <v>4927692</v>
      </c>
      <c r="E33" s="27">
        <f>D33-C33</f>
        <v>4885015</v>
      </c>
      <c r="F33" s="28">
        <f>IF(C33=0,0,E33/C33)</f>
        <v>114.46481711460505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64607</v>
      </c>
      <c r="D36" s="51">
        <v>1190</v>
      </c>
      <c r="E36" s="51">
        <f>D36-C36</f>
        <v>-63417</v>
      </c>
      <c r="F36" s="70">
        <f>IF(C36=0,0,E36/C36)</f>
        <v>-0.9815809432414444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-1406203</v>
      </c>
      <c r="D38" s="51">
        <v>-1201726</v>
      </c>
      <c r="E38" s="51">
        <f>D38-C38</f>
        <v>204477</v>
      </c>
      <c r="F38" s="70">
        <f>IF(C38=0,0,E38/C38)</f>
        <v>-0.14541072661628512</v>
      </c>
    </row>
    <row r="39" spans="1:6" ht="23.1" customHeight="1" x14ac:dyDescent="0.25">
      <c r="A39" s="20"/>
      <c r="B39" s="71" t="s">
        <v>95</v>
      </c>
      <c r="C39" s="27">
        <f>SUM(C36:C38)</f>
        <v>-1341596</v>
      </c>
      <c r="D39" s="27">
        <f>SUM(D36:D38)</f>
        <v>-1200536</v>
      </c>
      <c r="E39" s="27">
        <f>D39-C39</f>
        <v>141060</v>
      </c>
      <c r="F39" s="28">
        <f>IF(C39=0,0,E39/C39)</f>
        <v>-0.1051434261879135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-1298919</v>
      </c>
      <c r="D41" s="27">
        <f>D33+D39</f>
        <v>3727156</v>
      </c>
      <c r="E41" s="27">
        <f>D41-C41</f>
        <v>5026075</v>
      </c>
      <c r="F41" s="28">
        <f>IF(C41=0,0,E41/C41)</f>
        <v>-3.8694291175970172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-1298919</v>
      </c>
      <c r="D48" s="27">
        <f>D41+D46</f>
        <v>3727156</v>
      </c>
      <c r="E48" s="27">
        <f>D48-C48</f>
        <v>5026075</v>
      </c>
      <c r="F48" s="28">
        <f>IF(C48=0,0,E48/C48)</f>
        <v>-3.8694291175970172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FILING&amp;R&amp;8EASTERN CT HEALTH NETWORK , INC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2013-09-11T13:15:15Z</cp:lastPrinted>
  <dcterms:created xsi:type="dcterms:W3CDTF">2006-08-03T13:49:12Z</dcterms:created>
  <dcterms:modified xsi:type="dcterms:W3CDTF">2013-09-12T14:59:28Z</dcterms:modified>
</cp:coreProperties>
</file>