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0" i="14"/>
  <c r="D229" i="14"/>
  <c r="D226" i="14"/>
  <c r="D227" i="14"/>
  <c r="D223" i="14"/>
  <c r="D204" i="14"/>
  <c r="D269" i="14"/>
  <c r="D285" i="14"/>
  <c r="D203" i="14"/>
  <c r="D267" i="14"/>
  <c r="D198" i="14"/>
  <c r="D290" i="14"/>
  <c r="D191" i="14"/>
  <c r="D264" i="14"/>
  <c r="D189" i="14"/>
  <c r="D278" i="14"/>
  <c r="D288" i="14"/>
  <c r="D188" i="14"/>
  <c r="D180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8" i="14"/>
  <c r="D66" i="14"/>
  <c r="D59" i="14"/>
  <c r="D60" i="14"/>
  <c r="D61" i="14"/>
  <c r="D58" i="14"/>
  <c r="D53" i="14"/>
  <c r="D52" i="14"/>
  <c r="D48" i="14"/>
  <c r="D47" i="14"/>
  <c r="D44" i="14"/>
  <c r="D36" i="14"/>
  <c r="D35" i="14"/>
  <c r="D37" i="14"/>
  <c r="D30" i="14"/>
  <c r="D31" i="14"/>
  <c r="D32" i="14"/>
  <c r="D29" i="14"/>
  <c r="D24" i="14"/>
  <c r="D23" i="14"/>
  <c r="D20" i="14"/>
  <c r="D21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D83" i="19"/>
  <c r="D101" i="19"/>
  <c r="C83" i="19"/>
  <c r="E76" i="19"/>
  <c r="E102" i="19"/>
  <c r="D76" i="19"/>
  <c r="C76" i="19"/>
  <c r="C102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34" i="19"/>
  <c r="E28" i="19"/>
  <c r="D28" i="19"/>
  <c r="C28" i="19"/>
  <c r="E27" i="19"/>
  <c r="D27" i="19"/>
  <c r="C27" i="19"/>
  <c r="E23" i="19"/>
  <c r="E54" i="19"/>
  <c r="C23" i="19"/>
  <c r="C46" i="19"/>
  <c r="C22" i="19"/>
  <c r="C45" i="19"/>
  <c r="E21" i="19"/>
  <c r="D21" i="19"/>
  <c r="C21" i="19"/>
  <c r="E12" i="19"/>
  <c r="E33" i="19"/>
  <c r="D12" i="19"/>
  <c r="D33" i="19"/>
  <c r="C12" i="19"/>
  <c r="C34" i="19"/>
  <c r="C3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D44" i="17"/>
  <c r="C44" i="17"/>
  <c r="D43" i="17"/>
  <c r="D46" i="17"/>
  <c r="C43" i="17"/>
  <c r="C46" i="17"/>
  <c r="D36" i="17"/>
  <c r="D40" i="17"/>
  <c r="E40" i="17"/>
  <c r="C36" i="17"/>
  <c r="C40" i="17"/>
  <c r="F35" i="17"/>
  <c r="E35" i="17"/>
  <c r="F34" i="17"/>
  <c r="E34" i="17"/>
  <c r="F33" i="17"/>
  <c r="E33" i="17"/>
  <c r="E36" i="17"/>
  <c r="F30" i="17"/>
  <c r="E30" i="17"/>
  <c r="F29" i="17"/>
  <c r="E29" i="17"/>
  <c r="F28" i="17"/>
  <c r="E28" i="17"/>
  <c r="F27" i="17"/>
  <c r="E27" i="17"/>
  <c r="D25" i="17"/>
  <c r="D39" i="17"/>
  <c r="C25" i="17"/>
  <c r="C39" i="17"/>
  <c r="F24" i="17"/>
  <c r="E24" i="17"/>
  <c r="F23" i="17"/>
  <c r="E23" i="17"/>
  <c r="F22" i="17"/>
  <c r="E22" i="17"/>
  <c r="E25" i="17"/>
  <c r="D19" i="17"/>
  <c r="D20" i="17"/>
  <c r="C19" i="17"/>
  <c r="C20" i="17"/>
  <c r="F18" i="17"/>
  <c r="E18" i="17"/>
  <c r="D16" i="17"/>
  <c r="E16" i="17"/>
  <c r="F16" i="17"/>
  <c r="C16" i="17"/>
  <c r="F15" i="17"/>
  <c r="E15" i="17"/>
  <c r="F13" i="17"/>
  <c r="E13" i="17"/>
  <c r="F12" i="17"/>
  <c r="E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49" i="16"/>
  <c r="C36" i="16"/>
  <c r="C32" i="16"/>
  <c r="C33" i="16"/>
  <c r="C21" i="16"/>
  <c r="C37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E279" i="15"/>
  <c r="C279" i="15"/>
  <c r="D278" i="15"/>
  <c r="E278" i="15"/>
  <c r="C278" i="15"/>
  <c r="D277" i="15"/>
  <c r="E277" i="15"/>
  <c r="C277" i="15"/>
  <c r="D276" i="15"/>
  <c r="E276" i="15"/>
  <c r="C276" i="15"/>
  <c r="E270" i="15"/>
  <c r="D265" i="15"/>
  <c r="D302" i="15"/>
  <c r="E302" i="15"/>
  <c r="C265" i="15"/>
  <c r="C302" i="15"/>
  <c r="C303" i="15"/>
  <c r="C306" i="15"/>
  <c r="C310" i="15"/>
  <c r="D262" i="15"/>
  <c r="E262" i="15"/>
  <c r="C262" i="15"/>
  <c r="D251" i="15"/>
  <c r="C251" i="15"/>
  <c r="D233" i="15"/>
  <c r="E233" i="15"/>
  <c r="C233" i="15"/>
  <c r="D232" i="15"/>
  <c r="C232" i="15"/>
  <c r="E232" i="15"/>
  <c r="D231" i="15"/>
  <c r="C231" i="15"/>
  <c r="D230" i="15"/>
  <c r="C230" i="15"/>
  <c r="E230" i="15"/>
  <c r="D228" i="15"/>
  <c r="C228" i="15"/>
  <c r="E228" i="15"/>
  <c r="D227" i="15"/>
  <c r="E227" i="15"/>
  <c r="C227" i="15"/>
  <c r="D221" i="15"/>
  <c r="D245" i="15"/>
  <c r="C221" i="15"/>
  <c r="E221" i="15"/>
  <c r="D220" i="15"/>
  <c r="C220" i="15"/>
  <c r="C244" i="15"/>
  <c r="D219" i="15"/>
  <c r="C219" i="15"/>
  <c r="C243" i="15"/>
  <c r="D218" i="15"/>
  <c r="D242" i="15"/>
  <c r="C218" i="15"/>
  <c r="C217" i="15"/>
  <c r="C241" i="15"/>
  <c r="D216" i="15"/>
  <c r="E216" i="15"/>
  <c r="C216" i="15"/>
  <c r="D215" i="15"/>
  <c r="E215" i="15"/>
  <c r="C215" i="15"/>
  <c r="C239" i="15"/>
  <c r="E209" i="15"/>
  <c r="E208" i="15"/>
  <c r="E207" i="15"/>
  <c r="E206" i="15"/>
  <c r="D205" i="15"/>
  <c r="D229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261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C175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E155" i="15"/>
  <c r="E154" i="15"/>
  <c r="E153" i="15"/>
  <c r="E152" i="15"/>
  <c r="D151" i="15"/>
  <c r="D156" i="15"/>
  <c r="C151" i="15"/>
  <c r="C156" i="15"/>
  <c r="C157" i="15"/>
  <c r="E150" i="15"/>
  <c r="E149" i="15"/>
  <c r="C144" i="15"/>
  <c r="E143" i="15"/>
  <c r="E142" i="15"/>
  <c r="E141" i="15"/>
  <c r="E140" i="15"/>
  <c r="D139" i="15"/>
  <c r="D163" i="15"/>
  <c r="C139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C71" i="15"/>
  <c r="D70" i="15"/>
  <c r="E70" i="15"/>
  <c r="C70" i="15"/>
  <c r="D69" i="15"/>
  <c r="C69" i="15"/>
  <c r="C65" i="15"/>
  <c r="C66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C38" i="15"/>
  <c r="D37" i="15"/>
  <c r="C37" i="15"/>
  <c r="E37" i="15"/>
  <c r="D36" i="15"/>
  <c r="E36" i="15"/>
  <c r="C36" i="15"/>
  <c r="D32" i="15"/>
  <c r="C32" i="15"/>
  <c r="C33" i="15"/>
  <c r="C295" i="15"/>
  <c r="E31" i="15"/>
  <c r="E30" i="15"/>
  <c r="E29" i="15"/>
  <c r="E28" i="15"/>
  <c r="E27" i="15"/>
  <c r="E26" i="15"/>
  <c r="E25" i="15"/>
  <c r="D21" i="15"/>
  <c r="D22" i="15"/>
  <c r="E22" i="15"/>
  <c r="C21" i="15"/>
  <c r="C22" i="15"/>
  <c r="C284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/>
  <c r="E308" i="14"/>
  <c r="F308" i="14"/>
  <c r="C307" i="14"/>
  <c r="E307" i="14"/>
  <c r="C299" i="14"/>
  <c r="E299" i="14"/>
  <c r="C298" i="14"/>
  <c r="E298" i="14"/>
  <c r="C297" i="14"/>
  <c r="E297" i="14"/>
  <c r="F297" i="14"/>
  <c r="C296" i="14"/>
  <c r="C295" i="14"/>
  <c r="E295" i="14"/>
  <c r="C294" i="14"/>
  <c r="E294" i="14"/>
  <c r="C255" i="14"/>
  <c r="C250" i="14"/>
  <c r="E250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C237" i="14"/>
  <c r="E237" i="14"/>
  <c r="E234" i="14"/>
  <c r="F234" i="14"/>
  <c r="E233" i="14"/>
  <c r="F233" i="14"/>
  <c r="E230" i="14"/>
  <c r="C230" i="14"/>
  <c r="F230" i="14"/>
  <c r="C229" i="14"/>
  <c r="E229" i="14"/>
  <c r="E228" i="14"/>
  <c r="F228" i="14"/>
  <c r="E226" i="14"/>
  <c r="C226" i="14"/>
  <c r="C227" i="14"/>
  <c r="E227" i="14"/>
  <c r="E225" i="14"/>
  <c r="F225" i="14"/>
  <c r="E224" i="14"/>
  <c r="F224" i="14"/>
  <c r="C223" i="14"/>
  <c r="E223" i="14"/>
  <c r="F222" i="14"/>
  <c r="E222" i="14"/>
  <c r="E221" i="14"/>
  <c r="F221" i="14"/>
  <c r="C204" i="14"/>
  <c r="C285" i="14"/>
  <c r="E285" i="14"/>
  <c r="C269" i="14"/>
  <c r="C203" i="14"/>
  <c r="C267" i="14"/>
  <c r="E267" i="14"/>
  <c r="C198" i="14"/>
  <c r="C199" i="14"/>
  <c r="C191" i="14"/>
  <c r="C280" i="14"/>
  <c r="E189" i="14"/>
  <c r="C189" i="14"/>
  <c r="C278" i="14"/>
  <c r="C188" i="14"/>
  <c r="C206" i="14"/>
  <c r="C180" i="14"/>
  <c r="E180" i="14"/>
  <c r="C179" i="14"/>
  <c r="E179" i="14"/>
  <c r="C171" i="14"/>
  <c r="C172" i="14"/>
  <c r="E172" i="14"/>
  <c r="C170" i="14"/>
  <c r="E170" i="14"/>
  <c r="E169" i="14"/>
  <c r="F169" i="14"/>
  <c r="E168" i="14"/>
  <c r="F168" i="14"/>
  <c r="C165" i="14"/>
  <c r="E165" i="14"/>
  <c r="C164" i="14"/>
  <c r="E164" i="14"/>
  <c r="E163" i="14"/>
  <c r="F163" i="14"/>
  <c r="C158" i="14"/>
  <c r="E158" i="14"/>
  <c r="E157" i="14"/>
  <c r="F157" i="14"/>
  <c r="E156" i="14"/>
  <c r="F156" i="14"/>
  <c r="E155" i="14"/>
  <c r="C155" i="14"/>
  <c r="F155" i="14"/>
  <c r="E154" i="14"/>
  <c r="F154" i="14"/>
  <c r="F153" i="14"/>
  <c r="E153" i="14"/>
  <c r="C145" i="14"/>
  <c r="E145" i="14"/>
  <c r="F145" i="14"/>
  <c r="E144" i="14"/>
  <c r="C144" i="14"/>
  <c r="C146" i="14"/>
  <c r="E146" i="14"/>
  <c r="C136" i="14"/>
  <c r="E136" i="14"/>
  <c r="C135" i="14"/>
  <c r="E135" i="14"/>
  <c r="E134" i="14"/>
  <c r="F134" i="14"/>
  <c r="E133" i="14"/>
  <c r="F133" i="14"/>
  <c r="C130" i="14"/>
  <c r="C129" i="14"/>
  <c r="E129" i="14"/>
  <c r="F129" i="14"/>
  <c r="E128" i="14"/>
  <c r="F128" i="14"/>
  <c r="C124" i="14"/>
  <c r="E123" i="14"/>
  <c r="C123" i="14"/>
  <c r="F123" i="14"/>
  <c r="E122" i="14"/>
  <c r="F122" i="14"/>
  <c r="F121" i="14"/>
  <c r="E121" i="14"/>
  <c r="E120" i="14"/>
  <c r="C120" i="14"/>
  <c r="E119" i="14"/>
  <c r="F119" i="14"/>
  <c r="E118" i="14"/>
  <c r="F118" i="14"/>
  <c r="F110" i="14"/>
  <c r="C110" i="14"/>
  <c r="E110" i="14"/>
  <c r="C109" i="14"/>
  <c r="E109" i="14"/>
  <c r="C101" i="14"/>
  <c r="E101" i="14"/>
  <c r="F101" i="14"/>
  <c r="C100" i="14"/>
  <c r="E100" i="14"/>
  <c r="F100" i="14"/>
  <c r="E99" i="14"/>
  <c r="F99" i="14"/>
  <c r="E98" i="14"/>
  <c r="F98" i="14"/>
  <c r="C95" i="14"/>
  <c r="C94" i="14"/>
  <c r="E94" i="14"/>
  <c r="E93" i="14"/>
  <c r="F93" i="14"/>
  <c r="E88" i="14"/>
  <c r="C88" i="14"/>
  <c r="C89" i="14"/>
  <c r="F87" i="14"/>
  <c r="E87" i="14"/>
  <c r="F86" i="14"/>
  <c r="E86" i="14"/>
  <c r="C85" i="14"/>
  <c r="E85" i="14"/>
  <c r="E84" i="14"/>
  <c r="F84" i="14"/>
  <c r="E83" i="14"/>
  <c r="F83" i="14"/>
  <c r="E76" i="14"/>
  <c r="C76" i="14"/>
  <c r="C77" i="14"/>
  <c r="F74" i="14"/>
  <c r="E74" i="14"/>
  <c r="F73" i="14"/>
  <c r="E73" i="14"/>
  <c r="C67" i="14"/>
  <c r="E67" i="14"/>
  <c r="C66" i="14"/>
  <c r="E66" i="14"/>
  <c r="C59" i="14"/>
  <c r="C58" i="14"/>
  <c r="E58" i="14"/>
  <c r="F58" i="14"/>
  <c r="F57" i="14"/>
  <c r="E57" i="14"/>
  <c r="F56" i="14"/>
  <c r="E56" i="14"/>
  <c r="C53" i="14"/>
  <c r="E53" i="14"/>
  <c r="E52" i="14"/>
  <c r="C52" i="14"/>
  <c r="F52" i="14"/>
  <c r="E51" i="14"/>
  <c r="F51" i="14"/>
  <c r="C47" i="14"/>
  <c r="C48" i="14"/>
  <c r="E46" i="14"/>
  <c r="F46" i="14"/>
  <c r="E45" i="14"/>
  <c r="F45" i="14"/>
  <c r="C44" i="14"/>
  <c r="E43" i="14"/>
  <c r="F43" i="14"/>
  <c r="E42" i="14"/>
  <c r="F42" i="14"/>
  <c r="C36" i="14"/>
  <c r="C35" i="14"/>
  <c r="E35" i="14"/>
  <c r="F35" i="14"/>
  <c r="C30" i="14"/>
  <c r="C29" i="14"/>
  <c r="E29" i="14"/>
  <c r="F29" i="14"/>
  <c r="F28" i="14"/>
  <c r="E28" i="14"/>
  <c r="F27" i="14"/>
  <c r="E27" i="14"/>
  <c r="C24" i="14"/>
  <c r="E24" i="14"/>
  <c r="F24" i="14"/>
  <c r="C23" i="14"/>
  <c r="E23" i="14"/>
  <c r="E22" i="14"/>
  <c r="F22" i="14"/>
  <c r="E20" i="14"/>
  <c r="C20" i="14"/>
  <c r="C21" i="14"/>
  <c r="E19" i="14"/>
  <c r="F19" i="14"/>
  <c r="E18" i="14"/>
  <c r="F18" i="14"/>
  <c r="C17" i="14"/>
  <c r="E17" i="14"/>
  <c r="F17" i="14"/>
  <c r="E16" i="14"/>
  <c r="F16" i="14"/>
  <c r="E15" i="14"/>
  <c r="F15" i="14"/>
  <c r="D22" i="13"/>
  <c r="C22" i="13"/>
  <c r="E21" i="13"/>
  <c r="F21" i="13"/>
  <c r="D18" i="13"/>
  <c r="C18" i="13"/>
  <c r="E17" i="13"/>
  <c r="F17" i="13"/>
  <c r="D14" i="13"/>
  <c r="C14" i="13"/>
  <c r="E13" i="13"/>
  <c r="F13" i="13"/>
  <c r="F12" i="13"/>
  <c r="E12" i="13"/>
  <c r="D99" i="12"/>
  <c r="E99" i="12"/>
  <c r="C99" i="12"/>
  <c r="E98" i="12"/>
  <c r="F98" i="12"/>
  <c r="E97" i="12"/>
  <c r="F97" i="12"/>
  <c r="E96" i="12"/>
  <c r="F96" i="12"/>
  <c r="D92" i="12"/>
  <c r="C92" i="12"/>
  <c r="E91" i="12"/>
  <c r="F91" i="12"/>
  <c r="E90" i="12"/>
  <c r="F90" i="12"/>
  <c r="E89" i="12"/>
  <c r="F89" i="12"/>
  <c r="E88" i="12"/>
  <c r="F88" i="12"/>
  <c r="E87" i="12"/>
  <c r="F87" i="12"/>
  <c r="D84" i="12"/>
  <c r="C84" i="12"/>
  <c r="E83" i="12"/>
  <c r="F83" i="12"/>
  <c r="F82" i="12"/>
  <c r="E82" i="12"/>
  <c r="E81" i="12"/>
  <c r="F81" i="12"/>
  <c r="E80" i="12"/>
  <c r="F80" i="12"/>
  <c r="F79" i="12"/>
  <c r="E79" i="12"/>
  <c r="D75" i="12"/>
  <c r="C75" i="12"/>
  <c r="E74" i="12"/>
  <c r="F74" i="12"/>
  <c r="E73" i="12"/>
  <c r="F73" i="12"/>
  <c r="D70" i="12"/>
  <c r="C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E59" i="12"/>
  <c r="F59" i="12"/>
  <c r="E58" i="12"/>
  <c r="F58" i="12"/>
  <c r="D55" i="12"/>
  <c r="C55" i="12"/>
  <c r="E55" i="12"/>
  <c r="F54" i="12"/>
  <c r="E54" i="12"/>
  <c r="E53" i="12"/>
  <c r="F53" i="12"/>
  <c r="D50" i="12"/>
  <c r="C50" i="12"/>
  <c r="E49" i="12"/>
  <c r="F49" i="12"/>
  <c r="E48" i="12"/>
  <c r="F48" i="12"/>
  <c r="D45" i="12"/>
  <c r="E45" i="12"/>
  <c r="C45" i="12"/>
  <c r="E44" i="12"/>
  <c r="F44" i="12"/>
  <c r="E43" i="12"/>
  <c r="F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C30" i="12"/>
  <c r="E30" i="12"/>
  <c r="F29" i="12"/>
  <c r="E29" i="12"/>
  <c r="F28" i="12"/>
  <c r="E28" i="12"/>
  <c r="E27" i="12"/>
  <c r="F27" i="12"/>
  <c r="E26" i="12"/>
  <c r="F26" i="12"/>
  <c r="D23" i="12"/>
  <c r="C23" i="12"/>
  <c r="E23" i="12"/>
  <c r="F22" i="12"/>
  <c r="E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I17" i="11"/>
  <c r="F17" i="11"/>
  <c r="F31" i="11"/>
  <c r="E17" i="11"/>
  <c r="E31" i="11"/>
  <c r="D17" i="11"/>
  <c r="D31" i="11"/>
  <c r="D33" i="11"/>
  <c r="D36" i="11"/>
  <c r="D38" i="11"/>
  <c r="D40" i="11"/>
  <c r="C17" i="11"/>
  <c r="C33" i="11"/>
  <c r="C36" i="11"/>
  <c r="C38" i="11"/>
  <c r="C40" i="11"/>
  <c r="I16" i="11"/>
  <c r="H16" i="11"/>
  <c r="I15" i="11"/>
  <c r="H15" i="11"/>
  <c r="I13" i="11"/>
  <c r="H13" i="11"/>
  <c r="I11" i="11"/>
  <c r="H11" i="11"/>
  <c r="E79" i="10"/>
  <c r="D79" i="10"/>
  <c r="C79" i="10"/>
  <c r="C80" i="10"/>
  <c r="E78" i="10"/>
  <c r="E80" i="10"/>
  <c r="E77" i="10"/>
  <c r="D78" i="10"/>
  <c r="D80" i="10"/>
  <c r="D77" i="10"/>
  <c r="C78" i="10"/>
  <c r="C77" i="10"/>
  <c r="E73" i="10"/>
  <c r="E75" i="10"/>
  <c r="D73" i="10"/>
  <c r="D75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D50" i="10"/>
  <c r="C55" i="10"/>
  <c r="E54" i="10"/>
  <c r="D54" i="10"/>
  <c r="C54" i="10"/>
  <c r="C50" i="10"/>
  <c r="E50" i="10"/>
  <c r="D48" i="10"/>
  <c r="D42" i="10"/>
  <c r="E46" i="10"/>
  <c r="D46" i="10"/>
  <c r="D59" i="10"/>
  <c r="D61" i="10"/>
  <c r="D57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E46" i="9"/>
  <c r="E45" i="9"/>
  <c r="F45" i="9"/>
  <c r="E44" i="9"/>
  <c r="F44" i="9"/>
  <c r="D39" i="9"/>
  <c r="E39" i="9"/>
  <c r="C39" i="9"/>
  <c r="F38" i="9"/>
  <c r="E38" i="9"/>
  <c r="F37" i="9"/>
  <c r="E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C19" i="9"/>
  <c r="C33" i="9"/>
  <c r="E18" i="9"/>
  <c r="F18" i="9"/>
  <c r="E17" i="9"/>
  <c r="F17" i="9"/>
  <c r="D16" i="9"/>
  <c r="D19" i="9"/>
  <c r="D33" i="9"/>
  <c r="D41" i="9"/>
  <c r="D48" i="9"/>
  <c r="C16" i="9"/>
  <c r="F15" i="9"/>
  <c r="E15" i="9"/>
  <c r="E14" i="9"/>
  <c r="F14" i="9"/>
  <c r="E13" i="9"/>
  <c r="F13" i="9"/>
  <c r="E12" i="9"/>
  <c r="F12" i="9"/>
  <c r="D73" i="8"/>
  <c r="C73" i="8"/>
  <c r="E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D65" i="8"/>
  <c r="E65" i="8"/>
  <c r="C61" i="8"/>
  <c r="C65" i="8"/>
  <c r="E60" i="8"/>
  <c r="F60" i="8"/>
  <c r="E59" i="8"/>
  <c r="F59" i="8"/>
  <c r="D56" i="8"/>
  <c r="C56" i="8"/>
  <c r="E56" i="8"/>
  <c r="E55" i="8"/>
  <c r="F55" i="8"/>
  <c r="F54" i="8"/>
  <c r="E54" i="8"/>
  <c r="E53" i="8"/>
  <c r="F53" i="8"/>
  <c r="F52" i="8"/>
  <c r="E52" i="8"/>
  <c r="E51" i="8"/>
  <c r="F51" i="8"/>
  <c r="F50" i="8"/>
  <c r="E50" i="8"/>
  <c r="A50" i="8"/>
  <c r="A51" i="8"/>
  <c r="A52" i="8"/>
  <c r="A53" i="8"/>
  <c r="A54" i="8"/>
  <c r="A55" i="8"/>
  <c r="E49" i="8"/>
  <c r="F49" i="8"/>
  <c r="C41" i="8"/>
  <c r="E40" i="8"/>
  <c r="F40" i="8"/>
  <c r="D38" i="8"/>
  <c r="D41" i="8"/>
  <c r="E41" i="8"/>
  <c r="C38" i="8"/>
  <c r="E38" i="8"/>
  <c r="F38" i="8"/>
  <c r="F37" i="8"/>
  <c r="E37" i="8"/>
  <c r="E36" i="8"/>
  <c r="F36" i="8"/>
  <c r="E33" i="8"/>
  <c r="F33" i="8"/>
  <c r="E32" i="8"/>
  <c r="F32" i="8"/>
  <c r="F31" i="8"/>
  <c r="E31" i="8"/>
  <c r="D29" i="8"/>
  <c r="C29" i="8"/>
  <c r="E29" i="8"/>
  <c r="E28" i="8"/>
  <c r="F28" i="8"/>
  <c r="F27" i="8"/>
  <c r="E27" i="8"/>
  <c r="F26" i="8"/>
  <c r="E26" i="8"/>
  <c r="E25" i="8"/>
  <c r="F25" i="8"/>
  <c r="D22" i="8"/>
  <c r="D43" i="8"/>
  <c r="C22" i="8"/>
  <c r="C43" i="8"/>
  <c r="E21" i="8"/>
  <c r="F21" i="8"/>
  <c r="F20" i="8"/>
  <c r="E20" i="8"/>
  <c r="E19" i="8"/>
  <c r="F19" i="8"/>
  <c r="E18" i="8"/>
  <c r="F18" i="8"/>
  <c r="F17" i="8"/>
  <c r="E17" i="8"/>
  <c r="E16" i="8"/>
  <c r="F16" i="8"/>
  <c r="E15" i="8"/>
  <c r="F15" i="8"/>
  <c r="F14" i="8"/>
  <c r="E14" i="8"/>
  <c r="E13" i="8"/>
  <c r="F13" i="8"/>
  <c r="D120" i="7"/>
  <c r="C120" i="7"/>
  <c r="E120" i="7"/>
  <c r="D119" i="7"/>
  <c r="C119" i="7"/>
  <c r="E119" i="7"/>
  <c r="D118" i="7"/>
  <c r="C118" i="7"/>
  <c r="E118" i="7"/>
  <c r="D117" i="7"/>
  <c r="C117" i="7"/>
  <c r="E117" i="7"/>
  <c r="D116" i="7"/>
  <c r="C116" i="7"/>
  <c r="E116" i="7"/>
  <c r="D115" i="7"/>
  <c r="C115" i="7"/>
  <c r="E115" i="7"/>
  <c r="D114" i="7"/>
  <c r="C114" i="7"/>
  <c r="E114" i="7"/>
  <c r="D113" i="7"/>
  <c r="D122" i="7"/>
  <c r="C113" i="7"/>
  <c r="D112" i="7"/>
  <c r="D121" i="7"/>
  <c r="C112" i="7"/>
  <c r="D108" i="7"/>
  <c r="C108" i="7"/>
  <c r="E108" i="7"/>
  <c r="D107" i="7"/>
  <c r="C107" i="7"/>
  <c r="E107" i="7"/>
  <c r="E106" i="7"/>
  <c r="F106" i="7"/>
  <c r="E105" i="7"/>
  <c r="F105" i="7"/>
  <c r="F104" i="7"/>
  <c r="E104" i="7"/>
  <c r="E103" i="7"/>
  <c r="F103" i="7"/>
  <c r="E102" i="7"/>
  <c r="F102" i="7"/>
  <c r="E101" i="7"/>
  <c r="F101" i="7"/>
  <c r="F100" i="7"/>
  <c r="E100" i="7"/>
  <c r="E99" i="7"/>
  <c r="F99" i="7"/>
  <c r="E98" i="7"/>
  <c r="F98" i="7"/>
  <c r="D96" i="7"/>
  <c r="E96" i="7"/>
  <c r="C96" i="7"/>
  <c r="F96" i="7"/>
  <c r="D95" i="7"/>
  <c r="C95" i="7"/>
  <c r="F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D59" i="7"/>
  <c r="C59" i="7"/>
  <c r="E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/>
  <c r="D35" i="7"/>
  <c r="C35" i="7"/>
  <c r="E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C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E206" i="6"/>
  <c r="D205" i="6"/>
  <c r="C205" i="6"/>
  <c r="E205" i="6"/>
  <c r="D204" i="6"/>
  <c r="C204" i="6"/>
  <c r="E204" i="6"/>
  <c r="D203" i="6"/>
  <c r="C203" i="6"/>
  <c r="E203" i="6"/>
  <c r="D202" i="6"/>
  <c r="C202" i="6"/>
  <c r="E202" i="6"/>
  <c r="D201" i="6"/>
  <c r="C201" i="6"/>
  <c r="E201" i="6"/>
  <c r="D200" i="6"/>
  <c r="C200" i="6"/>
  <c r="E200" i="6"/>
  <c r="D199" i="6"/>
  <c r="D208" i="6"/>
  <c r="C199" i="6"/>
  <c r="C208" i="6"/>
  <c r="D198" i="6"/>
  <c r="D207" i="6"/>
  <c r="C198" i="6"/>
  <c r="C207" i="6"/>
  <c r="D193" i="6"/>
  <c r="C193" i="6"/>
  <c r="E193" i="6"/>
  <c r="D192" i="6"/>
  <c r="C192" i="6"/>
  <c r="E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C180" i="6"/>
  <c r="F180" i="6"/>
  <c r="D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E167" i="6"/>
  <c r="D166" i="6"/>
  <c r="C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/>
  <c r="D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/>
  <c r="D140" i="6"/>
  <c r="C140" i="6"/>
  <c r="E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C128" i="6"/>
  <c r="D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E115" i="6"/>
  <c r="D114" i="6"/>
  <c r="C114" i="6"/>
  <c r="E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C102" i="6"/>
  <c r="E102" i="6"/>
  <c r="D101" i="6"/>
  <c r="C101" i="6"/>
  <c r="E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C89" i="6"/>
  <c r="E89" i="6"/>
  <c r="D88" i="6"/>
  <c r="C88" i="6"/>
  <c r="E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E76" i="6"/>
  <c r="D75" i="6"/>
  <c r="C75" i="6"/>
  <c r="E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E63" i="6"/>
  <c r="D62" i="6"/>
  <c r="C62" i="6"/>
  <c r="E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E50" i="6"/>
  <c r="D49" i="6"/>
  <c r="C49" i="6"/>
  <c r="E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E37" i="6"/>
  <c r="D36" i="6"/>
  <c r="C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E24" i="6"/>
  <c r="D23" i="6"/>
  <c r="C23" i="6"/>
  <c r="E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C164" i="5"/>
  <c r="C160" i="5"/>
  <c r="C166" i="5"/>
  <c r="E162" i="5"/>
  <c r="D162" i="5"/>
  <c r="C162" i="5"/>
  <c r="E161" i="5"/>
  <c r="D161" i="5"/>
  <c r="C161" i="5"/>
  <c r="D160" i="5"/>
  <c r="D166" i="5"/>
  <c r="E147" i="5"/>
  <c r="E143" i="5"/>
  <c r="E149" i="5"/>
  <c r="D147" i="5"/>
  <c r="C147" i="5"/>
  <c r="C143" i="5"/>
  <c r="C149" i="5"/>
  <c r="E145" i="5"/>
  <c r="D145" i="5"/>
  <c r="C145" i="5"/>
  <c r="E144" i="5"/>
  <c r="D144" i="5"/>
  <c r="C144" i="5"/>
  <c r="D143" i="5"/>
  <c r="D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D104" i="5"/>
  <c r="E102" i="5"/>
  <c r="E104" i="5"/>
  <c r="D102" i="5"/>
  <c r="C102" i="5"/>
  <c r="C104" i="5"/>
  <c r="E100" i="5"/>
  <c r="D100" i="5"/>
  <c r="C100" i="5"/>
  <c r="E95" i="5"/>
  <c r="D95" i="5"/>
  <c r="D94" i="5"/>
  <c r="C95" i="5"/>
  <c r="E94" i="5"/>
  <c r="C94" i="5"/>
  <c r="E89" i="5"/>
  <c r="D89" i="5"/>
  <c r="C89" i="5"/>
  <c r="E87" i="5"/>
  <c r="D87" i="5"/>
  <c r="C87" i="5"/>
  <c r="E84" i="5"/>
  <c r="D84" i="5"/>
  <c r="C84" i="5"/>
  <c r="C79" i="5"/>
  <c r="E83" i="5"/>
  <c r="D83" i="5"/>
  <c r="D79" i="5"/>
  <c r="C83" i="5"/>
  <c r="E79" i="5"/>
  <c r="E75" i="5"/>
  <c r="E77" i="5"/>
  <c r="E71" i="5"/>
  <c r="D75" i="5"/>
  <c r="D88" i="5"/>
  <c r="D90" i="5"/>
  <c r="D86" i="5"/>
  <c r="C75" i="5"/>
  <c r="C88" i="5"/>
  <c r="C90" i="5"/>
  <c r="C86" i="5"/>
  <c r="E74" i="5"/>
  <c r="D74" i="5"/>
  <c r="C74" i="5"/>
  <c r="E67" i="5"/>
  <c r="D67" i="5"/>
  <c r="C67" i="5"/>
  <c r="C53" i="5"/>
  <c r="C49" i="5"/>
  <c r="C43" i="5"/>
  <c r="E38" i="5"/>
  <c r="E53" i="5"/>
  <c r="E49" i="5"/>
  <c r="D38" i="5"/>
  <c r="D49" i="5"/>
  <c r="D43" i="5"/>
  <c r="C38" i="5"/>
  <c r="C57" i="5"/>
  <c r="C62" i="5"/>
  <c r="E33" i="5"/>
  <c r="E34" i="5"/>
  <c r="D33" i="5"/>
  <c r="D34" i="5"/>
  <c r="E26" i="5"/>
  <c r="D26" i="5"/>
  <c r="C26" i="5"/>
  <c r="E13" i="5"/>
  <c r="E15" i="5"/>
  <c r="D13" i="5"/>
  <c r="D15" i="5"/>
  <c r="D24" i="5"/>
  <c r="C13" i="5"/>
  <c r="C25" i="5"/>
  <c r="C27" i="5"/>
  <c r="E186" i="4"/>
  <c r="F186" i="4"/>
  <c r="E183" i="4"/>
  <c r="D183" i="4"/>
  <c r="C183" i="4"/>
  <c r="F183" i="4"/>
  <c r="F182" i="4"/>
  <c r="E182" i="4"/>
  <c r="E181" i="4"/>
  <c r="F181" i="4"/>
  <c r="F180" i="4"/>
  <c r="E180" i="4"/>
  <c r="E179" i="4"/>
  <c r="F179" i="4"/>
  <c r="E178" i="4"/>
  <c r="F178" i="4"/>
  <c r="E177" i="4"/>
  <c r="F177" i="4"/>
  <c r="E176" i="4"/>
  <c r="F176" i="4"/>
  <c r="E175" i="4"/>
  <c r="F175" i="4"/>
  <c r="E174" i="4"/>
  <c r="F174" i="4"/>
  <c r="E173" i="4"/>
  <c r="F173" i="4"/>
  <c r="E172" i="4"/>
  <c r="F172" i="4"/>
  <c r="E171" i="4"/>
  <c r="F171" i="4"/>
  <c r="E170" i="4"/>
  <c r="F170" i="4"/>
  <c r="D167" i="4"/>
  <c r="C167" i="4"/>
  <c r="E167" i="4"/>
  <c r="E166" i="4"/>
  <c r="F166" i="4"/>
  <c r="E165" i="4"/>
  <c r="F165" i="4"/>
  <c r="E164" i="4"/>
  <c r="F164" i="4"/>
  <c r="E163" i="4"/>
  <c r="F163" i="4"/>
  <c r="F162" i="4"/>
  <c r="E162" i="4"/>
  <c r="E161" i="4"/>
  <c r="F161" i="4"/>
  <c r="E160" i="4"/>
  <c r="F160" i="4"/>
  <c r="F159" i="4"/>
  <c r="E159" i="4"/>
  <c r="E158" i="4"/>
  <c r="F158" i="4"/>
  <c r="E157" i="4"/>
  <c r="F157" i="4"/>
  <c r="E156" i="4"/>
  <c r="F156" i="4"/>
  <c r="E155" i="4"/>
  <c r="F155" i="4"/>
  <c r="E154" i="4"/>
  <c r="F154" i="4"/>
  <c r="F153" i="4"/>
  <c r="E153" i="4"/>
  <c r="E152" i="4"/>
  <c r="F152" i="4"/>
  <c r="E151" i="4"/>
  <c r="F151" i="4"/>
  <c r="E150" i="4"/>
  <c r="F150" i="4"/>
  <c r="E149" i="4"/>
  <c r="F149" i="4"/>
  <c r="F148" i="4"/>
  <c r="E148" i="4"/>
  <c r="F147" i="4"/>
  <c r="E147" i="4"/>
  <c r="E146" i="4"/>
  <c r="F146" i="4"/>
  <c r="E145" i="4"/>
  <c r="F145" i="4"/>
  <c r="F144" i="4"/>
  <c r="E144" i="4"/>
  <c r="F143" i="4"/>
  <c r="E143" i="4"/>
  <c r="E142" i="4"/>
  <c r="F142" i="4"/>
  <c r="E141" i="4"/>
  <c r="F141" i="4"/>
  <c r="E140" i="4"/>
  <c r="F140" i="4"/>
  <c r="E139" i="4"/>
  <c r="F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D188" i="4"/>
  <c r="C130" i="4"/>
  <c r="E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D121" i="4"/>
  <c r="C121" i="4"/>
  <c r="E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F93" i="4"/>
  <c r="E93" i="4"/>
  <c r="E90" i="4"/>
  <c r="D90" i="4"/>
  <c r="C90" i="4"/>
  <c r="F90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E59" i="4"/>
  <c r="C59" i="4"/>
  <c r="F59" i="4"/>
  <c r="F58" i="4"/>
  <c r="E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C41" i="4"/>
  <c r="F40" i="4"/>
  <c r="E40" i="4"/>
  <c r="E39" i="4"/>
  <c r="F39" i="4"/>
  <c r="E38" i="4"/>
  <c r="F38" i="4"/>
  <c r="D35" i="4"/>
  <c r="C35" i="4"/>
  <c r="E34" i="4"/>
  <c r="F34" i="4"/>
  <c r="E33" i="4"/>
  <c r="F33" i="4"/>
  <c r="D30" i="4"/>
  <c r="C30" i="4"/>
  <c r="E29" i="4"/>
  <c r="F29" i="4"/>
  <c r="E28" i="4"/>
  <c r="F28" i="4"/>
  <c r="E27" i="4"/>
  <c r="F27" i="4"/>
  <c r="D24" i="4"/>
  <c r="C24" i="4"/>
  <c r="E24" i="4"/>
  <c r="E23" i="4"/>
  <c r="F23" i="4"/>
  <c r="E22" i="4"/>
  <c r="F22" i="4"/>
  <c r="E21" i="4"/>
  <c r="F21" i="4"/>
  <c r="D18" i="4"/>
  <c r="E18" i="4"/>
  <c r="C18" i="4"/>
  <c r="F18" i="4"/>
  <c r="E17" i="4"/>
  <c r="F17" i="4"/>
  <c r="E16" i="4"/>
  <c r="F16" i="4"/>
  <c r="E15" i="4"/>
  <c r="F15" i="4"/>
  <c r="D179" i="3"/>
  <c r="C179" i="3"/>
  <c r="E179" i="3"/>
  <c r="E178" i="3"/>
  <c r="F178" i="3"/>
  <c r="F177" i="3"/>
  <c r="E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E165" i="3"/>
  <c r="F165" i="3"/>
  <c r="F164" i="3"/>
  <c r="E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E153" i="3"/>
  <c r="F153" i="3"/>
  <c r="E152" i="3"/>
  <c r="F152" i="3"/>
  <c r="F151" i="3"/>
  <c r="E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E137" i="3"/>
  <c r="E136" i="3"/>
  <c r="F136" i="3"/>
  <c r="F135" i="3"/>
  <c r="E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E124" i="3"/>
  <c r="E123" i="3"/>
  <c r="F123" i="3"/>
  <c r="F122" i="3"/>
  <c r="E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E111" i="3"/>
  <c r="F111" i="3"/>
  <c r="C111" i="3"/>
  <c r="E110" i="3"/>
  <c r="F110" i="3"/>
  <c r="F109" i="3"/>
  <c r="E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E94" i="3"/>
  <c r="F94" i="3"/>
  <c r="D93" i="3"/>
  <c r="C93" i="3"/>
  <c r="E93" i="3"/>
  <c r="D92" i="3"/>
  <c r="C92" i="3"/>
  <c r="E92" i="3"/>
  <c r="F92" i="3"/>
  <c r="D91" i="3"/>
  <c r="C91" i="3"/>
  <c r="E91" i="3"/>
  <c r="D90" i="3"/>
  <c r="C90" i="3"/>
  <c r="E90" i="3"/>
  <c r="F90" i="3"/>
  <c r="D89" i="3"/>
  <c r="C89" i="3"/>
  <c r="E89" i="3"/>
  <c r="D88" i="3"/>
  <c r="C88" i="3"/>
  <c r="E88" i="3"/>
  <c r="F88" i="3"/>
  <c r="D87" i="3"/>
  <c r="C87" i="3"/>
  <c r="E87" i="3"/>
  <c r="D86" i="3"/>
  <c r="C86" i="3"/>
  <c r="E86" i="3"/>
  <c r="F86" i="3"/>
  <c r="D85" i="3"/>
  <c r="C85" i="3"/>
  <c r="E85" i="3"/>
  <c r="D84" i="3"/>
  <c r="D95" i="3"/>
  <c r="C84" i="3"/>
  <c r="C95" i="3"/>
  <c r="D81" i="3"/>
  <c r="C81" i="3"/>
  <c r="E81" i="3"/>
  <c r="F81" i="3"/>
  <c r="E80" i="3"/>
  <c r="F80" i="3"/>
  <c r="F79" i="3"/>
  <c r="E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E68" i="3"/>
  <c r="E67" i="3"/>
  <c r="F67" i="3"/>
  <c r="F66" i="3"/>
  <c r="E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E51" i="3"/>
  <c r="D50" i="3"/>
  <c r="C50" i="3"/>
  <c r="E50" i="3"/>
  <c r="D49" i="3"/>
  <c r="C49" i="3"/>
  <c r="E49" i="3"/>
  <c r="D48" i="3"/>
  <c r="C48" i="3"/>
  <c r="E48" i="3"/>
  <c r="F48" i="3"/>
  <c r="D47" i="3"/>
  <c r="C47" i="3"/>
  <c r="E47" i="3"/>
  <c r="D46" i="3"/>
  <c r="C46" i="3"/>
  <c r="E46" i="3"/>
  <c r="F46" i="3"/>
  <c r="D45" i="3"/>
  <c r="C45" i="3"/>
  <c r="E45" i="3"/>
  <c r="D44" i="3"/>
  <c r="C44" i="3"/>
  <c r="E44" i="3"/>
  <c r="F44" i="3"/>
  <c r="D43" i="3"/>
  <c r="C43" i="3"/>
  <c r="E43" i="3"/>
  <c r="D42" i="3"/>
  <c r="C42" i="3"/>
  <c r="E42" i="3"/>
  <c r="F42" i="3"/>
  <c r="D41" i="3"/>
  <c r="D52" i="3"/>
  <c r="E52" i="3"/>
  <c r="F52" i="3"/>
  <c r="C41" i="3"/>
  <c r="D38" i="3"/>
  <c r="C38" i="3"/>
  <c r="E38" i="3"/>
  <c r="E37" i="3"/>
  <c r="F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F25" i="3"/>
  <c r="C25" i="3"/>
  <c r="E24" i="3"/>
  <c r="F24" i="3"/>
  <c r="F23" i="3"/>
  <c r="E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F46" i="2"/>
  <c r="C46" i="2"/>
  <c r="F45" i="2"/>
  <c r="E45" i="2"/>
  <c r="E44" i="2"/>
  <c r="F44" i="2"/>
  <c r="D39" i="2"/>
  <c r="E39" i="2"/>
  <c r="F39" i="2"/>
  <c r="C39" i="2"/>
  <c r="F38" i="2"/>
  <c r="E38" i="2"/>
  <c r="F37" i="2"/>
  <c r="E37" i="2"/>
  <c r="E36" i="2"/>
  <c r="F36" i="2"/>
  <c r="D31" i="2"/>
  <c r="C31" i="2"/>
  <c r="E31" i="2"/>
  <c r="F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F18" i="2"/>
  <c r="E18" i="2"/>
  <c r="E17" i="2"/>
  <c r="F17" i="2"/>
  <c r="D16" i="2"/>
  <c r="D19" i="2"/>
  <c r="C16" i="2"/>
  <c r="E16" i="2"/>
  <c r="F16" i="2"/>
  <c r="F15" i="2"/>
  <c r="E15" i="2"/>
  <c r="E14" i="2"/>
  <c r="F14" i="2"/>
  <c r="E13" i="2"/>
  <c r="F13" i="2"/>
  <c r="E12" i="2"/>
  <c r="F12" i="2"/>
  <c r="D73" i="1"/>
  <c r="E73" i="1"/>
  <c r="F73" i="1"/>
  <c r="C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E61" i="1"/>
  <c r="C61" i="1"/>
  <c r="E60" i="1"/>
  <c r="F60" i="1"/>
  <c r="E59" i="1"/>
  <c r="F59" i="1"/>
  <c r="E56" i="1"/>
  <c r="D56" i="1"/>
  <c r="C56" i="1"/>
  <c r="F56" i="1"/>
  <c r="E55" i="1"/>
  <c r="F55" i="1"/>
  <c r="E54" i="1"/>
  <c r="F54" i="1"/>
  <c r="E53" i="1"/>
  <c r="F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E41" i="1"/>
  <c r="F41" i="1"/>
  <c r="C38" i="1"/>
  <c r="C41" i="1"/>
  <c r="E37" i="1"/>
  <c r="F37" i="1"/>
  <c r="E36" i="1"/>
  <c r="F36" i="1"/>
  <c r="E33" i="1"/>
  <c r="F33" i="1"/>
  <c r="E32" i="1"/>
  <c r="F32" i="1"/>
  <c r="E31" i="1"/>
  <c r="F31" i="1"/>
  <c r="D29" i="1"/>
  <c r="E29" i="1"/>
  <c r="F29" i="1"/>
  <c r="C29" i="1"/>
  <c r="E28" i="1"/>
  <c r="F28" i="1"/>
  <c r="F27" i="1"/>
  <c r="E27" i="1"/>
  <c r="F26" i="1"/>
  <c r="E26" i="1"/>
  <c r="E25" i="1"/>
  <c r="F25" i="1"/>
  <c r="D22" i="1"/>
  <c r="E22" i="1"/>
  <c r="C22" i="1"/>
  <c r="F22" i="1"/>
  <c r="F21" i="1"/>
  <c r="E21" i="1"/>
  <c r="E20" i="1"/>
  <c r="F20" i="1"/>
  <c r="E19" i="1"/>
  <c r="F19" i="1"/>
  <c r="E18" i="1"/>
  <c r="F18" i="1"/>
  <c r="E17" i="1"/>
  <c r="F17" i="1"/>
  <c r="E16" i="1"/>
  <c r="F16" i="1"/>
  <c r="E15" i="1"/>
  <c r="F15" i="1"/>
  <c r="E14" i="1"/>
  <c r="F14" i="1"/>
  <c r="E13" i="1"/>
  <c r="F13" i="1"/>
  <c r="E77" i="14"/>
  <c r="F88" i="14"/>
  <c r="D192" i="14"/>
  <c r="D181" i="14"/>
  <c r="D239" i="14"/>
  <c r="D283" i="14"/>
  <c r="D214" i="14"/>
  <c r="D199" i="14"/>
  <c r="D215" i="14"/>
  <c r="D255" i="14"/>
  <c r="E255" i="14"/>
  <c r="F255" i="14"/>
  <c r="D205" i="14"/>
  <c r="D138" i="5"/>
  <c r="D137" i="5"/>
  <c r="D140" i="5"/>
  <c r="D136" i="5"/>
  <c r="D139" i="5"/>
  <c r="D135" i="5"/>
  <c r="D33" i="2"/>
  <c r="C21" i="5"/>
  <c r="C140" i="5"/>
  <c r="C136" i="5"/>
  <c r="C139" i="5"/>
  <c r="C135" i="5"/>
  <c r="C138" i="5"/>
  <c r="C137" i="5"/>
  <c r="E155" i="5"/>
  <c r="E154" i="5"/>
  <c r="E157" i="5"/>
  <c r="E153" i="5"/>
  <c r="E156" i="5"/>
  <c r="E152" i="5"/>
  <c r="E95" i="3"/>
  <c r="E207" i="6"/>
  <c r="F207" i="6"/>
  <c r="E43" i="8"/>
  <c r="C41" i="9"/>
  <c r="D21" i="10"/>
  <c r="F95" i="3"/>
  <c r="D154" i="5"/>
  <c r="D157" i="5"/>
  <c r="D153" i="5"/>
  <c r="D156" i="5"/>
  <c r="D152" i="5"/>
  <c r="D155" i="5"/>
  <c r="E24" i="5"/>
  <c r="E17" i="5"/>
  <c r="E138" i="5"/>
  <c r="E137" i="5"/>
  <c r="E140" i="5"/>
  <c r="E136" i="5"/>
  <c r="E139" i="5"/>
  <c r="E135" i="5"/>
  <c r="C154" i="5"/>
  <c r="C157" i="5"/>
  <c r="C153" i="5"/>
  <c r="C156" i="5"/>
  <c r="C152" i="5"/>
  <c r="C155" i="5"/>
  <c r="E208" i="6"/>
  <c r="C43" i="1"/>
  <c r="F208" i="6"/>
  <c r="F43" i="8"/>
  <c r="E25" i="10"/>
  <c r="E27" i="10"/>
  <c r="E15" i="10"/>
  <c r="C59" i="10"/>
  <c r="C61" i="10"/>
  <c r="C57" i="10"/>
  <c r="C48" i="10"/>
  <c r="C42" i="10"/>
  <c r="C91" i="14"/>
  <c r="C126" i="14"/>
  <c r="C49" i="14"/>
  <c r="E21" i="14"/>
  <c r="F21" i="14"/>
  <c r="C188" i="4"/>
  <c r="F38" i="3"/>
  <c r="F43" i="3"/>
  <c r="F45" i="3"/>
  <c r="F47" i="3"/>
  <c r="F49" i="3"/>
  <c r="F50" i="3"/>
  <c r="F51" i="3"/>
  <c r="F85" i="3"/>
  <c r="F87" i="3"/>
  <c r="F89" i="3"/>
  <c r="F91" i="3"/>
  <c r="F93" i="3"/>
  <c r="F124" i="3"/>
  <c r="F179" i="3"/>
  <c r="F24" i="4"/>
  <c r="F121" i="4"/>
  <c r="F130" i="4"/>
  <c r="F167" i="4"/>
  <c r="C15" i="5"/>
  <c r="D17" i="5"/>
  <c r="E25" i="5"/>
  <c r="E27" i="5"/>
  <c r="D53" i="5"/>
  <c r="E57" i="5"/>
  <c r="E62" i="5"/>
  <c r="C77" i="5"/>
  <c r="C71" i="5"/>
  <c r="E88" i="5"/>
  <c r="E90" i="5"/>
  <c r="E86" i="5"/>
  <c r="F36" i="6"/>
  <c r="F37" i="6"/>
  <c r="F62" i="6"/>
  <c r="F63" i="6"/>
  <c r="F88" i="6"/>
  <c r="F89" i="6"/>
  <c r="F114" i="6"/>
  <c r="F115" i="6"/>
  <c r="F140" i="6"/>
  <c r="F141" i="6"/>
  <c r="F166" i="6"/>
  <c r="F167" i="6"/>
  <c r="F192" i="6"/>
  <c r="F193" i="6"/>
  <c r="F200" i="6"/>
  <c r="F201" i="6"/>
  <c r="F202" i="6"/>
  <c r="F203" i="6"/>
  <c r="F204" i="6"/>
  <c r="F205" i="6"/>
  <c r="F206" i="6"/>
  <c r="E33" i="9"/>
  <c r="F33" i="9"/>
  <c r="E33" i="11"/>
  <c r="E36" i="11"/>
  <c r="E38" i="11"/>
  <c r="E40" i="11"/>
  <c r="E60" i="12"/>
  <c r="F23" i="14"/>
  <c r="F53" i="14"/>
  <c r="E59" i="14"/>
  <c r="F59" i="14"/>
  <c r="C60" i="14"/>
  <c r="E198" i="6"/>
  <c r="F198" i="6"/>
  <c r="E199" i="6"/>
  <c r="F199" i="6"/>
  <c r="C121" i="7"/>
  <c r="F65" i="8"/>
  <c r="E75" i="12"/>
  <c r="C15" i="10"/>
  <c r="C25" i="10"/>
  <c r="C27" i="10"/>
  <c r="E48" i="10"/>
  <c r="E42" i="10"/>
  <c r="E59" i="10"/>
  <c r="E61" i="10"/>
  <c r="E57" i="10"/>
  <c r="C31" i="11"/>
  <c r="H31" i="11"/>
  <c r="H17" i="11"/>
  <c r="E30" i="14"/>
  <c r="F30" i="14"/>
  <c r="C31" i="14"/>
  <c r="C125" i="14"/>
  <c r="C90" i="14"/>
  <c r="E48" i="14"/>
  <c r="F48" i="14"/>
  <c r="C52" i="3"/>
  <c r="E38" i="1"/>
  <c r="F38" i="1"/>
  <c r="C65" i="1"/>
  <c r="C75" i="1"/>
  <c r="C19" i="2"/>
  <c r="E84" i="3"/>
  <c r="F84" i="3"/>
  <c r="E41" i="4"/>
  <c r="F41" i="4"/>
  <c r="D57" i="5"/>
  <c r="D62" i="5"/>
  <c r="F23" i="7"/>
  <c r="F24" i="7"/>
  <c r="F59" i="7"/>
  <c r="F60" i="7"/>
  <c r="F107" i="7"/>
  <c r="F108" i="7"/>
  <c r="F114" i="7"/>
  <c r="F115" i="7"/>
  <c r="F116" i="7"/>
  <c r="F117" i="7"/>
  <c r="F118" i="7"/>
  <c r="F119" i="7"/>
  <c r="F120" i="7"/>
  <c r="C122" i="7"/>
  <c r="D75" i="8"/>
  <c r="F73" i="8"/>
  <c r="E16" i="9"/>
  <c r="F16" i="9"/>
  <c r="E19" i="9"/>
  <c r="F19" i="9"/>
  <c r="E31" i="9"/>
  <c r="F31" i="9"/>
  <c r="F39" i="9"/>
  <c r="E41" i="9"/>
  <c r="G33" i="11"/>
  <c r="F30" i="12"/>
  <c r="F45" i="12"/>
  <c r="F60" i="12"/>
  <c r="E70" i="12"/>
  <c r="F70" i="12"/>
  <c r="F67" i="14"/>
  <c r="F76" i="14"/>
  <c r="E36" i="14"/>
  <c r="F36" i="14"/>
  <c r="C37" i="14"/>
  <c r="E47" i="7"/>
  <c r="E95" i="7"/>
  <c r="E22" i="8"/>
  <c r="F22" i="8"/>
  <c r="F29" i="8"/>
  <c r="F41" i="8"/>
  <c r="F56" i="8"/>
  <c r="C75" i="8"/>
  <c r="F46" i="9"/>
  <c r="F16" i="12"/>
  <c r="F23" i="12"/>
  <c r="E50" i="12"/>
  <c r="F50" i="12"/>
  <c r="F55" i="12"/>
  <c r="E65" i="12"/>
  <c r="F65" i="12"/>
  <c r="F75" i="12"/>
  <c r="E84" i="12"/>
  <c r="F84" i="12"/>
  <c r="E92" i="12"/>
  <c r="F92" i="12"/>
  <c r="F99" i="12"/>
  <c r="E14" i="13"/>
  <c r="F14" i="13"/>
  <c r="E18" i="13"/>
  <c r="F18" i="13"/>
  <c r="E22" i="13"/>
  <c r="F22" i="13"/>
  <c r="C215" i="14"/>
  <c r="F189" i="14"/>
  <c r="C283" i="14"/>
  <c r="C205" i="14"/>
  <c r="C145" i="15"/>
  <c r="E156" i="15"/>
  <c r="D157" i="15"/>
  <c r="E157" i="15"/>
  <c r="E231" i="15"/>
  <c r="D330" i="15"/>
  <c r="E330" i="15"/>
  <c r="E326" i="15"/>
  <c r="D41" i="17"/>
  <c r="E39" i="17"/>
  <c r="E41" i="17"/>
  <c r="D207" i="14"/>
  <c r="D138" i="14"/>
  <c r="E89" i="14"/>
  <c r="F89" i="14"/>
  <c r="F94" i="14"/>
  <c r="F135" i="14"/>
  <c r="F146" i="14"/>
  <c r="F158" i="14"/>
  <c r="F165" i="14"/>
  <c r="E171" i="14"/>
  <c r="C173" i="14"/>
  <c r="C192" i="14"/>
  <c r="E199" i="14"/>
  <c r="F199" i="14"/>
  <c r="C214" i="14"/>
  <c r="F237" i="14"/>
  <c r="F250" i="14"/>
  <c r="C262" i="14"/>
  <c r="E278" i="14"/>
  <c r="F278" i="14"/>
  <c r="F294" i="14"/>
  <c r="E296" i="14"/>
  <c r="F296" i="14"/>
  <c r="C306" i="14"/>
  <c r="F311" i="14"/>
  <c r="D240" i="15"/>
  <c r="C245" i="15"/>
  <c r="E245" i="15"/>
  <c r="E260" i="15"/>
  <c r="D303" i="15"/>
  <c r="E20" i="17"/>
  <c r="E192" i="14"/>
  <c r="D286" i="14"/>
  <c r="D43" i="15"/>
  <c r="E38" i="15"/>
  <c r="D71" i="15"/>
  <c r="D76" i="15"/>
  <c r="D65" i="15"/>
  <c r="D289" i="15"/>
  <c r="E289" i="15"/>
  <c r="E60" i="15"/>
  <c r="D144" i="15"/>
  <c r="D175" i="15"/>
  <c r="E175" i="15"/>
  <c r="E139" i="15"/>
  <c r="E251" i="15"/>
  <c r="F39" i="17"/>
  <c r="C41" i="17"/>
  <c r="E109" i="19"/>
  <c r="E108" i="19"/>
  <c r="D175" i="14"/>
  <c r="D140" i="14"/>
  <c r="D62" i="14"/>
  <c r="D105" i="14"/>
  <c r="F109" i="14"/>
  <c r="C111" i="14"/>
  <c r="C137" i="14"/>
  <c r="F172" i="14"/>
  <c r="F180" i="14"/>
  <c r="F223" i="14"/>
  <c r="C239" i="14"/>
  <c r="F267" i="14"/>
  <c r="C274" i="14"/>
  <c r="F285" i="14"/>
  <c r="F299" i="14"/>
  <c r="E151" i="15"/>
  <c r="C168" i="15"/>
  <c r="E195" i="15"/>
  <c r="E314" i="15"/>
  <c r="F20" i="17"/>
  <c r="F40" i="17"/>
  <c r="E173" i="14"/>
  <c r="C261" i="14"/>
  <c r="C254" i="14"/>
  <c r="E188" i="14"/>
  <c r="F188" i="14"/>
  <c r="D33" i="15"/>
  <c r="E32" i="15"/>
  <c r="D320" i="15"/>
  <c r="E320" i="15"/>
  <c r="E316" i="15"/>
  <c r="D109" i="19"/>
  <c r="D108" i="19"/>
  <c r="D254" i="14"/>
  <c r="D216" i="14"/>
  <c r="F20" i="14"/>
  <c r="C304" i="14"/>
  <c r="F66" i="14"/>
  <c r="C102" i="14"/>
  <c r="F179" i="14"/>
  <c r="C190" i="14"/>
  <c r="C193" i="14"/>
  <c r="E198" i="14"/>
  <c r="F198" i="14"/>
  <c r="C200" i="14"/>
  <c r="F226" i="14"/>
  <c r="C270" i="14"/>
  <c r="C288" i="14"/>
  <c r="E288" i="14"/>
  <c r="F288" i="14"/>
  <c r="C290" i="14"/>
  <c r="F298" i="14"/>
  <c r="C76" i="15"/>
  <c r="C77" i="15"/>
  <c r="C163" i="15"/>
  <c r="E163" i="15"/>
  <c r="D222" i="15"/>
  <c r="D223" i="15"/>
  <c r="D253" i="15"/>
  <c r="E265" i="15"/>
  <c r="D55" i="15"/>
  <c r="E55" i="15"/>
  <c r="E54" i="15"/>
  <c r="D189" i="15"/>
  <c r="D261" i="15"/>
  <c r="E261" i="15"/>
  <c r="E188" i="15"/>
  <c r="E205" i="15"/>
  <c r="D210" i="15"/>
  <c r="E218" i="15"/>
  <c r="D217" i="15"/>
  <c r="C108" i="19"/>
  <c r="C109" i="19"/>
  <c r="D139" i="14"/>
  <c r="D104" i="14"/>
  <c r="D174" i="14"/>
  <c r="F136" i="14"/>
  <c r="C159" i="14"/>
  <c r="F170" i="14"/>
  <c r="F171" i="14"/>
  <c r="C181" i="14"/>
  <c r="F238" i="14"/>
  <c r="F295" i="14"/>
  <c r="E69" i="15"/>
  <c r="C283" i="15"/>
  <c r="D294" i="15"/>
  <c r="C38" i="16"/>
  <c r="C127" i="16"/>
  <c r="C129" i="16"/>
  <c r="C133" i="16"/>
  <c r="D90" i="14"/>
  <c r="E90" i="14"/>
  <c r="F90" i="14"/>
  <c r="E111" i="14"/>
  <c r="D239" i="15"/>
  <c r="E239" i="15"/>
  <c r="C242" i="15"/>
  <c r="E242" i="15"/>
  <c r="C22" i="16"/>
  <c r="E22" i="19"/>
  <c r="D34" i="19"/>
  <c r="C53" i="19"/>
  <c r="C101" i="19"/>
  <c r="C103" i="19"/>
  <c r="D102" i="19"/>
  <c r="D103" i="19"/>
  <c r="E111" i="19"/>
  <c r="D161" i="14"/>
  <c r="D193" i="14"/>
  <c r="D282" i="14"/>
  <c r="D277" i="14"/>
  <c r="D22" i="19"/>
  <c r="E30" i="19"/>
  <c r="E36" i="19"/>
  <c r="E40" i="19"/>
  <c r="E46" i="19"/>
  <c r="C54" i="19"/>
  <c r="C110" i="19"/>
  <c r="D124" i="14"/>
  <c r="E124" i="14"/>
  <c r="F124" i="14"/>
  <c r="D160" i="14"/>
  <c r="D200" i="14"/>
  <c r="E200" i="14"/>
  <c r="F200" i="14"/>
  <c r="D206" i="14"/>
  <c r="E206" i="14"/>
  <c r="F206" i="14"/>
  <c r="D262" i="14"/>
  <c r="D266" i="14"/>
  <c r="D274" i="14"/>
  <c r="E274" i="14"/>
  <c r="D280" i="14"/>
  <c r="E324" i="15"/>
  <c r="E19" i="17"/>
  <c r="F19" i="17"/>
  <c r="E43" i="17"/>
  <c r="D23" i="19"/>
  <c r="C29" i="19"/>
  <c r="C35" i="19"/>
  <c r="C39" i="19"/>
  <c r="E101" i="19"/>
  <c r="E103" i="19"/>
  <c r="C111" i="19"/>
  <c r="D49" i="14"/>
  <c r="D91" i="14"/>
  <c r="D261" i="14"/>
  <c r="C30" i="19"/>
  <c r="C56" i="19"/>
  <c r="C36" i="19"/>
  <c r="C40" i="19"/>
  <c r="D190" i="14"/>
  <c r="E190" i="14"/>
  <c r="C48" i="19"/>
  <c r="C113" i="19"/>
  <c r="D50" i="14"/>
  <c r="E49" i="14"/>
  <c r="E48" i="19"/>
  <c r="E38" i="19"/>
  <c r="E113" i="19"/>
  <c r="E56" i="19"/>
  <c r="D162" i="14"/>
  <c r="D92" i="14"/>
  <c r="E91" i="14"/>
  <c r="F43" i="17"/>
  <c r="D194" i="14"/>
  <c r="E193" i="14"/>
  <c r="F193" i="14"/>
  <c r="E110" i="19"/>
  <c r="E53" i="19"/>
  <c r="E45" i="19"/>
  <c r="E39" i="19"/>
  <c r="E35" i="19"/>
  <c r="E29" i="19"/>
  <c r="E159" i="14"/>
  <c r="F159" i="14"/>
  <c r="D241" i="15"/>
  <c r="E241" i="15"/>
  <c r="E217" i="15"/>
  <c r="E290" i="14"/>
  <c r="F290" i="14"/>
  <c r="C194" i="14"/>
  <c r="E254" i="14"/>
  <c r="F254" i="14"/>
  <c r="D141" i="14"/>
  <c r="D44" i="15"/>
  <c r="C272" i="14"/>
  <c r="E215" i="14"/>
  <c r="F215" i="14"/>
  <c r="F37" i="14"/>
  <c r="E37" i="14"/>
  <c r="G36" i="11"/>
  <c r="G38" i="11"/>
  <c r="G40" i="11"/>
  <c r="I33" i="11"/>
  <c r="I36" i="11"/>
  <c r="I38" i="11"/>
  <c r="I40" i="11"/>
  <c r="C32" i="14"/>
  <c r="E31" i="14"/>
  <c r="F31" i="14"/>
  <c r="F49" i="14"/>
  <c r="C50" i="14"/>
  <c r="D284" i="15"/>
  <c r="E284" i="15"/>
  <c r="F41" i="17"/>
  <c r="C161" i="14"/>
  <c r="E161" i="14"/>
  <c r="F161" i="14"/>
  <c r="C158" i="5"/>
  <c r="E280" i="14"/>
  <c r="F280" i="14"/>
  <c r="D287" i="14"/>
  <c r="D279" i="14"/>
  <c r="D284" i="14"/>
  <c r="E102" i="14"/>
  <c r="F102" i="14"/>
  <c r="C103" i="14"/>
  <c r="F274" i="14"/>
  <c r="D63" i="14"/>
  <c r="C216" i="14"/>
  <c r="E214" i="14"/>
  <c r="F214" i="14"/>
  <c r="C17" i="10"/>
  <c r="C28" i="10"/>
  <c r="C70" i="10"/>
  <c r="C72" i="10"/>
  <c r="C69" i="10"/>
  <c r="C24" i="10"/>
  <c r="C24" i="5"/>
  <c r="C20" i="5"/>
  <c r="C17" i="5"/>
  <c r="E24" i="10"/>
  <c r="E17" i="10"/>
  <c r="E28" i="10"/>
  <c r="E70" i="10"/>
  <c r="E72" i="10"/>
  <c r="E69" i="10"/>
  <c r="E112" i="5"/>
  <c r="E111" i="5"/>
  <c r="E28" i="5"/>
  <c r="E99" i="5"/>
  <c r="E101" i="5"/>
  <c r="E98" i="5"/>
  <c r="F111" i="14"/>
  <c r="D300" i="14"/>
  <c r="C266" i="14"/>
  <c r="E266" i="14"/>
  <c r="F266" i="14"/>
  <c r="C160" i="14"/>
  <c r="D141" i="5"/>
  <c r="D46" i="19"/>
  <c r="D40" i="19"/>
  <c r="D36" i="19"/>
  <c r="D30" i="19"/>
  <c r="D111" i="19"/>
  <c r="D54" i="19"/>
  <c r="D268" i="14"/>
  <c r="D271" i="14"/>
  <c r="D263" i="14"/>
  <c r="E261" i="14"/>
  <c r="C112" i="19"/>
  <c r="C55" i="19"/>
  <c r="C47" i="19"/>
  <c r="C37" i="19"/>
  <c r="D272" i="14"/>
  <c r="E272" i="14"/>
  <c r="F272" i="14"/>
  <c r="E262" i="14"/>
  <c r="F262" i="14"/>
  <c r="D53" i="19"/>
  <c r="D45" i="19"/>
  <c r="D39" i="19"/>
  <c r="D35" i="19"/>
  <c r="D29" i="19"/>
  <c r="D110" i="19"/>
  <c r="D234" i="15"/>
  <c r="D211" i="15"/>
  <c r="D246" i="15"/>
  <c r="E33" i="15"/>
  <c r="C138" i="14"/>
  <c r="C207" i="14"/>
  <c r="E137" i="14"/>
  <c r="F137" i="14"/>
  <c r="D168" i="15"/>
  <c r="E168" i="15"/>
  <c r="E144" i="15"/>
  <c r="D145" i="15"/>
  <c r="D180" i="15"/>
  <c r="E306" i="14"/>
  <c r="C169" i="15"/>
  <c r="C286" i="14"/>
  <c r="E283" i="14"/>
  <c r="F283" i="14"/>
  <c r="E122" i="7"/>
  <c r="F122" i="7"/>
  <c r="C33" i="2"/>
  <c r="E33" i="2"/>
  <c r="F33" i="2"/>
  <c r="D112" i="5"/>
  <c r="D111" i="5"/>
  <c r="D28" i="5"/>
  <c r="F91" i="14"/>
  <c r="C92" i="14"/>
  <c r="F41" i="9"/>
  <c r="C48" i="9"/>
  <c r="D41" i="2"/>
  <c r="E160" i="14"/>
  <c r="D125" i="14"/>
  <c r="E125" i="14"/>
  <c r="F125" i="14"/>
  <c r="F173" i="14"/>
  <c r="D265" i="14"/>
  <c r="D158" i="5"/>
  <c r="E121" i="7"/>
  <c r="F121" i="7"/>
  <c r="E188" i="4"/>
  <c r="F188" i="4"/>
  <c r="E158" i="5"/>
  <c r="C141" i="5"/>
  <c r="E181" i="14"/>
  <c r="F181" i="14"/>
  <c r="C268" i="14"/>
  <c r="C263" i="14"/>
  <c r="E263" i="14"/>
  <c r="F263" i="14"/>
  <c r="F261" i="14"/>
  <c r="C271" i="14"/>
  <c r="E239" i="14"/>
  <c r="F239" i="14"/>
  <c r="D106" i="14"/>
  <c r="D176" i="14"/>
  <c r="E65" i="15"/>
  <c r="D66" i="15"/>
  <c r="E66" i="15"/>
  <c r="E303" i="15"/>
  <c r="D306" i="15"/>
  <c r="D208" i="14"/>
  <c r="E207" i="14"/>
  <c r="E205" i="14"/>
  <c r="F205" i="14"/>
  <c r="E60" i="14"/>
  <c r="F60" i="14"/>
  <c r="C61" i="14"/>
  <c r="E22" i="5"/>
  <c r="E21" i="5"/>
  <c r="E20" i="5"/>
  <c r="C127" i="14"/>
  <c r="D126" i="14"/>
  <c r="F190" i="14"/>
  <c r="E286" i="14"/>
  <c r="C282" i="14"/>
  <c r="F192" i="14"/>
  <c r="E75" i="8"/>
  <c r="F75" i="8"/>
  <c r="E141" i="5"/>
  <c r="E19" i="2"/>
  <c r="F19" i="2"/>
  <c r="F48" i="9"/>
  <c r="E48" i="9"/>
  <c r="D99" i="5"/>
  <c r="D101" i="5"/>
  <c r="D98" i="5"/>
  <c r="D235" i="15"/>
  <c r="D47" i="19"/>
  <c r="D37" i="19"/>
  <c r="D112" i="19"/>
  <c r="D55" i="19"/>
  <c r="D291" i="14"/>
  <c r="D289" i="14"/>
  <c r="D99" i="15"/>
  <c r="D95" i="15"/>
  <c r="D88" i="15"/>
  <c r="D84" i="15"/>
  <c r="D101" i="15"/>
  <c r="D97" i="15"/>
  <c r="D86" i="15"/>
  <c r="D258" i="15"/>
  <c r="D98" i="15"/>
  <c r="D87" i="15"/>
  <c r="D96" i="15"/>
  <c r="D85" i="15"/>
  <c r="D83" i="15"/>
  <c r="D100" i="15"/>
  <c r="D89" i="15"/>
  <c r="D322" i="14"/>
  <c r="E194" i="14"/>
  <c r="D196" i="14"/>
  <c r="D195" i="14"/>
  <c r="D324" i="14"/>
  <c r="D113" i="14"/>
  <c r="E92" i="14"/>
  <c r="F92" i="14"/>
  <c r="D127" i="14"/>
  <c r="E126" i="14"/>
  <c r="F126" i="14"/>
  <c r="C273" i="14"/>
  <c r="D70" i="14"/>
  <c r="E50" i="14"/>
  <c r="F50" i="14"/>
  <c r="F160" i="14"/>
  <c r="E138" i="14"/>
  <c r="F138" i="14"/>
  <c r="C281" i="14"/>
  <c r="C104" i="14"/>
  <c r="C174" i="14"/>
  <c r="C139" i="14"/>
  <c r="E61" i="14"/>
  <c r="F61" i="14"/>
  <c r="E306" i="15"/>
  <c r="D310" i="15"/>
  <c r="E310" i="15"/>
  <c r="D48" i="2"/>
  <c r="C41" i="2"/>
  <c r="F207" i="14"/>
  <c r="C208" i="14"/>
  <c r="C105" i="14"/>
  <c r="C140" i="14"/>
  <c r="C62" i="14"/>
  <c r="C210" i="14"/>
  <c r="C175" i="14"/>
  <c r="E32" i="14"/>
  <c r="F32" i="14"/>
  <c r="F286" i="14"/>
  <c r="E268" i="14"/>
  <c r="F268" i="14"/>
  <c r="E216" i="14"/>
  <c r="F216" i="14"/>
  <c r="E208" i="14"/>
  <c r="D210" i="14"/>
  <c r="D209" i="14"/>
  <c r="D181" i="15"/>
  <c r="E145" i="15"/>
  <c r="D169" i="15"/>
  <c r="E169" i="15"/>
  <c r="D304" i="14"/>
  <c r="D273" i="14"/>
  <c r="E273" i="14"/>
  <c r="F273" i="14"/>
  <c r="E271" i="14"/>
  <c r="F271" i="14"/>
  <c r="D113" i="19"/>
  <c r="D56" i="19"/>
  <c r="D48" i="19"/>
  <c r="D38" i="19"/>
  <c r="C112" i="5"/>
  <c r="C111" i="5"/>
  <c r="C28" i="5"/>
  <c r="E103" i="14"/>
  <c r="F103" i="14"/>
  <c r="C162" i="14"/>
  <c r="C197" i="14"/>
  <c r="F194" i="14"/>
  <c r="C196" i="14"/>
  <c r="C195" i="14"/>
  <c r="E47" i="19"/>
  <c r="E37" i="19"/>
  <c r="E112" i="19"/>
  <c r="E55" i="19"/>
  <c r="D183" i="14"/>
  <c r="D323" i="14"/>
  <c r="E162" i="14"/>
  <c r="D295" i="15"/>
  <c r="E295" i="15"/>
  <c r="D211" i="14"/>
  <c r="E210" i="14"/>
  <c r="C176" i="14"/>
  <c r="E175" i="14"/>
  <c r="F175" i="14"/>
  <c r="C106" i="14"/>
  <c r="E105" i="14"/>
  <c r="F105" i="14"/>
  <c r="C48" i="2"/>
  <c r="F104" i="14"/>
  <c r="E104" i="14"/>
  <c r="D325" i="14"/>
  <c r="D305" i="14"/>
  <c r="E48" i="2"/>
  <c r="C141" i="14"/>
  <c r="E140" i="14"/>
  <c r="F140" i="14"/>
  <c r="F174" i="14"/>
  <c r="E174" i="14"/>
  <c r="D148" i="14"/>
  <c r="E127" i="14"/>
  <c r="F127" i="14"/>
  <c r="C63" i="14"/>
  <c r="E62" i="14"/>
  <c r="F62" i="14"/>
  <c r="E139" i="14"/>
  <c r="F139" i="14"/>
  <c r="D197" i="14"/>
  <c r="E197" i="14"/>
  <c r="F197" i="14"/>
  <c r="E196" i="14"/>
  <c r="F196" i="14"/>
  <c r="D102" i="15"/>
  <c r="D90" i="15"/>
  <c r="E304" i="14"/>
  <c r="F304" i="14"/>
  <c r="C183" i="14"/>
  <c r="F162" i="14"/>
  <c r="C323" i="14"/>
  <c r="C99" i="5"/>
  <c r="C101" i="5"/>
  <c r="C98" i="5"/>
  <c r="C22" i="5"/>
  <c r="E183" i="14"/>
  <c r="F183" i="14"/>
  <c r="F210" i="14"/>
  <c r="F208" i="14"/>
  <c r="E41" i="2"/>
  <c r="F41" i="2"/>
  <c r="C209" i="14"/>
  <c r="E209" i="14"/>
  <c r="E195" i="14"/>
  <c r="F195" i="14"/>
  <c r="F48" i="2"/>
  <c r="E63" i="14"/>
  <c r="F63" i="14"/>
  <c r="C70" i="14"/>
  <c r="D309" i="14"/>
  <c r="C113" i="14"/>
  <c r="C324" i="14"/>
  <c r="C325" i="14"/>
  <c r="E325" i="14"/>
  <c r="E106" i="14"/>
  <c r="F106" i="14"/>
  <c r="E176" i="14"/>
  <c r="F176" i="14"/>
  <c r="D91" i="15"/>
  <c r="C322" i="14"/>
  <c r="C211" i="14"/>
  <c r="C148" i="14"/>
  <c r="E148" i="14"/>
  <c r="E141" i="14"/>
  <c r="F141" i="14"/>
  <c r="F209" i="14"/>
  <c r="E323" i="14"/>
  <c r="F323" i="14"/>
  <c r="D103" i="15"/>
  <c r="E211" i="14"/>
  <c r="F113" i="14"/>
  <c r="E113" i="14"/>
  <c r="F70" i="14"/>
  <c r="E70" i="14"/>
  <c r="E324" i="14"/>
  <c r="D310" i="14"/>
  <c r="E322" i="14"/>
  <c r="F322" i="14"/>
  <c r="F148" i="14"/>
  <c r="D312" i="14"/>
  <c r="F325" i="14"/>
  <c r="D259" i="15"/>
  <c r="E76" i="15"/>
  <c r="D77" i="15"/>
  <c r="C20" i="10"/>
  <c r="C22" i="10"/>
  <c r="C21" i="10"/>
  <c r="F61" i="1"/>
  <c r="D313" i="14"/>
  <c r="D105" i="15"/>
  <c r="F211" i="14"/>
  <c r="D281" i="14"/>
  <c r="E281" i="14"/>
  <c r="F281" i="14"/>
  <c r="E282" i="14"/>
  <c r="F282" i="14"/>
  <c r="D247" i="15"/>
  <c r="C121" i="15"/>
  <c r="C110" i="15"/>
  <c r="C123" i="15"/>
  <c r="C124" i="15"/>
  <c r="C122" i="15"/>
  <c r="C109" i="15"/>
  <c r="C115" i="15"/>
  <c r="C125" i="15"/>
  <c r="C114" i="15"/>
  <c r="C127" i="15"/>
  <c r="C112" i="15"/>
  <c r="C113" i="15"/>
  <c r="C111" i="15"/>
  <c r="C126" i="15"/>
  <c r="E21" i="10"/>
  <c r="E20" i="10"/>
  <c r="E22" i="10"/>
  <c r="F324" i="14"/>
  <c r="C38" i="19"/>
  <c r="E71" i="15"/>
  <c r="D43" i="1"/>
  <c r="E43" i="1"/>
  <c r="F43" i="1"/>
  <c r="D65" i="1"/>
  <c r="E41" i="3"/>
  <c r="F41" i="3"/>
  <c r="F68" i="3"/>
  <c r="F137" i="3"/>
  <c r="E166" i="3"/>
  <c r="F166" i="3"/>
  <c r="E30" i="4"/>
  <c r="F30" i="4"/>
  <c r="C95" i="4"/>
  <c r="E35" i="4"/>
  <c r="F35" i="4"/>
  <c r="D95" i="4"/>
  <c r="E95" i="4"/>
  <c r="D25" i="5"/>
  <c r="D27" i="5"/>
  <c r="E43" i="5"/>
  <c r="D77" i="5"/>
  <c r="D71" i="5"/>
  <c r="F23" i="6"/>
  <c r="F24" i="6"/>
  <c r="F49" i="6"/>
  <c r="F50" i="6"/>
  <c r="F75" i="6"/>
  <c r="F76" i="6"/>
  <c r="F101" i="6"/>
  <c r="F102" i="6"/>
  <c r="E127" i="6"/>
  <c r="F127" i="6"/>
  <c r="E128" i="6"/>
  <c r="F128" i="6"/>
  <c r="E153" i="6"/>
  <c r="E154" i="6"/>
  <c r="E179" i="6"/>
  <c r="E180" i="6"/>
  <c r="F35" i="7"/>
  <c r="F36" i="7"/>
  <c r="E112" i="7"/>
  <c r="F112" i="7"/>
  <c r="E113" i="7"/>
  <c r="F113" i="7"/>
  <c r="E61" i="8"/>
  <c r="F61" i="8"/>
  <c r="D15" i="10"/>
  <c r="F33" i="11"/>
  <c r="E37" i="12"/>
  <c r="E47" i="14"/>
  <c r="E229" i="15"/>
  <c r="G31" i="11"/>
  <c r="I31" i="11"/>
  <c r="E44" i="14"/>
  <c r="F44" i="14"/>
  <c r="F47" i="14"/>
  <c r="C68" i="14"/>
  <c r="F85" i="14"/>
  <c r="E95" i="14"/>
  <c r="F95" i="14"/>
  <c r="F120" i="14"/>
  <c r="E130" i="14"/>
  <c r="F130" i="14"/>
  <c r="F144" i="14"/>
  <c r="F164" i="14"/>
  <c r="E191" i="14"/>
  <c r="F191" i="14"/>
  <c r="E203" i="14"/>
  <c r="F203" i="14"/>
  <c r="E204" i="14"/>
  <c r="F204" i="14"/>
  <c r="F227" i="14"/>
  <c r="F229" i="14"/>
  <c r="C264" i="14"/>
  <c r="E269" i="14"/>
  <c r="F269" i="14"/>
  <c r="C277" i="14"/>
  <c r="F307" i="14"/>
  <c r="D283" i="15"/>
  <c r="E283" i="15"/>
  <c r="E21" i="15"/>
  <c r="C294" i="15"/>
  <c r="E294" i="15"/>
  <c r="C43" i="15"/>
  <c r="C189" i="15"/>
  <c r="E189" i="15"/>
  <c r="C210" i="15"/>
  <c r="D270" i="14"/>
  <c r="E270" i="14"/>
  <c r="F270" i="14"/>
  <c r="C222" i="15"/>
  <c r="C240" i="15"/>
  <c r="E219" i="15"/>
  <c r="D243" i="15"/>
  <c r="E220" i="15"/>
  <c r="D244" i="15"/>
  <c r="E244" i="15"/>
  <c r="F44" i="17"/>
  <c r="C64" i="16"/>
  <c r="C65" i="16"/>
  <c r="C114" i="16"/>
  <c r="C116" i="16"/>
  <c r="C119" i="16"/>
  <c r="C123" i="16"/>
  <c r="E44" i="17"/>
  <c r="E45" i="17"/>
  <c r="F45" i="17"/>
  <c r="F25" i="17"/>
  <c r="F36" i="17"/>
  <c r="E243" i="15"/>
  <c r="D252" i="15"/>
  <c r="E240" i="15"/>
  <c r="C253" i="15"/>
  <c r="E253" i="15"/>
  <c r="C287" i="14"/>
  <c r="E277" i="14"/>
  <c r="C279" i="14"/>
  <c r="C284" i="14"/>
  <c r="F277" i="14"/>
  <c r="E264" i="14"/>
  <c r="F264" i="14"/>
  <c r="C300" i="14"/>
  <c r="C265" i="14"/>
  <c r="F36" i="11"/>
  <c r="F38" i="11"/>
  <c r="F40" i="11"/>
  <c r="H33" i="11"/>
  <c r="H36" i="11"/>
  <c r="H38" i="11"/>
  <c r="H40" i="11"/>
  <c r="D21" i="5"/>
  <c r="D22" i="5"/>
  <c r="D20" i="5"/>
  <c r="F95" i="4"/>
  <c r="D75" i="1"/>
  <c r="E75" i="1"/>
  <c r="F75" i="1"/>
  <c r="E65" i="1"/>
  <c r="F65" i="1"/>
  <c r="C117" i="15"/>
  <c r="C116" i="15"/>
  <c r="D314" i="14"/>
  <c r="D251" i="14"/>
  <c r="D315" i="14"/>
  <c r="D256" i="14"/>
  <c r="D122" i="15"/>
  <c r="D109" i="15"/>
  <c r="D110" i="15"/>
  <c r="E77" i="15"/>
  <c r="D126" i="15"/>
  <c r="E126" i="15"/>
  <c r="D115" i="15"/>
  <c r="E115" i="15"/>
  <c r="D111" i="15"/>
  <c r="E111" i="15"/>
  <c r="D124" i="15"/>
  <c r="E124" i="15"/>
  <c r="D113" i="15"/>
  <c r="E113" i="15"/>
  <c r="D121" i="15"/>
  <c r="D127" i="15"/>
  <c r="E127" i="15"/>
  <c r="D125" i="15"/>
  <c r="E125" i="15"/>
  <c r="D114" i="15"/>
  <c r="E114" i="15"/>
  <c r="D123" i="15"/>
  <c r="E123" i="15"/>
  <c r="D112" i="15"/>
  <c r="E112" i="15"/>
  <c r="D263" i="15"/>
  <c r="E46" i="17"/>
  <c r="F46" i="17"/>
  <c r="C252" i="15"/>
  <c r="C254" i="15"/>
  <c r="C246" i="15"/>
  <c r="E246" i="15"/>
  <c r="C223" i="15"/>
  <c r="E222" i="15"/>
  <c r="C211" i="15"/>
  <c r="E210" i="15"/>
  <c r="C180" i="15"/>
  <c r="E180" i="15"/>
  <c r="C234" i="15"/>
  <c r="E234" i="15"/>
  <c r="C259" i="15"/>
  <c r="C263" i="15"/>
  <c r="C44" i="15"/>
  <c r="E43" i="15"/>
  <c r="E68" i="14"/>
  <c r="F68" i="14"/>
  <c r="D24" i="10"/>
  <c r="D20" i="10"/>
  <c r="D17" i="10"/>
  <c r="D28" i="10"/>
  <c r="C128" i="15"/>
  <c r="C129" i="15"/>
  <c r="C258" i="15"/>
  <c r="C87" i="15"/>
  <c r="E87" i="15"/>
  <c r="C100" i="15"/>
  <c r="E100" i="15"/>
  <c r="C89" i="15"/>
  <c r="E89" i="15"/>
  <c r="C101" i="15"/>
  <c r="E101" i="15"/>
  <c r="C88" i="15"/>
  <c r="E88" i="15"/>
  <c r="C86" i="15"/>
  <c r="E86" i="15"/>
  <c r="C84" i="15"/>
  <c r="C98" i="15"/>
  <c r="E98" i="15"/>
  <c r="C83" i="15"/>
  <c r="C96" i="15"/>
  <c r="C85" i="15"/>
  <c r="E85" i="15"/>
  <c r="C99" i="15"/>
  <c r="E99" i="15"/>
  <c r="C97" i="15"/>
  <c r="E97" i="15"/>
  <c r="C95" i="15"/>
  <c r="E44" i="15"/>
  <c r="E263" i="15"/>
  <c r="D264" i="15"/>
  <c r="E121" i="15"/>
  <c r="E109" i="15"/>
  <c r="D257" i="14"/>
  <c r="D318" i="14"/>
  <c r="C131" i="15"/>
  <c r="E300" i="14"/>
  <c r="F300" i="14"/>
  <c r="F284" i="14"/>
  <c r="E284" i="14"/>
  <c r="D254" i="15"/>
  <c r="E254" i="15"/>
  <c r="E252" i="15"/>
  <c r="D70" i="10"/>
  <c r="D72" i="10"/>
  <c r="D69" i="10"/>
  <c r="D22" i="10"/>
  <c r="C235" i="15"/>
  <c r="E235" i="15"/>
  <c r="C181" i="15"/>
  <c r="E181" i="15"/>
  <c r="E211" i="15"/>
  <c r="C247" i="15"/>
  <c r="E247" i="15"/>
  <c r="E223" i="15"/>
  <c r="E259" i="15"/>
  <c r="E110" i="15"/>
  <c r="D116" i="15"/>
  <c r="E116" i="15"/>
  <c r="D128" i="15"/>
  <c r="E128" i="15"/>
  <c r="E122" i="15"/>
  <c r="E265" i="14"/>
  <c r="F265" i="14"/>
  <c r="E279" i="14"/>
  <c r="F279" i="14"/>
  <c r="C291" i="14"/>
  <c r="C289" i="14"/>
  <c r="E287" i="14"/>
  <c r="F287" i="14"/>
  <c r="E289" i="14"/>
  <c r="F289" i="14"/>
  <c r="E291" i="14"/>
  <c r="C305" i="14"/>
  <c r="F291" i="14"/>
  <c r="D129" i="15"/>
  <c r="E129" i="15"/>
  <c r="D266" i="15"/>
  <c r="E83" i="15"/>
  <c r="E84" i="15"/>
  <c r="C90" i="15"/>
  <c r="E90" i="15"/>
  <c r="D117" i="15"/>
  <c r="E95" i="15"/>
  <c r="C102" i="15"/>
  <c r="E102" i="15"/>
  <c r="E96" i="15"/>
  <c r="C264" i="15"/>
  <c r="C266" i="15"/>
  <c r="C267" i="15"/>
  <c r="E258" i="15"/>
  <c r="C268" i="15"/>
  <c r="C271" i="15"/>
  <c r="C269" i="15"/>
  <c r="E266" i="15"/>
  <c r="D267" i="15"/>
  <c r="C309" i="14"/>
  <c r="E305" i="14"/>
  <c r="F305" i="14"/>
  <c r="C103" i="15"/>
  <c r="E103" i="15"/>
  <c r="D131" i="15"/>
  <c r="E131" i="15"/>
  <c r="E117" i="15"/>
  <c r="C91" i="15"/>
  <c r="E264" i="15"/>
  <c r="C310" i="14"/>
  <c r="E309" i="14"/>
  <c r="F309" i="14"/>
  <c r="D268" i="15"/>
  <c r="D269" i="15"/>
  <c r="E269" i="15"/>
  <c r="E267" i="15"/>
  <c r="C105" i="15"/>
  <c r="E105" i="15"/>
  <c r="E91" i="15"/>
  <c r="D271" i="15"/>
  <c r="E271" i="15"/>
  <c r="E268" i="15"/>
  <c r="C312" i="14"/>
  <c r="E310" i="14"/>
  <c r="F310" i="14"/>
  <c r="C313" i="14"/>
  <c r="E312" i="14"/>
  <c r="F312" i="14"/>
  <c r="C251" i="14"/>
  <c r="C256" i="14"/>
  <c r="C315" i="14"/>
  <c r="C314" i="14"/>
  <c r="E313" i="14"/>
  <c r="F313" i="14"/>
  <c r="F315" i="14"/>
  <c r="E315" i="14"/>
  <c r="C257" i="14"/>
  <c r="E256" i="14"/>
  <c r="F256" i="14"/>
  <c r="C318" i="14"/>
  <c r="F314" i="14"/>
  <c r="E314" i="14"/>
  <c r="F251" i="14"/>
  <c r="E251" i="14"/>
  <c r="F318" i="14"/>
  <c r="E318" i="14"/>
  <c r="F257" i="14"/>
  <c r="E257" i="14"/>
</calcChain>
</file>

<file path=xl/sharedStrings.xml><?xml version="1.0" encoding="utf-8"?>
<sst xmlns="http://schemas.openxmlformats.org/spreadsheetml/2006/main" count="2321" uniqueCount="997">
  <si>
    <t>NORWALK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</si>
  <si>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</si>
  <si>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</si>
  <si>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</si>
  <si>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</si>
  <si>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</si>
  <si>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</si>
  <si>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</si>
  <si>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</si>
  <si>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</si>
  <si>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</si>
  <si>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</si>
  <si>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</si>
  <si>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</si>
  <si>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</si>
  <si>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</si>
  <si>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</si>
  <si>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</si>
  <si>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</si>
  <si>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</si>
  <si>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</si>
  <si>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</si>
  <si>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</si>
  <si>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</si>
  <si>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</si>
  <si>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</si>
  <si>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</si>
  <si>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</si>
  <si>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</si>
  <si>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</si>
  <si>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</si>
  <si>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</si>
  <si>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</si>
  <si>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</si>
  <si>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</si>
  <si>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</si>
  <si>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</si>
  <si>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</si>
  <si>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</si>
  <si>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</si>
  <si>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</si>
  <si>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</si>
  <si>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</si>
  <si>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</si>
  <si>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</si>
  <si>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</si>
  <si>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</si>
  <si>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</si>
  <si>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</si>
  <si>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</si>
  <si>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</si>
  <si>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</si>
  <si>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</si>
  <si>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</si>
  <si>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</si>
  <si>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</si>
  <si>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</si>
  <si>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</si>
  <si>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</si>
  <si>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</si>
  <si>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</si>
  <si>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</si>
  <si>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</si>
  <si>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</si>
  <si>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</si>
  <si>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</si>
  <si>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</si>
  <si>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</si>
  <si>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</si>
  <si>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</si>
  <si>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</si>
  <si>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</si>
  <si>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</si>
  <si>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</si>
  <si>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</si>
  <si>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</si>
  <si>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</si>
  <si>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</si>
  <si>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</si>
  <si>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</si>
  <si>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</si>
  <si>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</si>
  <si>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</si>
  <si>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</si>
  <si>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</si>
  <si>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</si>
  <si>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</si>
  <si>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</si>
  <si>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</si>
  <si>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</si>
  <si>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</si>
  <si>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</si>
  <si>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</si>
  <si>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</si>
  <si>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</si>
  <si>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</si>
  <si>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</si>
  <si>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</si>
  <si>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</si>
  <si>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</si>
  <si>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</si>
  <si>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</si>
  <si>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</si>
  <si>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</si>
  <si>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</si>
  <si>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</si>
  <si>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</si>
  <si>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</si>
  <si>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</si>
  <si>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</si>
  <si>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</si>
  <si>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</si>
  <si>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</si>
  <si>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</si>
  <si>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</si>
  <si>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</si>
  <si>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</si>
  <si>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</si>
  <si>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</si>
  <si>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</si>
  <si>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</si>
  <si>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</si>
  <si>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</si>
  <si>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</si>
  <si>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</si>
  <si>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</si>
  <si>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</si>
  <si>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</si>
  <si>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</si>
  <si>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</si>
  <si>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</si>
  <si>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</si>
  <si>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</si>
  <si>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</si>
  <si>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</si>
  <si>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</si>
  <si>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</si>
  <si>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</si>
  <si>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</si>
  <si>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</si>
  <si>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</si>
  <si>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</si>
  <si>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</si>
  <si>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</si>
  <si>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</si>
  <si>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</si>
  <si>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</si>
  <si>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</si>
  <si>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</si>
  <si>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</si>
  <si>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</si>
  <si>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</si>
  <si>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</si>
  <si>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</si>
  <si>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</si>
  <si>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</si>
  <si>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</si>
  <si>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</si>
  <si>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</si>
  <si>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</si>
  <si>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</si>
  <si>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</si>
  <si>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</si>
  <si>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</si>
  <si>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</si>
  <si>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</si>
  <si>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</si>
  <si>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</si>
  <si>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</si>
  <si>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</si>
  <si>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</si>
  <si>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</si>
  <si>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</si>
  <si>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</si>
  <si>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</si>
  <si>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</si>
  <si>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</si>
  <si>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</si>
  <si>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</si>
  <si>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</si>
  <si>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</si>
  <si>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</si>
  <si>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</si>
  <si>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</si>
  <si>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</si>
  <si>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</si>
  <si>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</si>
  <si>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</si>
  <si>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</si>
  <si>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</si>
  <si>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</si>
  <si>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</si>
  <si>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</si>
  <si>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</si>
  <si>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</si>
  <si>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</si>
  <si>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</si>
  <si>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</si>
  <si>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</si>
  <si>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</si>
  <si>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</si>
  <si>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</si>
  <si>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</si>
  <si>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</si>
  <si>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</si>
  <si>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</si>
  <si>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</si>
  <si>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</si>
  <si>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</si>
  <si>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</si>
  <si>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</si>
  <si>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</si>
  <si>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</si>
  <si>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</si>
  <si>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</si>
  <si>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</si>
  <si>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</si>
  <si>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</si>
  <si>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</si>
  <si>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</si>
  <si>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</si>
  <si>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</si>
  <si>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</si>
  <si>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</si>
  <si>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</si>
  <si>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</si>
  <si>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</si>
  <si>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</si>
  <si>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</si>
  <si>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</si>
  <si>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</si>
  <si>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</si>
  <si>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</si>
  <si>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</si>
  <si>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</si>
  <si>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</si>
  <si>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</si>
  <si>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</si>
  <si>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</si>
  <si>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</si>
  <si>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</si>
  <si>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</si>
  <si>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</si>
  <si>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</si>
  <si>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</si>
  <si>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</si>
  <si>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</si>
  <si>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</si>
  <si>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</si>
  <si>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</si>
  <si>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</si>
  <si>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</si>
  <si>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</si>
  <si>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</si>
  <si>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</si>
  <si>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</si>
  <si>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</si>
  <si>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</si>
  <si>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</si>
  <si>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</si>
  <si>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</si>
  <si>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</si>
  <si>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</si>
  <si>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</si>
  <si>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</si>
  <si>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</si>
  <si>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</si>
  <si>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</si>
  <si>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</si>
  <si>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</si>
  <si>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</si>
  <si>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</si>
  <si>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</si>
  <si>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</si>
  <si>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</si>
  <si>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</si>
  <si>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</si>
  <si>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</si>
  <si>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</si>
  <si>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</si>
  <si>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</si>
  <si>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</si>
  <si>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</si>
  <si>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</si>
  <si>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</si>
  <si>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</si>
  <si>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</si>
  <si>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</si>
  <si>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</si>
  <si>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</si>
  <si>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</si>
  <si>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</si>
  <si>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</si>
  <si>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</si>
  <si>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</si>
  <si>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</si>
  <si>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</si>
  <si>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</si>
  <si>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</si>
  <si>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</si>
  <si>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</si>
  <si>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</si>
  <si>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</si>
  <si>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</si>
  <si>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</si>
  <si>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</si>
  <si>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</si>
  <si>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</si>
  <si>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</si>
  <si>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</si>
  <si>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</si>
  <si>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</si>
  <si>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</si>
  <si>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</si>
  <si>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</si>
  <si>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</si>
  <si>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</si>
  <si>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</si>
  <si>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</si>
  <si>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</si>
  <si>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</si>
  <si>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</si>
  <si>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</si>
  <si>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</si>
  <si>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</si>
  <si>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</si>
  <si>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</si>
  <si>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</si>
  <si>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</si>
  <si>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</si>
  <si>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</si>
  <si>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</si>
  <si>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</si>
  <si>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</si>
  <si>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</si>
  <si>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</si>
  <si>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</si>
  <si>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</si>
  <si>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</si>
  <si>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</si>
  <si>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</si>
  <si>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</si>
  <si>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</si>
  <si>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</si>
  <si>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</si>
  <si>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</si>
  <si>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</si>
  <si>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</si>
  <si>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</si>
  <si>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</si>
  <si>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</si>
  <si>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</si>
  <si>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</si>
  <si>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</si>
  <si>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</si>
  <si>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</si>
  <si>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</si>
  <si>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</si>
  <si>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</si>
  <si>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</si>
  <si>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</si>
  <si>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</si>
  <si>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</si>
  <si>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</si>
  <si>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</si>
  <si>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</si>
  <si>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</si>
  <si>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</si>
  <si>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</si>
  <si>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</si>
  <si>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</si>
  <si>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</si>
  <si>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</si>
  <si>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</si>
  <si>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</si>
  <si>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</si>
  <si>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</si>
  <si>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</si>
  <si>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</si>
  <si>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</si>
  <si>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</si>
  <si>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</si>
  <si>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</si>
  <si>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</si>
  <si>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</si>
  <si>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</si>
  <si>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</si>
  <si>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</si>
  <si>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</si>
  <si>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</si>
  <si>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</si>
  <si>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</si>
  <si>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</si>
  <si>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</si>
  <si>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</si>
  <si>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</si>
  <si>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</si>
  <si>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</si>
  <si>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</si>
  <si>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</si>
  <si>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</si>
  <si>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</si>
  <si>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</si>
  <si>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</si>
  <si>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</si>
  <si>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</si>
  <si>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</si>
  <si>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</si>
  <si>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</si>
  <si>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</si>
  <si>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</si>
  <si>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</si>
  <si>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</si>
  <si>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</si>
  <si>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</si>
  <si>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</si>
  <si>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</si>
  <si>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</si>
  <si>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</si>
  <si>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</si>
  <si>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</si>
  <si>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</si>
  <si>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</si>
  <si>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</si>
  <si>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</si>
  <si>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</si>
  <si>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</si>
  <si>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</si>
  <si>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</si>
  <si>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</si>
  <si>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</si>
  <si>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</si>
  <si>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</si>
  <si>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</si>
  <si>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</si>
  <si>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</si>
  <si>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</si>
  <si>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</si>
  <si>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</si>
  <si>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</si>
  <si>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</si>
  <si>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</si>
  <si>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</si>
  <si>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</si>
  <si>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</si>
  <si>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</si>
  <si>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</si>
  <si>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</si>
  <si>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</si>
  <si>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</si>
  <si>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</si>
  <si>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</si>
  <si>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</si>
  <si>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</si>
  <si>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</si>
  <si>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</si>
  <si>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</si>
  <si>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</si>
  <si>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</si>
  <si>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</si>
  <si>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</si>
  <si>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</si>
  <si>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</si>
  <si>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</si>
  <si>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</si>
  <si>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</si>
  <si>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</si>
  <si>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</si>
  <si>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</si>
  <si>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</si>
  <si>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</si>
  <si>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</si>
  <si>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</si>
  <si>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</si>
  <si>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</si>
  <si>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</si>
  <si>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</si>
  <si>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</si>
  <si>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</si>
  <si>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</si>
  <si>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</si>
  <si>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</si>
  <si>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</si>
  <si>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</si>
  <si>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</si>
  <si>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</si>
  <si>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</si>
  <si>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</si>
  <si>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</si>
  <si>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</si>
  <si>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</si>
  <si>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NORWALK HEALTH SERVICES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</si>
  <si>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</si>
  <si>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</si>
  <si>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</si>
  <si>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</si>
  <si>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</si>
  <si>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</si>
  <si>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</si>
  <si>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</si>
  <si>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</si>
  <si>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</si>
  <si>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</si>
  <si>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</si>
  <si>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</si>
  <si>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</si>
  <si>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</si>
  <si>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</si>
  <si>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</si>
  <si>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</si>
  <si>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</si>
  <si>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</si>
  <si>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</si>
  <si>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</si>
  <si>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</si>
  <si>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</si>
  <si>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</si>
  <si>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</si>
  <si>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</si>
  <si>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</si>
  <si>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</si>
  <si>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</si>
  <si>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</si>
  <si>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</si>
  <si>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</si>
  <si>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</si>
  <si>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</si>
  <si>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</si>
  <si>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</si>
  <si>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</si>
  <si>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</si>
  <si>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</si>
  <si>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</si>
  <si>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</si>
  <si>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</si>
  <si>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</si>
  <si>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</si>
  <si>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</si>
  <si>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</si>
  <si>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</si>
  <si>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</si>
  <si>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</si>
  <si>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</si>
  <si>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</si>
  <si>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</si>
  <si>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</si>
  <si>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</si>
  <si>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</si>
  <si>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</si>
  <si>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</si>
  <si>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</si>
  <si>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</si>
  <si>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</si>
  <si>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</si>
  <si>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</si>
  <si>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</si>
  <si>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</si>
  <si>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</si>
  <si>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</si>
  <si>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</si>
  <si>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</si>
  <si>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</si>
  <si>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</si>
  <si>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</si>
  <si>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</si>
  <si>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</si>
  <si>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</si>
  <si>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</si>
  <si>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</si>
  <si>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</si>
  <si>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</si>
  <si>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</si>
  <si>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</si>
  <si>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</si>
  <si>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</si>
  <si>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</si>
  <si>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</si>
  <si>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</si>
  <si>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</si>
  <si>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</si>
  <si>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</si>
  <si>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</si>
  <si>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</si>
  <si>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</si>
  <si>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</si>
  <si>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</si>
  <si>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</si>
  <si>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</si>
  <si>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</si>
  <si>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</si>
  <si>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</si>
  <si>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</si>
  <si>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</si>
  <si>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</si>
  <si>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</si>
  <si>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</si>
  <si>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</si>
  <si>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</si>
  <si>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</si>
  <si>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</si>
  <si>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</si>
  <si>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40 Cross Street</t>
  </si>
  <si>
    <t>Norwalk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</si>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</sst>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61458676</v>
      </c>
      <c r="D13" s="23">
        <v>79838027</v>
      </c>
      <c r="E13" s="23">
        <f t="shared" ref="E13:E22" si="0">D13-C13</f>
        <v>18379351</v>
      </c>
      <c r="F13" s="24">
        <f t="shared" ref="F13:F22" si="1">IF(C13=0,0,E13/C13)</f>
        <v>0.29905217938635709</v>
      </c>
    </row>
    <row r="14" spans="1:8" ht="24" customHeight="1" x14ac:dyDescent="0.2">
      <c r="A14" s="21">
        <v>2</v>
      </c>
      <c r="B14" s="22" t="s">
        <v>17</v>
      </c>
      <c r="C14" s="23">
        <v>8693538</v>
      </c>
      <c r="D14" s="23">
        <v>8710885</v>
      </c>
      <c r="E14" s="23">
        <f t="shared" si="0"/>
        <v>17347</v>
      </c>
      <c r="F14" s="24">
        <f t="shared" si="1"/>
        <v>1.9953901392045447E-3</v>
      </c>
    </row>
    <row r="15" spans="1:8" ht="30" customHeight="1" x14ac:dyDescent="0.2">
      <c r="A15" s="21">
        <v>3</v>
      </c>
      <c r="B15" s="22" t="s">
        <v>18</v>
      </c>
      <c r="C15" s="23">
        <v>37299759</v>
      </c>
      <c r="D15" s="23">
        <v>30103755</v>
      </c>
      <c r="E15" s="23">
        <f t="shared" si="0"/>
        <v>-7196004</v>
      </c>
      <c r="F15" s="24">
        <f t="shared" si="1"/>
        <v>-0.19292360575305595</v>
      </c>
    </row>
    <row r="16" spans="1:8" ht="24" customHeight="1" x14ac:dyDescent="0.2">
      <c r="A16" s="21">
        <v>4</v>
      </c>
      <c r="B16" s="22" t="s">
        <v>19</v>
      </c>
      <c r="C16" s="23">
        <v>372429</v>
      </c>
      <c r="D16" s="23">
        <v>278083</v>
      </c>
      <c r="E16" s="23">
        <f t="shared" si="0"/>
        <v>-94346</v>
      </c>
      <c r="F16" s="24">
        <f t="shared" si="1"/>
        <v>-0.25332613733087378</v>
      </c>
    </row>
    <row r="17" spans="1:11" ht="24" customHeight="1" x14ac:dyDescent="0.2">
      <c r="A17" s="21">
        <v>5</v>
      </c>
      <c r="B17" s="22" t="s">
        <v>20</v>
      </c>
      <c r="C17" s="23">
        <v>2640682</v>
      </c>
      <c r="D17" s="23">
        <v>4330064</v>
      </c>
      <c r="E17" s="23">
        <f t="shared" si="0"/>
        <v>1689382</v>
      </c>
      <c r="F17" s="24">
        <f t="shared" si="1"/>
        <v>0.63975215493573256</v>
      </c>
    </row>
    <row r="18" spans="1:11" ht="24" customHeight="1" x14ac:dyDescent="0.2">
      <c r="A18" s="21">
        <v>6</v>
      </c>
      <c r="B18" s="22" t="s">
        <v>21</v>
      </c>
      <c r="C18" s="23">
        <v>81421</v>
      </c>
      <c r="D18" s="23">
        <v>2368715</v>
      </c>
      <c r="E18" s="23">
        <f t="shared" si="0"/>
        <v>2287294</v>
      </c>
      <c r="F18" s="24">
        <f t="shared" si="1"/>
        <v>28.092187519190382</v>
      </c>
    </row>
    <row r="19" spans="1:11" ht="24" customHeight="1" x14ac:dyDescent="0.2">
      <c r="A19" s="21">
        <v>7</v>
      </c>
      <c r="B19" s="22" t="s">
        <v>22</v>
      </c>
      <c r="C19" s="23">
        <v>1879253</v>
      </c>
      <c r="D19" s="23">
        <v>1860656</v>
      </c>
      <c r="E19" s="23">
        <f t="shared" si="0"/>
        <v>-18597</v>
      </c>
      <c r="F19" s="24">
        <f t="shared" si="1"/>
        <v>-9.8959533389064696E-3</v>
      </c>
    </row>
    <row r="20" spans="1:11" ht="24" customHeight="1" x14ac:dyDescent="0.2">
      <c r="A20" s="21">
        <v>8</v>
      </c>
      <c r="B20" s="22" t="s">
        <v>23</v>
      </c>
      <c r="C20" s="23">
        <v>2698590</v>
      </c>
      <c r="D20" s="23">
        <v>2373762</v>
      </c>
      <c r="E20" s="23">
        <f t="shared" si="0"/>
        <v>-324828</v>
      </c>
      <c r="F20" s="24">
        <f t="shared" si="1"/>
        <v>-0.12036952630818316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389206</v>
      </c>
      <c r="E21" s="23">
        <f t="shared" si="0"/>
        <v>389206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115124348</v>
      </c>
      <c r="D22" s="27">
        <f>SUM(D13:D21)</f>
        <v>130253153</v>
      </c>
      <c r="E22" s="27">
        <f t="shared" si="0"/>
        <v>15128805</v>
      </c>
      <c r="F22" s="28">
        <f t="shared" si="1"/>
        <v>0.13141273121477309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15111873</v>
      </c>
      <c r="D25" s="23">
        <v>2366125</v>
      </c>
      <c r="E25" s="23">
        <f>D25-C25</f>
        <v>-12745748</v>
      </c>
      <c r="F25" s="24">
        <f>IF(C25=0,0,E25/C25)</f>
        <v>-0.84342609284765691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4567394</v>
      </c>
      <c r="D28" s="23">
        <v>2450281</v>
      </c>
      <c r="E28" s="23">
        <f>D28-C28</f>
        <v>-2117113</v>
      </c>
      <c r="F28" s="24">
        <f>IF(C28=0,0,E28/C28)</f>
        <v>-0.46352756079287227</v>
      </c>
    </row>
    <row r="29" spans="1:11" ht="24" customHeight="1" x14ac:dyDescent="0.25">
      <c r="A29" s="25"/>
      <c r="B29" s="26" t="s">
        <v>32</v>
      </c>
      <c r="C29" s="27">
        <f>SUM(C25:C28)</f>
        <v>19679267</v>
      </c>
      <c r="D29" s="27">
        <f>SUM(D25:D28)</f>
        <v>4816406</v>
      </c>
      <c r="E29" s="27">
        <f>D29-C29</f>
        <v>-14862861</v>
      </c>
      <c r="F29" s="28">
        <f>IF(C29=0,0,E29/C29)</f>
        <v>-0.75525480700068759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36399874</v>
      </c>
      <c r="D31" s="23">
        <v>49220441</v>
      </c>
      <c r="E31" s="23">
        <f>D31-C31</f>
        <v>12820567</v>
      </c>
      <c r="F31" s="24">
        <f>IF(C31=0,0,E31/C31)</f>
        <v>0.35221459832525792</v>
      </c>
    </row>
    <row r="32" spans="1:11" ht="24" customHeight="1" x14ac:dyDescent="0.2">
      <c r="A32" s="21">
        <v>6</v>
      </c>
      <c r="B32" s="22" t="s">
        <v>34</v>
      </c>
      <c r="C32" s="23">
        <v>21526072</v>
      </c>
      <c r="D32" s="23">
        <v>46403962</v>
      </c>
      <c r="E32" s="23">
        <f>D32-C32</f>
        <v>24877890</v>
      </c>
      <c r="F32" s="24">
        <f>IF(C32=0,0,E32/C32)</f>
        <v>1.1557096900911601</v>
      </c>
    </row>
    <row r="33" spans="1:8" ht="24" customHeight="1" x14ac:dyDescent="0.2">
      <c r="A33" s="21">
        <v>7</v>
      </c>
      <c r="B33" s="22" t="s">
        <v>35</v>
      </c>
      <c r="C33" s="23">
        <v>30544744</v>
      </c>
      <c r="D33" s="23">
        <v>71688804</v>
      </c>
      <c r="E33" s="23">
        <f>D33-C33</f>
        <v>41144060</v>
      </c>
      <c r="F33" s="24">
        <f>IF(C33=0,0,E33/C33)</f>
        <v>1.3470094887683459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381916604</v>
      </c>
      <c r="D36" s="23">
        <v>420531198</v>
      </c>
      <c r="E36" s="23">
        <f>D36-C36</f>
        <v>38614594</v>
      </c>
      <c r="F36" s="24">
        <f>IF(C36=0,0,E36/C36)</f>
        <v>0.10110739778153244</v>
      </c>
    </row>
    <row r="37" spans="1:8" ht="24" customHeight="1" x14ac:dyDescent="0.2">
      <c r="A37" s="21">
        <v>2</v>
      </c>
      <c r="B37" s="22" t="s">
        <v>39</v>
      </c>
      <c r="C37" s="23">
        <v>277722033</v>
      </c>
      <c r="D37" s="23">
        <v>292559901</v>
      </c>
      <c r="E37" s="23">
        <f>D37-C37</f>
        <v>14837868</v>
      </c>
      <c r="F37" s="24">
        <f>IF(C37=0,0,E37/C37)</f>
        <v>5.3427046603824913E-2</v>
      </c>
    </row>
    <row r="38" spans="1:8" ht="24" customHeight="1" x14ac:dyDescent="0.25">
      <c r="A38" s="25"/>
      <c r="B38" s="26" t="s">
        <v>40</v>
      </c>
      <c r="C38" s="27">
        <f>C36-C37</f>
        <v>104194571</v>
      </c>
      <c r="D38" s="27">
        <f>D36-D37</f>
        <v>127971297</v>
      </c>
      <c r="E38" s="27">
        <f>D38-C38</f>
        <v>23776726</v>
      </c>
      <c r="F38" s="28">
        <f>IF(C38=0,0,E38/C38)</f>
        <v>0.22819544024035571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22713647</v>
      </c>
      <c r="D40" s="23">
        <v>8602012</v>
      </c>
      <c r="E40" s="23">
        <f>D40-C40</f>
        <v>-14111635</v>
      </c>
      <c r="F40" s="24">
        <f>IF(C40=0,0,E40/C40)</f>
        <v>-0.62128441989082595</v>
      </c>
    </row>
    <row r="41" spans="1:8" ht="24" customHeight="1" x14ac:dyDescent="0.25">
      <c r="A41" s="25"/>
      <c r="B41" s="26" t="s">
        <v>42</v>
      </c>
      <c r="C41" s="27">
        <f>+C38+C40</f>
        <v>126908218</v>
      </c>
      <c r="D41" s="27">
        <f>+D38+D40</f>
        <v>136573309</v>
      </c>
      <c r="E41" s="27">
        <f>D41-C41</f>
        <v>9665091</v>
      </c>
      <c r="F41" s="28">
        <f>IF(C41=0,0,E41/C41)</f>
        <v>7.6158117672095904E-2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350182523</v>
      </c>
      <c r="D43" s="27">
        <f>D22+D29+D31+D32+D33+D41</f>
        <v>438956075</v>
      </c>
      <c r="E43" s="27">
        <f>D43-C43</f>
        <v>88773552</v>
      </c>
      <c r="F43" s="28">
        <f>IF(C43=0,0,E43/C43)</f>
        <v>0.25350651779957617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26154825</v>
      </c>
      <c r="D49" s="23">
        <v>25888666</v>
      </c>
      <c r="E49" s="23">
        <f t="shared" ref="E49:E56" si="2">D49-C49</f>
        <v>-266159</v>
      </c>
      <c r="F49" s="24">
        <f t="shared" ref="F49:F56" si="3">IF(C49=0,0,E49/C49)</f>
        <v>-1.0176286784560784E-2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17600200</v>
      </c>
      <c r="D50" s="23">
        <v>17881149</v>
      </c>
      <c r="E50" s="23">
        <f t="shared" si="2"/>
        <v>280949</v>
      </c>
      <c r="F50" s="24">
        <f t="shared" si="3"/>
        <v>1.5962829967841274E-2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4525191</v>
      </c>
      <c r="D51" s="23">
        <v>4906972</v>
      </c>
      <c r="E51" s="23">
        <f t="shared" si="2"/>
        <v>381781</v>
      </c>
      <c r="F51" s="24">
        <f t="shared" si="3"/>
        <v>8.4367930547020006E-2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4561656</v>
      </c>
      <c r="E52" s="23">
        <f t="shared" si="2"/>
        <v>4561656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3665000</v>
      </c>
      <c r="D53" s="23">
        <v>3820000</v>
      </c>
      <c r="E53" s="23">
        <f t="shared" si="2"/>
        <v>155000</v>
      </c>
      <c r="F53" s="24">
        <f t="shared" si="3"/>
        <v>4.229195088676671E-2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1169597</v>
      </c>
      <c r="D54" s="23">
        <v>1205862</v>
      </c>
      <c r="E54" s="23">
        <f t="shared" si="2"/>
        <v>36265</v>
      </c>
      <c r="F54" s="24">
        <f t="shared" si="3"/>
        <v>3.1006406480180781E-2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818737</v>
      </c>
      <c r="D55" s="23">
        <v>764862</v>
      </c>
      <c r="E55" s="23">
        <f t="shared" si="2"/>
        <v>-53875</v>
      </c>
      <c r="F55" s="24">
        <f t="shared" si="3"/>
        <v>-6.5802571521746303E-2</v>
      </c>
    </row>
    <row r="56" spans="1:6" ht="24" customHeight="1" x14ac:dyDescent="0.25">
      <c r="A56" s="25"/>
      <c r="B56" s="26" t="s">
        <v>54</v>
      </c>
      <c r="C56" s="27">
        <f>SUM(C49:C55)</f>
        <v>53933550</v>
      </c>
      <c r="D56" s="27">
        <f>SUM(D49:D55)</f>
        <v>59029167</v>
      </c>
      <c r="E56" s="27">
        <f t="shared" si="2"/>
        <v>5095617</v>
      </c>
      <c r="F56" s="28">
        <f t="shared" si="3"/>
        <v>9.4479540100735074E-2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52395000</v>
      </c>
      <c r="D59" s="23">
        <v>48575000</v>
      </c>
      <c r="E59" s="23">
        <f>D59-C59</f>
        <v>-3820000</v>
      </c>
      <c r="F59" s="24">
        <f>IF(C59=0,0,E59/C59)</f>
        <v>-7.2907720202309387E-2</v>
      </c>
    </row>
    <row r="60" spans="1:6" ht="24" customHeight="1" x14ac:dyDescent="0.2">
      <c r="A60" s="21">
        <v>2</v>
      </c>
      <c r="B60" s="22" t="s">
        <v>57</v>
      </c>
      <c r="C60" s="23">
        <v>5375819</v>
      </c>
      <c r="D60" s="23">
        <v>4169956</v>
      </c>
      <c r="E60" s="23">
        <f>D60-C60</f>
        <v>-1205863</v>
      </c>
      <c r="F60" s="24">
        <f>IF(C60=0,0,E60/C60)</f>
        <v>-0.22431242569736817</v>
      </c>
    </row>
    <row r="61" spans="1:6" ht="24" customHeight="1" x14ac:dyDescent="0.25">
      <c r="A61" s="25"/>
      <c r="B61" s="26" t="s">
        <v>58</v>
      </c>
      <c r="C61" s="27">
        <f>SUM(C59:C60)</f>
        <v>57770819</v>
      </c>
      <c r="D61" s="27">
        <f>SUM(D59:D60)</f>
        <v>52744956</v>
      </c>
      <c r="E61" s="27">
        <f>D61-C61</f>
        <v>-5025863</v>
      </c>
      <c r="F61" s="28">
        <f>IF(C61=0,0,E61/C61)</f>
        <v>-8.6996568284759823E-2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60019814</v>
      </c>
      <c r="D63" s="23">
        <v>64741651</v>
      </c>
      <c r="E63" s="23">
        <f>D63-C63</f>
        <v>4721837</v>
      </c>
      <c r="F63" s="24">
        <f>IF(C63=0,0,E63/C63)</f>
        <v>7.8671303446558496E-2</v>
      </c>
    </row>
    <row r="64" spans="1:6" ht="24" customHeight="1" x14ac:dyDescent="0.2">
      <c r="A64" s="21">
        <v>4</v>
      </c>
      <c r="B64" s="22" t="s">
        <v>60</v>
      </c>
      <c r="C64" s="23">
        <v>42761539</v>
      </c>
      <c r="D64" s="23">
        <v>95747309</v>
      </c>
      <c r="E64" s="23">
        <f>D64-C64</f>
        <v>52985770</v>
      </c>
      <c r="F64" s="24">
        <f>IF(C64=0,0,E64/C64)</f>
        <v>1.2390987611554392</v>
      </c>
    </row>
    <row r="65" spans="1:6" ht="24" customHeight="1" x14ac:dyDescent="0.25">
      <c r="A65" s="25"/>
      <c r="B65" s="26" t="s">
        <v>61</v>
      </c>
      <c r="C65" s="27">
        <f>SUM(C61:C64)</f>
        <v>160552172</v>
      </c>
      <c r="D65" s="27">
        <f>SUM(D61:D64)</f>
        <v>213233916</v>
      </c>
      <c r="E65" s="27">
        <f>D65-C65</f>
        <v>52681744</v>
      </c>
      <c r="F65" s="28">
        <f>IF(C65=0,0,E65/C65)</f>
        <v>0.32812850392332282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104824797</v>
      </c>
      <c r="D70" s="23">
        <v>123000420</v>
      </c>
      <c r="E70" s="23">
        <f>D70-C70</f>
        <v>18175623</v>
      </c>
      <c r="F70" s="24">
        <f>IF(C70=0,0,E70/C70)</f>
        <v>0.17339049080152286</v>
      </c>
    </row>
    <row r="71" spans="1:6" ht="24" customHeight="1" x14ac:dyDescent="0.2">
      <c r="A71" s="21">
        <v>2</v>
      </c>
      <c r="B71" s="22" t="s">
        <v>65</v>
      </c>
      <c r="C71" s="23">
        <v>21432761</v>
      </c>
      <c r="D71" s="23">
        <v>34246719</v>
      </c>
      <c r="E71" s="23">
        <f>D71-C71</f>
        <v>12813958</v>
      </c>
      <c r="F71" s="24">
        <f>IF(C71=0,0,E71/C71)</f>
        <v>0.59786781553715829</v>
      </c>
    </row>
    <row r="72" spans="1:6" ht="24" customHeight="1" x14ac:dyDescent="0.2">
      <c r="A72" s="21">
        <v>3</v>
      </c>
      <c r="B72" s="22" t="s">
        <v>66</v>
      </c>
      <c r="C72" s="23">
        <v>9439243</v>
      </c>
      <c r="D72" s="23">
        <v>9445853</v>
      </c>
      <c r="E72" s="23">
        <f>D72-C72</f>
        <v>6610</v>
      </c>
      <c r="F72" s="24">
        <f>IF(C72=0,0,E72/C72)</f>
        <v>7.0026801937401128E-4</v>
      </c>
    </row>
    <row r="73" spans="1:6" ht="24" customHeight="1" x14ac:dyDescent="0.25">
      <c r="A73" s="21"/>
      <c r="B73" s="26" t="s">
        <v>67</v>
      </c>
      <c r="C73" s="27">
        <f>SUM(C70:C72)</f>
        <v>135696801</v>
      </c>
      <c r="D73" s="27">
        <f>SUM(D70:D72)</f>
        <v>166692992</v>
      </c>
      <c r="E73" s="27">
        <f>D73-C73</f>
        <v>30996191</v>
      </c>
      <c r="F73" s="28">
        <f>IF(C73=0,0,E73/C73)</f>
        <v>0.22842241505752225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350182523</v>
      </c>
      <c r="D75" s="27">
        <f>D56+D65+D67+D73</f>
        <v>438956075</v>
      </c>
      <c r="E75" s="27">
        <f>D75-C75</f>
        <v>88773552</v>
      </c>
      <c r="F75" s="28">
        <f>IF(C75=0,0,E75/C75)</f>
        <v>0.25350651779957617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FILING&amp;RNORWALK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350695373</v>
      </c>
      <c r="D11" s="51">
        <v>374982882</v>
      </c>
      <c r="E11" s="51">
        <v>388662545</v>
      </c>
      <c r="F11" s="28"/>
    </row>
    <row r="12" spans="1:6" ht="24" customHeight="1" x14ac:dyDescent="0.25">
      <c r="A12" s="44">
        <v>2</v>
      </c>
      <c r="B12" s="48" t="s">
        <v>76</v>
      </c>
      <c r="C12" s="49">
        <v>24687471</v>
      </c>
      <c r="D12" s="49">
        <v>23390919</v>
      </c>
      <c r="E12" s="49">
        <v>23548515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375382844</v>
      </c>
      <c r="D13" s="51">
        <f>+D11+D12</f>
        <v>398373801</v>
      </c>
      <c r="E13" s="51">
        <f>+E11+E12</f>
        <v>412211060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377200353</v>
      </c>
      <c r="D14" s="49">
        <v>382748783</v>
      </c>
      <c r="E14" s="49">
        <v>392112422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-1817509</v>
      </c>
      <c r="D15" s="51">
        <f>+D13-D14</f>
        <v>15625018</v>
      </c>
      <c r="E15" s="51">
        <f>+E13-E14</f>
        <v>20098638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3595122</v>
      </c>
      <c r="D16" s="49">
        <v>-4026811</v>
      </c>
      <c r="E16" s="49">
        <v>6256474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1777613</v>
      </c>
      <c r="D17" s="51">
        <f>D15+D16</f>
        <v>11598207</v>
      </c>
      <c r="E17" s="51">
        <f>E15+E16</f>
        <v>26355112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-4.7958170739667754E-3</v>
      </c>
      <c r="D20" s="169">
        <f>IF(+D27=0,0,+D24/+D27)</f>
        <v>3.9622511129094706E-2</v>
      </c>
      <c r="E20" s="169">
        <f>IF(+E27=0,0,+E24/+E27)</f>
        <v>4.8029145314771302E-2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9.4863615369132036E-3</v>
      </c>
      <c r="D21" s="169">
        <f>IF(+D27=0,0,+D26/+D27)</f>
        <v>-1.0211339510921588E-2</v>
      </c>
      <c r="E21" s="169">
        <f>IF(+E27=0,0,+E26/+E27)</f>
        <v>1.4950918510203947E-2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4.6905444629464291E-3</v>
      </c>
      <c r="D22" s="169">
        <f>IF(+D27=0,0,+D28/+D27)</f>
        <v>2.9411171618173124E-2</v>
      </c>
      <c r="E22" s="169">
        <f>IF(+E27=0,0,+E28/+E27)</f>
        <v>6.2980063824975244E-2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-1817509</v>
      </c>
      <c r="D24" s="51">
        <f>+D15</f>
        <v>15625018</v>
      </c>
      <c r="E24" s="51">
        <f>+E15</f>
        <v>20098638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375382844</v>
      </c>
      <c r="D25" s="51">
        <f>+D13</f>
        <v>398373801</v>
      </c>
      <c r="E25" s="51">
        <f>+E13</f>
        <v>412211060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3595122</v>
      </c>
      <c r="D26" s="51">
        <f>+D16</f>
        <v>-4026811</v>
      </c>
      <c r="E26" s="51">
        <f>+E16</f>
        <v>6256474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378977966</v>
      </c>
      <c r="D27" s="51">
        <f>SUM(D25:D26)</f>
        <v>394346990</v>
      </c>
      <c r="E27" s="51">
        <f>SUM(E25:E26)</f>
        <v>418467534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1777613</v>
      </c>
      <c r="D28" s="51">
        <f>+D17</f>
        <v>11598207</v>
      </c>
      <c r="E28" s="51">
        <f>+E17</f>
        <v>26355112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138968662</v>
      </c>
      <c r="D31" s="51">
        <v>126940368</v>
      </c>
      <c r="E31" s="52">
        <v>147589726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174695130</v>
      </c>
      <c r="D32" s="51">
        <v>169919697</v>
      </c>
      <c r="E32" s="51">
        <v>204138724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-5447604</v>
      </c>
      <c r="D33" s="51">
        <f>+D32-C32</f>
        <v>-4775433</v>
      </c>
      <c r="E33" s="51">
        <f>+E32-D32</f>
        <v>34219027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0.96970000000000001</v>
      </c>
      <c r="D34" s="171">
        <f>IF(C32=0,0,+D33/C32)</f>
        <v>-2.7335810677721811E-2</v>
      </c>
      <c r="E34" s="171">
        <f>IF(D32=0,0,+E33/D32)</f>
        <v>0.20138352177028659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2.4356411075525384</v>
      </c>
      <c r="D38" s="269">
        <f>IF(+D40=0,0,+D39/+D40)</f>
        <v>2.4118318503665144</v>
      </c>
      <c r="E38" s="269">
        <f>IF(+E40=0,0,+E39/+E40)</f>
        <v>2.9299077507142437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110652425</v>
      </c>
      <c r="D39" s="270">
        <v>162996642</v>
      </c>
      <c r="E39" s="270">
        <v>175407392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45430513</v>
      </c>
      <c r="D40" s="270">
        <v>67582092</v>
      </c>
      <c r="E40" s="270">
        <v>59867889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61.762952658200064</v>
      </c>
      <c r="D42" s="271">
        <f>IF((D48/365)=0,0,+D45/(D48/365))</f>
        <v>116.79998383404558</v>
      </c>
      <c r="E42" s="271">
        <f>IF((E48/365)=0,0,+E45/(E48/365))</f>
        <v>128.74436050146915</v>
      </c>
    </row>
    <row r="43" spans="1:14" ht="24" customHeight="1" x14ac:dyDescent="0.2">
      <c r="A43" s="17">
        <v>5</v>
      </c>
      <c r="B43" s="188" t="s">
        <v>16</v>
      </c>
      <c r="C43" s="272">
        <v>28741901</v>
      </c>
      <c r="D43" s="272">
        <v>77594791</v>
      </c>
      <c r="E43" s="272">
        <v>85492679</v>
      </c>
    </row>
    <row r="44" spans="1:14" ht="24" customHeight="1" x14ac:dyDescent="0.2">
      <c r="A44" s="17">
        <v>6</v>
      </c>
      <c r="B44" s="273" t="s">
        <v>17</v>
      </c>
      <c r="C44" s="274">
        <v>31620264</v>
      </c>
      <c r="D44" s="274">
        <v>38584167</v>
      </c>
      <c r="E44" s="274">
        <v>45487085</v>
      </c>
    </row>
    <row r="45" spans="1:14" ht="24" customHeight="1" x14ac:dyDescent="0.2">
      <c r="A45" s="17">
        <v>7</v>
      </c>
      <c r="B45" s="45" t="s">
        <v>358</v>
      </c>
      <c r="C45" s="270">
        <f>+C43+C44</f>
        <v>60362165</v>
      </c>
      <c r="D45" s="270">
        <f>+D43+D44</f>
        <v>116178958</v>
      </c>
      <c r="E45" s="270">
        <f>+E43+E44</f>
        <v>130979764</v>
      </c>
    </row>
    <row r="46" spans="1:14" ht="24" customHeight="1" x14ac:dyDescent="0.2">
      <c r="A46" s="17">
        <v>8</v>
      </c>
      <c r="B46" s="45" t="s">
        <v>336</v>
      </c>
      <c r="C46" s="270">
        <f>+C14</f>
        <v>377200353</v>
      </c>
      <c r="D46" s="270">
        <f>+D14</f>
        <v>382748783</v>
      </c>
      <c r="E46" s="270">
        <f>+E14</f>
        <v>392112422</v>
      </c>
    </row>
    <row r="47" spans="1:14" ht="24" customHeight="1" x14ac:dyDescent="0.2">
      <c r="A47" s="17">
        <v>9</v>
      </c>
      <c r="B47" s="45" t="s">
        <v>359</v>
      </c>
      <c r="C47" s="270">
        <v>20478576</v>
      </c>
      <c r="D47" s="270">
        <v>19689489</v>
      </c>
      <c r="E47" s="270">
        <v>20774884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356721777</v>
      </c>
      <c r="D48" s="270">
        <f>+D46-D47</f>
        <v>363059294</v>
      </c>
      <c r="E48" s="270">
        <f>+E46-E47</f>
        <v>371337538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43.738735227054164</v>
      </c>
      <c r="D50" s="278">
        <f>IF((D55/365)=0,0,+D54/(D55/365))</f>
        <v>33.136372235786482</v>
      </c>
      <c r="E50" s="278">
        <f>IF((E55/365)=0,0,+E54/(E55/365))</f>
        <v>27.870350125968535</v>
      </c>
    </row>
    <row r="51" spans="1:5" ht="24" customHeight="1" x14ac:dyDescent="0.2">
      <c r="A51" s="17">
        <v>12</v>
      </c>
      <c r="B51" s="188" t="s">
        <v>362</v>
      </c>
      <c r="C51" s="279">
        <v>42567297</v>
      </c>
      <c r="D51" s="279">
        <v>38601542</v>
      </c>
      <c r="E51" s="279">
        <v>32330519</v>
      </c>
    </row>
    <row r="52" spans="1:5" ht="24" customHeight="1" x14ac:dyDescent="0.2">
      <c r="A52" s="17">
        <v>13</v>
      </c>
      <c r="B52" s="188" t="s">
        <v>21</v>
      </c>
      <c r="C52" s="270">
        <v>573584</v>
      </c>
      <c r="D52" s="270">
        <v>81421</v>
      </c>
      <c r="E52" s="270">
        <v>2368715</v>
      </c>
    </row>
    <row r="53" spans="1:5" ht="24" customHeight="1" x14ac:dyDescent="0.2">
      <c r="A53" s="17">
        <v>14</v>
      </c>
      <c r="B53" s="188" t="s">
        <v>49</v>
      </c>
      <c r="C53" s="270">
        <v>1116300</v>
      </c>
      <c r="D53" s="270">
        <v>4640299</v>
      </c>
      <c r="E53" s="270">
        <v>5022080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42024581</v>
      </c>
      <c r="D54" s="280">
        <f>+D51+D52-D53</f>
        <v>34042664</v>
      </c>
      <c r="E54" s="280">
        <f>+E51+E52-E53</f>
        <v>29677154</v>
      </c>
    </row>
    <row r="55" spans="1:5" ht="24" customHeight="1" x14ac:dyDescent="0.2">
      <c r="A55" s="17">
        <v>16</v>
      </c>
      <c r="B55" s="45" t="s">
        <v>75</v>
      </c>
      <c r="C55" s="270">
        <f>+C11</f>
        <v>350695373</v>
      </c>
      <c r="D55" s="270">
        <f>+D11</f>
        <v>374982882</v>
      </c>
      <c r="E55" s="270">
        <f>+E11</f>
        <v>388662545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46.484790988804704</v>
      </c>
      <c r="D57" s="283">
        <f>IF((D61/365)=0,0,+D58/(D61/365))</f>
        <v>67.943346961942808</v>
      </c>
      <c r="E57" s="283">
        <f>IF((E61/365)=0,0,+E58/(E61/365))</f>
        <v>58.846136597695654</v>
      </c>
    </row>
    <row r="58" spans="1:5" ht="24" customHeight="1" x14ac:dyDescent="0.2">
      <c r="A58" s="17">
        <v>18</v>
      </c>
      <c r="B58" s="45" t="s">
        <v>54</v>
      </c>
      <c r="C58" s="281">
        <f>+C40</f>
        <v>45430513</v>
      </c>
      <c r="D58" s="281">
        <f>+D40</f>
        <v>67582092</v>
      </c>
      <c r="E58" s="281">
        <f>+E40</f>
        <v>59867889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377200353</v>
      </c>
      <c r="D59" s="281">
        <f t="shared" si="0"/>
        <v>382748783</v>
      </c>
      <c r="E59" s="281">
        <f t="shared" si="0"/>
        <v>392112422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20478576</v>
      </c>
      <c r="D60" s="176">
        <f t="shared" si="0"/>
        <v>19689489</v>
      </c>
      <c r="E60" s="176">
        <f t="shared" si="0"/>
        <v>20774884</v>
      </c>
    </row>
    <row r="61" spans="1:5" ht="24" customHeight="1" x14ac:dyDescent="0.2">
      <c r="A61" s="17">
        <v>21</v>
      </c>
      <c r="B61" s="45" t="s">
        <v>365</v>
      </c>
      <c r="C61" s="281">
        <f>+C59-C60</f>
        <v>356721777</v>
      </c>
      <c r="D61" s="281">
        <f>+D59-D60</f>
        <v>363059294</v>
      </c>
      <c r="E61" s="281">
        <f>+E59-E60</f>
        <v>371337538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51.429176433220306</v>
      </c>
      <c r="D65" s="284">
        <f>IF(D67=0,0,(D66/D67)*100)</f>
        <v>39.382058659069102</v>
      </c>
      <c r="E65" s="284">
        <f>IF(E67=0,0,(E66/E67)*100)</f>
        <v>42.227327774015237</v>
      </c>
    </row>
    <row r="66" spans="1:5" ht="24" customHeight="1" x14ac:dyDescent="0.2">
      <c r="A66" s="17">
        <v>2</v>
      </c>
      <c r="B66" s="45" t="s">
        <v>67</v>
      </c>
      <c r="C66" s="281">
        <f>+C32</f>
        <v>174695130</v>
      </c>
      <c r="D66" s="281">
        <f>+D32</f>
        <v>169919697</v>
      </c>
      <c r="E66" s="281">
        <f>+E32</f>
        <v>204138724</v>
      </c>
    </row>
    <row r="67" spans="1:5" ht="24" customHeight="1" x14ac:dyDescent="0.2">
      <c r="A67" s="17">
        <v>3</v>
      </c>
      <c r="B67" s="45" t="s">
        <v>43</v>
      </c>
      <c r="C67" s="281">
        <v>339680979</v>
      </c>
      <c r="D67" s="281">
        <v>431464740</v>
      </c>
      <c r="E67" s="281">
        <v>483427995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32.265416460050247</v>
      </c>
      <c r="D69" s="284">
        <f>IF(D75=0,0,(D72/D75)*100)</f>
        <v>24.197764353264034</v>
      </c>
      <c r="E69" s="284">
        <f>IF(E75=0,0,(E72/E75)*100)</f>
        <v>40.641818971026666</v>
      </c>
    </row>
    <row r="70" spans="1:5" ht="24" customHeight="1" x14ac:dyDescent="0.2">
      <c r="A70" s="17">
        <v>5</v>
      </c>
      <c r="B70" s="45" t="s">
        <v>370</v>
      </c>
      <c r="C70" s="281">
        <f>+C28</f>
        <v>1777613</v>
      </c>
      <c r="D70" s="281">
        <f>+D28</f>
        <v>11598207</v>
      </c>
      <c r="E70" s="281">
        <f>+E28</f>
        <v>26355112</v>
      </c>
    </row>
    <row r="71" spans="1:5" ht="24" customHeight="1" x14ac:dyDescent="0.2">
      <c r="A71" s="17">
        <v>6</v>
      </c>
      <c r="B71" s="45" t="s">
        <v>359</v>
      </c>
      <c r="C71" s="176">
        <f>+C47</f>
        <v>20478576</v>
      </c>
      <c r="D71" s="176">
        <f>+D47</f>
        <v>19689489</v>
      </c>
      <c r="E71" s="176">
        <f>+E47</f>
        <v>20774884</v>
      </c>
    </row>
    <row r="72" spans="1:5" ht="24" customHeight="1" x14ac:dyDescent="0.2">
      <c r="A72" s="17">
        <v>7</v>
      </c>
      <c r="B72" s="45" t="s">
        <v>371</v>
      </c>
      <c r="C72" s="281">
        <f>+C70+C71</f>
        <v>22256189</v>
      </c>
      <c r="D72" s="281">
        <f>+D70+D71</f>
        <v>31287696</v>
      </c>
      <c r="E72" s="281">
        <f>+E70+E71</f>
        <v>47129996</v>
      </c>
    </row>
    <row r="73" spans="1:5" ht="24" customHeight="1" x14ac:dyDescent="0.2">
      <c r="A73" s="17">
        <v>8</v>
      </c>
      <c r="B73" s="45" t="s">
        <v>54</v>
      </c>
      <c r="C73" s="270">
        <f>+C40</f>
        <v>45430513</v>
      </c>
      <c r="D73" s="270">
        <f>+D40</f>
        <v>67582092</v>
      </c>
      <c r="E73" s="270">
        <f>+E40</f>
        <v>59867889</v>
      </c>
    </row>
    <row r="74" spans="1:5" ht="24" customHeight="1" x14ac:dyDescent="0.2">
      <c r="A74" s="17">
        <v>9</v>
      </c>
      <c r="B74" s="45" t="s">
        <v>58</v>
      </c>
      <c r="C74" s="281">
        <v>23547952</v>
      </c>
      <c r="D74" s="281">
        <v>61717853</v>
      </c>
      <c r="E74" s="281">
        <v>56096399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68978465</v>
      </c>
      <c r="D75" s="270">
        <f>+D73+D74</f>
        <v>129299945</v>
      </c>
      <c r="E75" s="270">
        <f>+E73+E74</f>
        <v>115964288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11.87832219032995</v>
      </c>
      <c r="D77" s="286">
        <f>IF(D80=0,0,(D78/D80)*100)</f>
        <v>26.644148584717808</v>
      </c>
      <c r="E77" s="286">
        <f>IF(E80=0,0,(E78/E80)*100)</f>
        <v>21.556044531314093</v>
      </c>
    </row>
    <row r="78" spans="1:5" ht="24" customHeight="1" x14ac:dyDescent="0.2">
      <c r="A78" s="17">
        <v>12</v>
      </c>
      <c r="B78" s="45" t="s">
        <v>58</v>
      </c>
      <c r="C78" s="270">
        <f>+C74</f>
        <v>23547952</v>
      </c>
      <c r="D78" s="270">
        <f>+D74</f>
        <v>61717853</v>
      </c>
      <c r="E78" s="270">
        <f>+E74</f>
        <v>56096399</v>
      </c>
    </row>
    <row r="79" spans="1:5" ht="24" customHeight="1" x14ac:dyDescent="0.2">
      <c r="A79" s="17">
        <v>13</v>
      </c>
      <c r="B79" s="45" t="s">
        <v>67</v>
      </c>
      <c r="C79" s="270">
        <f>+C32</f>
        <v>174695130</v>
      </c>
      <c r="D79" s="270">
        <f>+D32</f>
        <v>169919697</v>
      </c>
      <c r="E79" s="270">
        <f>+E32</f>
        <v>204138724</v>
      </c>
    </row>
    <row r="80" spans="1:5" ht="24" customHeight="1" x14ac:dyDescent="0.2">
      <c r="A80" s="17">
        <v>14</v>
      </c>
      <c r="B80" s="45" t="s">
        <v>374</v>
      </c>
      <c r="C80" s="270">
        <f>+C78+C79</f>
        <v>198243082</v>
      </c>
      <c r="D80" s="270">
        <f>+D78+D79</f>
        <v>231637550</v>
      </c>
      <c r="E80" s="270">
        <f>+E78+E79</f>
        <v>260235123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FILING&amp;R&amp;8NORWALK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31559</v>
      </c>
      <c r="D11" s="296">
        <v>10338</v>
      </c>
      <c r="E11" s="296">
        <v>8155</v>
      </c>
      <c r="F11" s="297">
        <v>92</v>
      </c>
      <c r="G11" s="297">
        <v>144</v>
      </c>
      <c r="H11" s="298">
        <f>IF(F11=0,0,$C11/(F11*365))</f>
        <v>0.93981536628945805</v>
      </c>
      <c r="I11" s="298">
        <f>IF(G11=0,0,$C11/(G11*365))</f>
        <v>0.600437595129376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13469</v>
      </c>
      <c r="D13" s="296">
        <v>2156</v>
      </c>
      <c r="E13" s="296">
        <v>0</v>
      </c>
      <c r="F13" s="297">
        <v>37</v>
      </c>
      <c r="G13" s="297">
        <v>49</v>
      </c>
      <c r="H13" s="298">
        <f>IF(F13=0,0,$C13/(F13*365))</f>
        <v>0.9973343206219919</v>
      </c>
      <c r="I13" s="298">
        <f>IF(G13=0,0,$C13/(G13*365))</f>
        <v>0.75308918087783061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3607</v>
      </c>
      <c r="D16" s="296">
        <v>450</v>
      </c>
      <c r="E16" s="296">
        <v>450</v>
      </c>
      <c r="F16" s="297">
        <v>10</v>
      </c>
      <c r="G16" s="297">
        <v>20</v>
      </c>
      <c r="H16" s="298">
        <f t="shared" si="0"/>
        <v>0.98821917808219173</v>
      </c>
      <c r="I16" s="298">
        <f t="shared" si="0"/>
        <v>0.49410958904109586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3607</v>
      </c>
      <c r="D17" s="300">
        <f>SUM(D15:D16)</f>
        <v>450</v>
      </c>
      <c r="E17" s="300">
        <f>SUM(E15:E16)</f>
        <v>450</v>
      </c>
      <c r="F17" s="300">
        <f>SUM(F15:F16)</f>
        <v>10</v>
      </c>
      <c r="G17" s="300">
        <f>SUM(G15:G16)</f>
        <v>20</v>
      </c>
      <c r="H17" s="301">
        <f t="shared" si="0"/>
        <v>0.98821917808219173</v>
      </c>
      <c r="I17" s="301">
        <f t="shared" si="0"/>
        <v>0.49410958904109586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7458</v>
      </c>
      <c r="D19" s="296">
        <v>326</v>
      </c>
      <c r="E19" s="296">
        <v>313</v>
      </c>
      <c r="F19" s="297">
        <v>21</v>
      </c>
      <c r="G19" s="297">
        <v>25</v>
      </c>
      <c r="H19" s="298">
        <f>IF(F19=0,0,$C19/(F19*365))</f>
        <v>0.97299412915851269</v>
      </c>
      <c r="I19" s="298">
        <f>IF(G19=0,0,$C19/(G19*365))</f>
        <v>0.81731506849315072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4770</v>
      </c>
      <c r="D21" s="296">
        <v>1653</v>
      </c>
      <c r="E21" s="296">
        <v>1655</v>
      </c>
      <c r="F21" s="297">
        <v>14</v>
      </c>
      <c r="G21" s="297">
        <v>27</v>
      </c>
      <c r="H21" s="298">
        <f>IF(F21=0,0,$C21/(F21*365))</f>
        <v>0.93346379647749511</v>
      </c>
      <c r="I21" s="298">
        <f>IF(G21=0,0,$C21/(G21*365))</f>
        <v>0.48401826484018262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3630</v>
      </c>
      <c r="D23" s="296">
        <v>1471</v>
      </c>
      <c r="E23" s="296">
        <v>1471</v>
      </c>
      <c r="F23" s="297">
        <v>10</v>
      </c>
      <c r="G23" s="297">
        <v>20</v>
      </c>
      <c r="H23" s="298">
        <f>IF(F23=0,0,$C23/(F23*365))</f>
        <v>0.9945205479452055</v>
      </c>
      <c r="I23" s="298">
        <f>IF(G23=0,0,$C23/(G23*365))</f>
        <v>0.49726027397260275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1592</v>
      </c>
      <c r="D25" s="296">
        <v>169</v>
      </c>
      <c r="E25" s="296">
        <v>0</v>
      </c>
      <c r="F25" s="297">
        <v>5</v>
      </c>
      <c r="G25" s="297">
        <v>18</v>
      </c>
      <c r="H25" s="298">
        <f>IF(F25=0,0,$C25/(F25*365))</f>
        <v>0.87232876712328766</v>
      </c>
      <c r="I25" s="298">
        <f>IF(G25=0,0,$C25/(G25*365))</f>
        <v>0.24231354642313546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1256</v>
      </c>
      <c r="D27" s="296">
        <v>596</v>
      </c>
      <c r="E27" s="296">
        <v>588</v>
      </c>
      <c r="F27" s="297">
        <v>4</v>
      </c>
      <c r="G27" s="297">
        <v>17</v>
      </c>
      <c r="H27" s="298">
        <f>IF(F27=0,0,$C27/(F27*365))</f>
        <v>0.86027397260273974</v>
      </c>
      <c r="I27" s="298">
        <f>IF(G27=0,0,$C27/(G27*365))</f>
        <v>0.20241740531829169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63711</v>
      </c>
      <c r="D31" s="300">
        <f>SUM(D10:D29)-D13-D17-D23</f>
        <v>13532</v>
      </c>
      <c r="E31" s="300">
        <f>SUM(E10:E29)-E17-E23</f>
        <v>11161</v>
      </c>
      <c r="F31" s="300">
        <f>SUM(F10:F29)-F17-F23</f>
        <v>183</v>
      </c>
      <c r="G31" s="300">
        <f>SUM(G10:G29)-G17-G23</f>
        <v>300</v>
      </c>
      <c r="H31" s="301">
        <f>IF(F31=0,0,$C31/(F31*365))</f>
        <v>0.95382887940714123</v>
      </c>
      <c r="I31" s="301">
        <f>IF(G31=0,0,$C31/(G31*365))</f>
        <v>0.58183561643835613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67341</v>
      </c>
      <c r="D33" s="300">
        <f>SUM(D10:D29)-D13-D17</f>
        <v>15003</v>
      </c>
      <c r="E33" s="300">
        <f>SUM(E10:E29)-E17</f>
        <v>12632</v>
      </c>
      <c r="F33" s="300">
        <f>SUM(F10:F29)-F17</f>
        <v>193</v>
      </c>
      <c r="G33" s="300">
        <f>SUM(G10:G29)-G17</f>
        <v>320</v>
      </c>
      <c r="H33" s="301">
        <f>IF(F33=0,0,$C33/(F33*365))</f>
        <v>0.95593725601533108</v>
      </c>
      <c r="I33" s="301">
        <f>IF(G33=0,0,$C33/(G33*365))</f>
        <v>0.57654965753424658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67341</v>
      </c>
      <c r="D36" s="300">
        <f t="shared" si="1"/>
        <v>15003</v>
      </c>
      <c r="E36" s="300">
        <f t="shared" si="1"/>
        <v>12632</v>
      </c>
      <c r="F36" s="300">
        <f t="shared" si="1"/>
        <v>193</v>
      </c>
      <c r="G36" s="300">
        <f t="shared" si="1"/>
        <v>320</v>
      </c>
      <c r="H36" s="301">
        <f t="shared" si="1"/>
        <v>0.95593725601533108</v>
      </c>
      <c r="I36" s="301">
        <f t="shared" si="1"/>
        <v>0.57654965753424658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70355</v>
      </c>
      <c r="D37" s="300">
        <v>14878</v>
      </c>
      <c r="E37" s="300">
        <v>12682</v>
      </c>
      <c r="F37" s="302">
        <v>196</v>
      </c>
      <c r="G37" s="302">
        <v>312</v>
      </c>
      <c r="H37" s="301">
        <f>IF(F37=0,0,$C37/(F37*365))</f>
        <v>0.98343584008946039</v>
      </c>
      <c r="I37" s="301">
        <f>IF(G37=0,0,$C37/(G37*365))</f>
        <v>0.61779943800491743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-3014</v>
      </c>
      <c r="D38" s="300">
        <f t="shared" si="2"/>
        <v>125</v>
      </c>
      <c r="E38" s="300">
        <f t="shared" si="2"/>
        <v>-50</v>
      </c>
      <c r="F38" s="300">
        <f t="shared" si="2"/>
        <v>-3</v>
      </c>
      <c r="G38" s="300">
        <f t="shared" si="2"/>
        <v>8</v>
      </c>
      <c r="H38" s="301">
        <f t="shared" si="2"/>
        <v>-2.7498584074129306E-2</v>
      </c>
      <c r="I38" s="301">
        <f t="shared" si="2"/>
        <v>-4.1249780470670849E-2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-4.2839883448226847E-2</v>
      </c>
      <c r="D40" s="148">
        <f t="shared" si="3"/>
        <v>8.4016668907111163E-3</v>
      </c>
      <c r="E40" s="148">
        <f t="shared" si="3"/>
        <v>-3.9425958050780634E-3</v>
      </c>
      <c r="F40" s="148">
        <f t="shared" si="3"/>
        <v>-1.5306122448979591E-2</v>
      </c>
      <c r="G40" s="148">
        <f t="shared" si="3"/>
        <v>2.564102564102564E-2</v>
      </c>
      <c r="H40" s="148">
        <f t="shared" si="3"/>
        <v>-2.7961746921515325E-2</v>
      </c>
      <c r="I40" s="148">
        <f t="shared" si="3"/>
        <v>-6.6768886362021135E-2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366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FILING&amp;RNORWALK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9009</v>
      </c>
      <c r="D12" s="296">
        <v>8135</v>
      </c>
      <c r="E12" s="296">
        <f>+D12-C12</f>
        <v>-874</v>
      </c>
      <c r="F12" s="316">
        <f>IF(C12=0,0,+E12/C12)</f>
        <v>-9.7014097014097009E-2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10378</v>
      </c>
      <c r="D13" s="296">
        <v>12900</v>
      </c>
      <c r="E13" s="296">
        <f>+D13-C13</f>
        <v>2522</v>
      </c>
      <c r="F13" s="316">
        <f>IF(C13=0,0,+E13/C13)</f>
        <v>0.24301406822123722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6458</v>
      </c>
      <c r="D14" s="296">
        <v>6548</v>
      </c>
      <c r="E14" s="296">
        <f>+D14-C14</f>
        <v>90</v>
      </c>
      <c r="F14" s="316">
        <f>IF(C14=0,0,+E14/C14)</f>
        <v>1.3936203158872717E-2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25845</v>
      </c>
      <c r="D16" s="300">
        <f>SUM(D12:D15)</f>
        <v>27583</v>
      </c>
      <c r="E16" s="300">
        <f>+D16-C16</f>
        <v>1738</v>
      </c>
      <c r="F16" s="309">
        <f>IF(C16=0,0,+E16/C16)</f>
        <v>6.7247049719481519E-2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1272</v>
      </c>
      <c r="D19" s="296">
        <v>1174</v>
      </c>
      <c r="E19" s="296">
        <f>+D19-C19</f>
        <v>-98</v>
      </c>
      <c r="F19" s="316">
        <f>IF(C19=0,0,+E19/C19)</f>
        <v>-7.7044025157232701E-2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10687</v>
      </c>
      <c r="D20" s="296">
        <v>10408</v>
      </c>
      <c r="E20" s="296">
        <f>+D20-C20</f>
        <v>-279</v>
      </c>
      <c r="F20" s="316">
        <f>IF(C20=0,0,+E20/C20)</f>
        <v>-2.6106484513895387E-2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189</v>
      </c>
      <c r="D21" s="296">
        <v>284</v>
      </c>
      <c r="E21" s="296">
        <f>+D21-C21</f>
        <v>95</v>
      </c>
      <c r="F21" s="316">
        <f>IF(C21=0,0,+E21/C21)</f>
        <v>0.50264550264550267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12148</v>
      </c>
      <c r="D23" s="300">
        <f>SUM(D19:D22)</f>
        <v>11866</v>
      </c>
      <c r="E23" s="300">
        <f>+D23-C23</f>
        <v>-282</v>
      </c>
      <c r="F23" s="309">
        <f>IF(C23=0,0,+E23/C23)</f>
        <v>-2.3213697728021072E-2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2</v>
      </c>
      <c r="D26" s="296">
        <v>1</v>
      </c>
      <c r="E26" s="296">
        <f>+D26-C26</f>
        <v>-1</v>
      </c>
      <c r="F26" s="316">
        <f>IF(C26=0,0,+E26/C26)</f>
        <v>-0.5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643</v>
      </c>
      <c r="D27" s="296">
        <v>568</v>
      </c>
      <c r="E27" s="296">
        <f>+D27-C27</f>
        <v>-75</v>
      </c>
      <c r="F27" s="316">
        <f>IF(C27=0,0,+E27/C27)</f>
        <v>-0.1166407465007776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645</v>
      </c>
      <c r="D30" s="300">
        <f>SUM(D26:D29)</f>
        <v>569</v>
      </c>
      <c r="E30" s="300">
        <f>+D30-C30</f>
        <v>-76</v>
      </c>
      <c r="F30" s="309">
        <f>IF(C30=0,0,+E30/C30)</f>
        <v>-0.11782945736434108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235</v>
      </c>
      <c r="D43" s="296">
        <v>339</v>
      </c>
      <c r="E43" s="296">
        <f>+D43-C43</f>
        <v>104</v>
      </c>
      <c r="F43" s="316">
        <f>IF(C43=0,0,+E43/C43)</f>
        <v>0.44255319148936167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7401</v>
      </c>
      <c r="D44" s="296">
        <v>6978</v>
      </c>
      <c r="E44" s="296">
        <f>+D44-C44</f>
        <v>-423</v>
      </c>
      <c r="F44" s="316">
        <f>IF(C44=0,0,+E44/C44)</f>
        <v>-5.7154438589379811E-2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7636</v>
      </c>
      <c r="D45" s="300">
        <f>SUM(D43:D44)</f>
        <v>7317</v>
      </c>
      <c r="E45" s="300">
        <f>+D45-C45</f>
        <v>-319</v>
      </c>
      <c r="F45" s="309">
        <f>IF(C45=0,0,+E45/C45)</f>
        <v>-4.1775798847564168E-2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150</v>
      </c>
      <c r="D48" s="296">
        <v>101</v>
      </c>
      <c r="E48" s="296">
        <f>+D48-C48</f>
        <v>-49</v>
      </c>
      <c r="F48" s="316">
        <f>IF(C48=0,0,+E48/C48)</f>
        <v>-0.32666666666666666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28</v>
      </c>
      <c r="D49" s="296">
        <v>37</v>
      </c>
      <c r="E49" s="296">
        <f>+D49-C49</f>
        <v>9</v>
      </c>
      <c r="F49" s="316">
        <f>IF(C49=0,0,+E49/C49)</f>
        <v>0.32142857142857145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178</v>
      </c>
      <c r="D50" s="300">
        <f>SUM(D48:D49)</f>
        <v>138</v>
      </c>
      <c r="E50" s="300">
        <f>+D50-C50</f>
        <v>-40</v>
      </c>
      <c r="F50" s="309">
        <f>IF(C50=0,0,+E50/C50)</f>
        <v>-0.2247191011235955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65</v>
      </c>
      <c r="D53" s="296">
        <v>50</v>
      </c>
      <c r="E53" s="296">
        <f>+D53-C53</f>
        <v>-15</v>
      </c>
      <c r="F53" s="316">
        <f>IF(C53=0,0,+E53/C53)</f>
        <v>-0.23076923076923078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65</v>
      </c>
      <c r="D55" s="300">
        <f>SUM(D53:D54)</f>
        <v>50</v>
      </c>
      <c r="E55" s="300">
        <f>+D55-C55</f>
        <v>-15</v>
      </c>
      <c r="F55" s="309">
        <f>IF(C55=0,0,+E55/C55)</f>
        <v>-0.23076923076923078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96</v>
      </c>
      <c r="D58" s="296">
        <v>100</v>
      </c>
      <c r="E58" s="296">
        <f>+D58-C58</f>
        <v>4</v>
      </c>
      <c r="F58" s="316">
        <f>IF(C58=0,0,+E58/C58)</f>
        <v>4.1666666666666664E-2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209</v>
      </c>
      <c r="D59" s="296">
        <v>185</v>
      </c>
      <c r="E59" s="296">
        <f>+D59-C59</f>
        <v>-24</v>
      </c>
      <c r="F59" s="316">
        <f>IF(C59=0,0,+E59/C59)</f>
        <v>-0.11483253588516747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305</v>
      </c>
      <c r="D60" s="300">
        <f>SUM(D58:D59)</f>
        <v>285</v>
      </c>
      <c r="E60" s="300">
        <f>SUM(E58:E59)</f>
        <v>-20</v>
      </c>
      <c r="F60" s="309">
        <f>IF(C60=0,0,+E60/C60)</f>
        <v>-6.5573770491803282E-2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3403</v>
      </c>
      <c r="D63" s="296">
        <v>3248</v>
      </c>
      <c r="E63" s="296">
        <f>+D63-C63</f>
        <v>-155</v>
      </c>
      <c r="F63" s="316">
        <f>IF(C63=0,0,+E63/C63)</f>
        <v>-4.5548045841904201E-2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10004</v>
      </c>
      <c r="D64" s="296">
        <v>8886</v>
      </c>
      <c r="E64" s="296">
        <f>+D64-C64</f>
        <v>-1118</v>
      </c>
      <c r="F64" s="316">
        <f>IF(C64=0,0,+E64/C64)</f>
        <v>-0.11175529788084766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13407</v>
      </c>
      <c r="D65" s="300">
        <f>SUM(D63:D64)</f>
        <v>12134</v>
      </c>
      <c r="E65" s="300">
        <f>+D65-C65</f>
        <v>-1273</v>
      </c>
      <c r="F65" s="309">
        <f>IF(C65=0,0,+E65/C65)</f>
        <v>-9.4950399045274858E-2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727</v>
      </c>
      <c r="D68" s="296">
        <v>706</v>
      </c>
      <c r="E68" s="296">
        <f>+D68-C68</f>
        <v>-21</v>
      </c>
      <c r="F68" s="316">
        <f>IF(C68=0,0,+E68/C68)</f>
        <v>-2.8885832187070151E-2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9098</v>
      </c>
      <c r="D69" s="296">
        <v>8683</v>
      </c>
      <c r="E69" s="296">
        <f>+D69-C69</f>
        <v>-415</v>
      </c>
      <c r="F69" s="318">
        <f>IF(C69=0,0,+E69/C69)</f>
        <v>-4.5614420751813586E-2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9825</v>
      </c>
      <c r="D70" s="300">
        <f>SUM(D68:D69)</f>
        <v>9389</v>
      </c>
      <c r="E70" s="300">
        <f>+D70-C70</f>
        <v>-436</v>
      </c>
      <c r="F70" s="309">
        <f>IF(C70=0,0,+E70/C70)</f>
        <v>-4.4376590330788807E-2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9538</v>
      </c>
      <c r="D73" s="319">
        <v>9699</v>
      </c>
      <c r="E73" s="296">
        <f>+D73-C73</f>
        <v>161</v>
      </c>
      <c r="F73" s="316">
        <f>IF(C73=0,0,+E73/C73)</f>
        <v>1.687984902495282E-2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40107</v>
      </c>
      <c r="D74" s="319">
        <v>39550</v>
      </c>
      <c r="E74" s="296">
        <f>+D74-C74</f>
        <v>-557</v>
      </c>
      <c r="F74" s="316">
        <f>IF(C74=0,0,+E74/C74)</f>
        <v>-1.3887850001246664E-2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49645</v>
      </c>
      <c r="D75" s="300">
        <f>SUM(D73:D74)</f>
        <v>49249</v>
      </c>
      <c r="E75" s="300">
        <f>SUM(E73:E74)</f>
        <v>-396</v>
      </c>
      <c r="F75" s="309">
        <f>IF(C75=0,0,+E75/C75)</f>
        <v>-7.9766341021250877E-3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1230</v>
      </c>
      <c r="D80" s="319">
        <v>1308</v>
      </c>
      <c r="E80" s="296">
        <f t="shared" si="0"/>
        <v>78</v>
      </c>
      <c r="F80" s="316">
        <f t="shared" si="1"/>
        <v>6.3414634146341464E-2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11176</v>
      </c>
      <c r="D81" s="319">
        <v>11371</v>
      </c>
      <c r="E81" s="296">
        <f t="shared" si="0"/>
        <v>195</v>
      </c>
      <c r="F81" s="316">
        <f t="shared" si="1"/>
        <v>1.7448103078024337E-2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9207</v>
      </c>
      <c r="D83" s="319">
        <v>10928</v>
      </c>
      <c r="E83" s="296">
        <f t="shared" si="0"/>
        <v>1721</v>
      </c>
      <c r="F83" s="316">
        <f t="shared" si="1"/>
        <v>0.18692299337460627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21613</v>
      </c>
      <c r="D84" s="320">
        <f>SUM(D79:D83)</f>
        <v>23607</v>
      </c>
      <c r="E84" s="300">
        <f t="shared" si="0"/>
        <v>1994</v>
      </c>
      <c r="F84" s="309">
        <f t="shared" si="1"/>
        <v>9.2259288391246003E-2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8224</v>
      </c>
      <c r="D87" s="322">
        <v>8493</v>
      </c>
      <c r="E87" s="323">
        <f t="shared" ref="E87:E92" si="2">+D87-C87</f>
        <v>269</v>
      </c>
      <c r="F87" s="318">
        <f t="shared" ref="F87:F92" si="3">IF(C87=0,0,+E87/C87)</f>
        <v>3.2709143968871597E-2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838</v>
      </c>
      <c r="D88" s="322">
        <v>773</v>
      </c>
      <c r="E88" s="296">
        <f t="shared" si="2"/>
        <v>-65</v>
      </c>
      <c r="F88" s="316">
        <f t="shared" si="3"/>
        <v>-7.7565632458233891E-2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318</v>
      </c>
      <c r="D89" s="322">
        <v>450</v>
      </c>
      <c r="E89" s="296">
        <f t="shared" si="2"/>
        <v>132</v>
      </c>
      <c r="F89" s="316">
        <f t="shared" si="3"/>
        <v>0.41509433962264153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9637</v>
      </c>
      <c r="D90" s="322">
        <v>9411</v>
      </c>
      <c r="E90" s="296">
        <f t="shared" si="2"/>
        <v>-226</v>
      </c>
      <c r="F90" s="316">
        <f t="shared" si="3"/>
        <v>-2.3451281519144961E-2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140204</v>
      </c>
      <c r="D91" s="322">
        <v>165160</v>
      </c>
      <c r="E91" s="296">
        <f t="shared" si="2"/>
        <v>24956</v>
      </c>
      <c r="F91" s="316">
        <f t="shared" si="3"/>
        <v>0.1779977746711934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159221</v>
      </c>
      <c r="D92" s="320">
        <f>SUM(D87:D91)</f>
        <v>184287</v>
      </c>
      <c r="E92" s="300">
        <f t="shared" si="2"/>
        <v>25066</v>
      </c>
      <c r="F92" s="309">
        <f t="shared" si="3"/>
        <v>0.1574289823578548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462.7</v>
      </c>
      <c r="D96" s="325">
        <v>453.2</v>
      </c>
      <c r="E96" s="326">
        <f>+D96-C96</f>
        <v>-9.5</v>
      </c>
      <c r="F96" s="316">
        <f>IF(C96=0,0,+E96/C96)</f>
        <v>-2.0531661984006917E-2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103.9</v>
      </c>
      <c r="D97" s="325">
        <v>90.7</v>
      </c>
      <c r="E97" s="326">
        <f>+D97-C97</f>
        <v>-13.200000000000003</v>
      </c>
      <c r="F97" s="316">
        <f>IF(C97=0,0,+E97/C97)</f>
        <v>-0.1270452358036574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1131.8</v>
      </c>
      <c r="D98" s="325">
        <v>1154.9000000000001</v>
      </c>
      <c r="E98" s="326">
        <f>+D98-C98</f>
        <v>23.100000000000136</v>
      </c>
      <c r="F98" s="316">
        <f>IF(C98=0,0,+E98/C98)</f>
        <v>2.0409966425163576E-2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1698.4</v>
      </c>
      <c r="D99" s="327">
        <f>SUM(D96:D98)</f>
        <v>1698.8000000000002</v>
      </c>
      <c r="E99" s="327">
        <f>+D99-C99</f>
        <v>0.40000000000009095</v>
      </c>
      <c r="F99" s="309">
        <f>IF(C99=0,0,+E99/C99)</f>
        <v>2.3551577955728388E-4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FILING&amp;RNORWALK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0</v>
      </c>
      <c r="D12" s="296">
        <v>0</v>
      </c>
      <c r="E12" s="296">
        <f>+D12-C12</f>
        <v>0</v>
      </c>
      <c r="F12" s="316">
        <f>IF(C12=0,0,+E12/C12)</f>
        <v>0</v>
      </c>
    </row>
    <row r="13" spans="1:16" ht="15.75" customHeight="1" x14ac:dyDescent="0.2">
      <c r="A13" s="294">
        <v>2</v>
      </c>
      <c r="B13" s="295" t="s">
        <v>602</v>
      </c>
      <c r="C13" s="296">
        <v>10004</v>
      </c>
      <c r="D13" s="296">
        <v>8886</v>
      </c>
      <c r="E13" s="296">
        <f>+D13-C13</f>
        <v>-1118</v>
      </c>
      <c r="F13" s="316">
        <f>IF(C13=0,0,+E13/C13)</f>
        <v>-0.11175529788084766</v>
      </c>
    </row>
    <row r="14" spans="1:16" ht="15.75" customHeight="1" x14ac:dyDescent="0.25">
      <c r="A14" s="294"/>
      <c r="B14" s="135" t="s">
        <v>603</v>
      </c>
      <c r="C14" s="300">
        <f>SUM(C11:C13)</f>
        <v>10004</v>
      </c>
      <c r="D14" s="300">
        <f>SUM(D11:D13)</f>
        <v>8886</v>
      </c>
      <c r="E14" s="300">
        <f>+D14-C14</f>
        <v>-1118</v>
      </c>
      <c r="F14" s="309">
        <f>IF(C14=0,0,+E14/C14)</f>
        <v>-0.11175529788084766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576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602</v>
      </c>
      <c r="C17" s="296">
        <v>9098</v>
      </c>
      <c r="D17" s="296">
        <v>8683</v>
      </c>
      <c r="E17" s="296">
        <f>+D17-C17</f>
        <v>-415</v>
      </c>
      <c r="F17" s="316">
        <f>IF(C17=0,0,+E17/C17)</f>
        <v>-4.5614420751813586E-2</v>
      </c>
    </row>
    <row r="18" spans="1:6" ht="15.75" customHeight="1" x14ac:dyDescent="0.25">
      <c r="A18" s="294"/>
      <c r="B18" s="135" t="s">
        <v>604</v>
      </c>
      <c r="C18" s="300">
        <f>SUM(C16:C17)</f>
        <v>9098</v>
      </c>
      <c r="D18" s="300">
        <f>SUM(D16:D17)</f>
        <v>8683</v>
      </c>
      <c r="E18" s="300">
        <f>+D18-C18</f>
        <v>-415</v>
      </c>
      <c r="F18" s="309">
        <f>IF(C18=0,0,+E18/C18)</f>
        <v>-4.5614420751813586E-2</v>
      </c>
    </row>
    <row r="19" spans="1:6" ht="15.75" customHeight="1" x14ac:dyDescent="0.25">
      <c r="A19" s="293"/>
      <c r="B19" s="135"/>
      <c r="C19" s="300"/>
      <c r="D19" s="300"/>
      <c r="E19" s="300"/>
      <c r="F19" s="309"/>
    </row>
    <row r="20" spans="1:6" ht="15.75" customHeight="1" x14ac:dyDescent="0.25">
      <c r="A20" s="293" t="s">
        <v>141</v>
      </c>
      <c r="B20" s="291" t="s">
        <v>605</v>
      </c>
      <c r="C20" s="296"/>
      <c r="D20" s="296"/>
      <c r="E20" s="296"/>
      <c r="F20" s="316"/>
    </row>
    <row r="21" spans="1:6" ht="15.75" customHeight="1" x14ac:dyDescent="0.2">
      <c r="A21" s="294">
        <v>1</v>
      </c>
      <c r="B21" s="295" t="s">
        <v>602</v>
      </c>
      <c r="C21" s="296">
        <v>40107</v>
      </c>
      <c r="D21" s="296">
        <v>39550</v>
      </c>
      <c r="E21" s="296">
        <f>+D21-C21</f>
        <v>-557</v>
      </c>
      <c r="F21" s="316">
        <f>IF(C21=0,0,+E21/C21)</f>
        <v>-1.3887850001246664E-2</v>
      </c>
    </row>
    <row r="22" spans="1:6" ht="15.75" customHeight="1" x14ac:dyDescent="0.25">
      <c r="A22" s="294"/>
      <c r="B22" s="135" t="s">
        <v>606</v>
      </c>
      <c r="C22" s="300">
        <f>SUM(C20:C21)</f>
        <v>40107</v>
      </c>
      <c r="D22" s="300">
        <f>SUM(D20:D21)</f>
        <v>39550</v>
      </c>
      <c r="E22" s="300">
        <f>+D22-C22</f>
        <v>-557</v>
      </c>
      <c r="F22" s="309">
        <f>IF(C22=0,0,+E22/C22)</f>
        <v>-1.3887850001246664E-2</v>
      </c>
    </row>
    <row r="23" spans="1:6" ht="15.75" customHeight="1" x14ac:dyDescent="0.25">
      <c r="A23" s="293"/>
      <c r="B23" s="135"/>
      <c r="C23" s="300"/>
      <c r="D23" s="300"/>
      <c r="E23" s="300"/>
      <c r="F23" s="309"/>
    </row>
    <row r="24" spans="1:6" ht="15.75" customHeight="1" x14ac:dyDescent="0.25">
      <c r="B24" s="699" t="s">
        <v>607</v>
      </c>
      <c r="C24" s="700"/>
      <c r="D24" s="700"/>
      <c r="E24" s="700"/>
      <c r="F24" s="701"/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608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609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FILING&amp;RNORWALK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610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611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612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613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614</v>
      </c>
      <c r="D7" s="341" t="s">
        <v>614</v>
      </c>
      <c r="E7" s="341" t="s">
        <v>615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616</v>
      </c>
      <c r="D8" s="344" t="s">
        <v>617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618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619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620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621</v>
      </c>
      <c r="C15" s="361">
        <v>242274230</v>
      </c>
      <c r="D15" s="361">
        <v>249956905</v>
      </c>
      <c r="E15" s="361">
        <f t="shared" ref="E15:E24" si="0">D15-C15</f>
        <v>7682675</v>
      </c>
      <c r="F15" s="362">
        <f t="shared" ref="F15:F24" si="1">IF(C15=0,0,E15/C15)</f>
        <v>3.1710656969170845E-2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622</v>
      </c>
      <c r="C16" s="361">
        <v>74279977</v>
      </c>
      <c r="D16" s="361">
        <v>75932454</v>
      </c>
      <c r="E16" s="361">
        <f t="shared" si="0"/>
        <v>1652477</v>
      </c>
      <c r="F16" s="362">
        <f t="shared" si="1"/>
        <v>2.2246600857186587E-2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623</v>
      </c>
      <c r="C17" s="366">
        <f>IF(C15=0,0,C16/C15)</f>
        <v>0.30659462626297479</v>
      </c>
      <c r="D17" s="366">
        <f>IF(LN_IA1=0,0,LN_IA2/LN_IA1)</f>
        <v>0.30378218197252843</v>
      </c>
      <c r="E17" s="367">
        <f t="shared" si="0"/>
        <v>-2.8124442904463587E-3</v>
      </c>
      <c r="F17" s="362">
        <f t="shared" si="1"/>
        <v>-9.1731688996859531E-3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6008</v>
      </c>
      <c r="D18" s="369">
        <v>6147</v>
      </c>
      <c r="E18" s="369">
        <f t="shared" si="0"/>
        <v>139</v>
      </c>
      <c r="F18" s="362">
        <f t="shared" si="1"/>
        <v>2.3135818908122503E-2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624</v>
      </c>
      <c r="C19" s="372">
        <v>1.41103</v>
      </c>
      <c r="D19" s="372">
        <v>1.3455999999999999</v>
      </c>
      <c r="E19" s="373">
        <f t="shared" si="0"/>
        <v>-6.5430000000000099E-2</v>
      </c>
      <c r="F19" s="362">
        <f t="shared" si="1"/>
        <v>-4.6370381919590725E-2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625</v>
      </c>
      <c r="C20" s="376">
        <f>C18*C19</f>
        <v>8477.4682400000002</v>
      </c>
      <c r="D20" s="376">
        <f>LN_IA4*LN_IA5</f>
        <v>8271.4031999999988</v>
      </c>
      <c r="E20" s="376">
        <f t="shared" si="0"/>
        <v>-206.06504000000132</v>
      </c>
      <c r="F20" s="362">
        <f t="shared" si="1"/>
        <v>-2.4307379770260432E-2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626</v>
      </c>
      <c r="C21" s="378">
        <f>IF(C20=0,0,C16/C20)</f>
        <v>8762.0472170592293</v>
      </c>
      <c r="D21" s="378">
        <f>IF(LN_IA6=0,0,LN_IA2/LN_IA6)</f>
        <v>9180.1175887544705</v>
      </c>
      <c r="E21" s="378">
        <f t="shared" si="0"/>
        <v>418.07037169524119</v>
      </c>
      <c r="F21" s="362">
        <f t="shared" si="1"/>
        <v>4.7713777538345256E-2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37388</v>
      </c>
      <c r="D22" s="369">
        <v>35256</v>
      </c>
      <c r="E22" s="369">
        <f t="shared" si="0"/>
        <v>-2132</v>
      </c>
      <c r="F22" s="362">
        <f t="shared" si="1"/>
        <v>-5.702364394993046E-2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627</v>
      </c>
      <c r="C23" s="378">
        <f>IF(C22=0,0,C16/C22)</f>
        <v>1986.7330961805926</v>
      </c>
      <c r="D23" s="378">
        <f>IF(LN_IA8=0,0,LN_IA2/LN_IA8)</f>
        <v>2153.7455752212391</v>
      </c>
      <c r="E23" s="378">
        <f t="shared" si="0"/>
        <v>167.01247904064644</v>
      </c>
      <c r="F23" s="362">
        <f t="shared" si="1"/>
        <v>8.4063873180408893E-2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628</v>
      </c>
      <c r="C24" s="379">
        <f>IF(C18=0,0,C22/C18)</f>
        <v>6.2230359520639151</v>
      </c>
      <c r="D24" s="379">
        <f>IF(LN_IA4=0,0,LN_IA8/LN_IA4)</f>
        <v>5.7354807223035627</v>
      </c>
      <c r="E24" s="379">
        <f t="shared" si="0"/>
        <v>-0.48755522976035248</v>
      </c>
      <c r="F24" s="362">
        <f t="shared" si="1"/>
        <v>-7.8346844452770875E-2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629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630</v>
      </c>
      <c r="C27" s="361">
        <v>112935784</v>
      </c>
      <c r="D27" s="361">
        <v>123833405</v>
      </c>
      <c r="E27" s="361">
        <f t="shared" ref="E27:E32" si="2">D27-C27</f>
        <v>10897621</v>
      </c>
      <c r="F27" s="362">
        <f t="shared" ref="F27:F32" si="3">IF(C27=0,0,E27/C27)</f>
        <v>9.649395978868841E-2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631</v>
      </c>
      <c r="C28" s="361">
        <v>23751858</v>
      </c>
      <c r="D28" s="361">
        <v>21742314</v>
      </c>
      <c r="E28" s="361">
        <f t="shared" si="2"/>
        <v>-2009544</v>
      </c>
      <c r="F28" s="362">
        <f t="shared" si="3"/>
        <v>-8.4605760105167349E-2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632</v>
      </c>
      <c r="C29" s="366">
        <f>IF(C27=0,0,C28/C27)</f>
        <v>0.21031295094210353</v>
      </c>
      <c r="D29" s="366">
        <f>IF(LN_IA11=0,0,LN_IA12/LN_IA11)</f>
        <v>0.17557713122723226</v>
      </c>
      <c r="E29" s="367">
        <f t="shared" si="2"/>
        <v>-3.4735819714871274E-2</v>
      </c>
      <c r="F29" s="362">
        <f t="shared" si="3"/>
        <v>-0.16516253306927162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633</v>
      </c>
      <c r="C30" s="366">
        <f>IF(C15=0,0,C27/C15)</f>
        <v>0.46614856231304502</v>
      </c>
      <c r="D30" s="366">
        <f>IF(LN_IA1=0,0,LN_IA11/LN_IA1)</f>
        <v>0.4954190203307246</v>
      </c>
      <c r="E30" s="367">
        <f t="shared" si="2"/>
        <v>2.9270458017679579E-2</v>
      </c>
      <c r="F30" s="362">
        <f t="shared" si="3"/>
        <v>6.2792123336042421E-2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634</v>
      </c>
      <c r="C31" s="376">
        <f>C30*C18</f>
        <v>2800.6205623767746</v>
      </c>
      <c r="D31" s="376">
        <f>LN_IA14*LN_IA4</f>
        <v>3045.3407179729643</v>
      </c>
      <c r="E31" s="376">
        <f t="shared" si="2"/>
        <v>244.72015559618967</v>
      </c>
      <c r="F31" s="362">
        <f t="shared" si="3"/>
        <v>8.7380689438524103E-2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635</v>
      </c>
      <c r="C32" s="378">
        <f>IF(C31=0,0,C28/C31)</f>
        <v>8480.9268056800775</v>
      </c>
      <c r="D32" s="378">
        <f>IF(LN_IA15=0,0,LN_IA12/LN_IA15)</f>
        <v>7139.5341321519163</v>
      </c>
      <c r="E32" s="378">
        <f t="shared" si="2"/>
        <v>-1341.3926735281611</v>
      </c>
      <c r="F32" s="362">
        <f t="shared" si="3"/>
        <v>-0.15816581185794071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636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637</v>
      </c>
      <c r="C35" s="361">
        <f>C15+C27</f>
        <v>355210014</v>
      </c>
      <c r="D35" s="361">
        <f>LN_IA1+LN_IA11</f>
        <v>373790310</v>
      </c>
      <c r="E35" s="361">
        <f>D35-C35</f>
        <v>18580296</v>
      </c>
      <c r="F35" s="362">
        <f>IF(C35=0,0,E35/C35)</f>
        <v>5.2307917197401986E-2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638</v>
      </c>
      <c r="C36" s="361">
        <f>C16+C28</f>
        <v>98031835</v>
      </c>
      <c r="D36" s="361">
        <f>LN_IA2+LN_IA12</f>
        <v>97674768</v>
      </c>
      <c r="E36" s="361">
        <f>D36-C36</f>
        <v>-357067</v>
      </c>
      <c r="F36" s="362">
        <f>IF(C36=0,0,E36/C36)</f>
        <v>-3.6423576076077737E-3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639</v>
      </c>
      <c r="C37" s="361">
        <f>C35-C36</f>
        <v>257178179</v>
      </c>
      <c r="D37" s="361">
        <f>LN_IA17-LN_IA18</f>
        <v>276115542</v>
      </c>
      <c r="E37" s="361">
        <f>D37-C37</f>
        <v>18937363</v>
      </c>
      <c r="F37" s="362">
        <f>IF(C37=0,0,E37/C37)</f>
        <v>7.3635185821888882E-2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640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641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621</v>
      </c>
      <c r="C42" s="361">
        <v>139842858</v>
      </c>
      <c r="D42" s="361">
        <v>146446753</v>
      </c>
      <c r="E42" s="361">
        <f t="shared" ref="E42:E53" si="4">D42-C42</f>
        <v>6603895</v>
      </c>
      <c r="F42" s="362">
        <f t="shared" ref="F42:F53" si="5">IF(C42=0,0,E42/C42)</f>
        <v>4.7223684458737251E-2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622</v>
      </c>
      <c r="C43" s="361">
        <v>73058253</v>
      </c>
      <c r="D43" s="361">
        <v>75378318</v>
      </c>
      <c r="E43" s="361">
        <f t="shared" si="4"/>
        <v>2320065</v>
      </c>
      <c r="F43" s="362">
        <f t="shared" si="5"/>
        <v>3.1756371179584596E-2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623</v>
      </c>
      <c r="C44" s="366">
        <f>IF(C42=0,0,C43/C42)</f>
        <v>0.52243106330106615</v>
      </c>
      <c r="D44" s="366">
        <f>IF(LN_IB1=0,0,LN_IB2/LN_IB1)</f>
        <v>0.51471484656269573</v>
      </c>
      <c r="E44" s="367">
        <f t="shared" si="4"/>
        <v>-7.7162167383704183E-3</v>
      </c>
      <c r="F44" s="362">
        <f t="shared" si="5"/>
        <v>-1.4769827601012545E-2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5773</v>
      </c>
      <c r="D45" s="369">
        <v>5799</v>
      </c>
      <c r="E45" s="369">
        <f t="shared" si="4"/>
        <v>26</v>
      </c>
      <c r="F45" s="362">
        <f t="shared" si="5"/>
        <v>4.5037242335007792E-3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624</v>
      </c>
      <c r="C46" s="372">
        <v>1.04515</v>
      </c>
      <c r="D46" s="372">
        <v>1.0031000000000001</v>
      </c>
      <c r="E46" s="373">
        <f t="shared" si="4"/>
        <v>-4.2049999999999921E-2</v>
      </c>
      <c r="F46" s="362">
        <f t="shared" si="5"/>
        <v>-4.0233459312060391E-2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625</v>
      </c>
      <c r="C47" s="376">
        <f>C45*C46</f>
        <v>6033.6509500000002</v>
      </c>
      <c r="D47" s="376">
        <f>LN_IB4*LN_IB5</f>
        <v>5816.9769000000006</v>
      </c>
      <c r="E47" s="376">
        <f t="shared" si="4"/>
        <v>-216.67404999999962</v>
      </c>
      <c r="F47" s="362">
        <f t="shared" si="5"/>
        <v>-3.5910935484260921E-2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626</v>
      </c>
      <c r="C48" s="378">
        <f>IF(C47=0,0,C43/C47)</f>
        <v>12108.465273417913</v>
      </c>
      <c r="D48" s="378">
        <f>IF(LN_IB6=0,0,LN_IB2/LN_IB6)</f>
        <v>12958.332016068345</v>
      </c>
      <c r="E48" s="378">
        <f t="shared" si="4"/>
        <v>849.86674265043257</v>
      </c>
      <c r="F48" s="362">
        <f t="shared" si="5"/>
        <v>7.0187816825652644E-2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642</v>
      </c>
      <c r="C49" s="378">
        <f>C21-C48</f>
        <v>-3346.4180563586833</v>
      </c>
      <c r="D49" s="378">
        <f>LN_IA7-LN_IB7</f>
        <v>-3778.2144273138747</v>
      </c>
      <c r="E49" s="378">
        <f t="shared" si="4"/>
        <v>-431.79637095519138</v>
      </c>
      <c r="F49" s="362">
        <f t="shared" si="5"/>
        <v>0.12903240530115931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643</v>
      </c>
      <c r="C50" s="391">
        <f>C49*C47</f>
        <v>-20191118.484845724</v>
      </c>
      <c r="D50" s="391">
        <f>LN_IB8*LN_IB6</f>
        <v>-21977786.046931539</v>
      </c>
      <c r="E50" s="391">
        <f t="shared" si="4"/>
        <v>-1786667.5620858148</v>
      </c>
      <c r="F50" s="362">
        <f t="shared" si="5"/>
        <v>8.8487795434749356E-2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20360</v>
      </c>
      <c r="D51" s="369">
        <v>20211</v>
      </c>
      <c r="E51" s="369">
        <f t="shared" si="4"/>
        <v>-149</v>
      </c>
      <c r="F51" s="362">
        <f t="shared" si="5"/>
        <v>-7.3182711198428287E-3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627</v>
      </c>
      <c r="C52" s="378">
        <f>IF(C51=0,0,C43/C51)</f>
        <v>3588.3228388998036</v>
      </c>
      <c r="D52" s="378">
        <f>IF(LN_IB10=0,0,LN_IB2/LN_IB10)</f>
        <v>3729.5689476027906</v>
      </c>
      <c r="E52" s="378">
        <f t="shared" si="4"/>
        <v>141.24610870298693</v>
      </c>
      <c r="F52" s="362">
        <f t="shared" si="5"/>
        <v>3.9362709277934879E-2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628</v>
      </c>
      <c r="C53" s="379">
        <f>IF(C45=0,0,C51/C45)</f>
        <v>3.5267625151567641</v>
      </c>
      <c r="D53" s="379">
        <f>IF(LN_IB4=0,0,LN_IB10/LN_IB4)</f>
        <v>3.4852560786342472</v>
      </c>
      <c r="E53" s="379">
        <f t="shared" si="4"/>
        <v>-4.1506436522516843E-2</v>
      </c>
      <c r="F53" s="362">
        <f t="shared" si="5"/>
        <v>-1.1768991063088888E-2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644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630</v>
      </c>
      <c r="C56" s="361">
        <v>231808657</v>
      </c>
      <c r="D56" s="361">
        <v>252731072</v>
      </c>
      <c r="E56" s="361">
        <f t="shared" ref="E56:E63" si="6">D56-C56</f>
        <v>20922415</v>
      </c>
      <c r="F56" s="362">
        <f t="shared" ref="F56:F63" si="7">IF(C56=0,0,E56/C56)</f>
        <v>9.0257263342844007E-2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631</v>
      </c>
      <c r="C57" s="361">
        <v>123582855</v>
      </c>
      <c r="D57" s="361">
        <v>126071470</v>
      </c>
      <c r="E57" s="361">
        <f t="shared" si="6"/>
        <v>2488615</v>
      </c>
      <c r="F57" s="362">
        <f t="shared" si="7"/>
        <v>2.0137218872310403E-2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632</v>
      </c>
      <c r="C58" s="366">
        <f>IF(C56=0,0,C57/C56)</f>
        <v>0.53312441648803477</v>
      </c>
      <c r="D58" s="366">
        <f>IF(LN_IB13=0,0,LN_IB14/LN_IB13)</f>
        <v>0.49883644698820412</v>
      </c>
      <c r="E58" s="367">
        <f t="shared" si="6"/>
        <v>-3.4287969499830651E-2</v>
      </c>
      <c r="F58" s="362">
        <f t="shared" si="7"/>
        <v>-6.4315136278512944E-2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633</v>
      </c>
      <c r="C59" s="366">
        <f>IF(C42=0,0,C56/C42)</f>
        <v>1.6576367239290832</v>
      </c>
      <c r="D59" s="366">
        <f>IF(LN_IB1=0,0,LN_IB13/LN_IB1)</f>
        <v>1.7257540151812039</v>
      </c>
      <c r="E59" s="367">
        <f t="shared" si="6"/>
        <v>6.8117291252120626E-2</v>
      </c>
      <c r="F59" s="362">
        <f t="shared" si="7"/>
        <v>4.1093015296296491E-2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634</v>
      </c>
      <c r="C60" s="376">
        <f>C59*C45</f>
        <v>9569.5368072425972</v>
      </c>
      <c r="D60" s="376">
        <f>LN_IB16*LN_IB4</f>
        <v>10007.647534035801</v>
      </c>
      <c r="E60" s="376">
        <f t="shared" si="6"/>
        <v>438.11072679320387</v>
      </c>
      <c r="F60" s="362">
        <f t="shared" si="7"/>
        <v>4.578181113861484E-2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635</v>
      </c>
      <c r="C61" s="378">
        <f>IF(C60=0,0,C57/C60)</f>
        <v>12914.194018927614</v>
      </c>
      <c r="D61" s="378">
        <f>IF(LN_IB17=0,0,LN_IB14/LN_IB17)</f>
        <v>12597.513009049684</v>
      </c>
      <c r="E61" s="378">
        <f t="shared" si="6"/>
        <v>-316.68100987792968</v>
      </c>
      <c r="F61" s="362">
        <f t="shared" si="7"/>
        <v>-2.4521933727632401E-2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645</v>
      </c>
      <c r="C62" s="378">
        <f>C32-C61</f>
        <v>-4433.2672132475363</v>
      </c>
      <c r="D62" s="378">
        <f>LN_IA16-LN_IB18</f>
        <v>-5457.9788768977678</v>
      </c>
      <c r="E62" s="378">
        <f t="shared" si="6"/>
        <v>-1024.7116636502315</v>
      </c>
      <c r="F62" s="362">
        <f t="shared" si="7"/>
        <v>0.23114141655801326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646</v>
      </c>
      <c r="C63" s="361">
        <f>C62*C60</f>
        <v>-42424313.773514114</v>
      </c>
      <c r="D63" s="361">
        <f>LN_IB19*LN_IB17</f>
        <v>-54621528.84820544</v>
      </c>
      <c r="E63" s="361">
        <f t="shared" si="6"/>
        <v>-12197215.074691325</v>
      </c>
      <c r="F63" s="362">
        <f t="shared" si="7"/>
        <v>0.28750530037579908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647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637</v>
      </c>
      <c r="C66" s="361">
        <f>C42+C56</f>
        <v>371651515</v>
      </c>
      <c r="D66" s="361">
        <f>LN_IB1+LN_IB13</f>
        <v>399177825</v>
      </c>
      <c r="E66" s="361">
        <f>D66-C66</f>
        <v>27526310</v>
      </c>
      <c r="F66" s="362">
        <f>IF(C66=0,0,E66/C66)</f>
        <v>7.4064840015518302E-2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638</v>
      </c>
      <c r="C67" s="361">
        <f>C43+C57</f>
        <v>196641108</v>
      </c>
      <c r="D67" s="361">
        <f>LN_IB2+LN_IB14</f>
        <v>201449788</v>
      </c>
      <c r="E67" s="361">
        <f>D67-C67</f>
        <v>4808680</v>
      </c>
      <c r="F67" s="362">
        <f>IF(C67=0,0,E67/C67)</f>
        <v>2.445409329162242E-2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639</v>
      </c>
      <c r="C68" s="361">
        <f>C66-C67</f>
        <v>175010407</v>
      </c>
      <c r="D68" s="361">
        <f>LN_IB21-LN_IB22</f>
        <v>197728037</v>
      </c>
      <c r="E68" s="361">
        <f>D68-C68</f>
        <v>22717630</v>
      </c>
      <c r="F68" s="362">
        <f>IF(C68=0,0,E68/C68)</f>
        <v>0.12980730911619445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648</v>
      </c>
      <c r="C70" s="353">
        <f>C50+C63</f>
        <v>-62615432.258359835</v>
      </c>
      <c r="D70" s="353">
        <f>LN_IB9+LN_IB20</f>
        <v>-76599314.895136982</v>
      </c>
      <c r="E70" s="361">
        <f>D70-C70</f>
        <v>-13983882.636777148</v>
      </c>
      <c r="F70" s="362">
        <f>IF(C70=0,0,E70/C70)</f>
        <v>0.22332965105275862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649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650</v>
      </c>
      <c r="C73" s="400">
        <v>327394936</v>
      </c>
      <c r="D73" s="400">
        <v>363988504</v>
      </c>
      <c r="E73" s="400">
        <f>D73-C73</f>
        <v>36593568</v>
      </c>
      <c r="F73" s="401">
        <f>IF(C73=0,0,E73/C73)</f>
        <v>0.1117719426179518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651</v>
      </c>
      <c r="C74" s="400">
        <v>186810436</v>
      </c>
      <c r="D74" s="400">
        <v>199162505</v>
      </c>
      <c r="E74" s="400">
        <f>D74-C74</f>
        <v>12352069</v>
      </c>
      <c r="F74" s="401">
        <f>IF(C74=0,0,E74/C74)</f>
        <v>6.6120872390662375E-2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652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653</v>
      </c>
      <c r="C76" s="353">
        <f>C73-C74</f>
        <v>140584500</v>
      </c>
      <c r="D76" s="353">
        <f>LN_IB32-LN_IB33</f>
        <v>164825999</v>
      </c>
      <c r="E76" s="400">
        <f>D76-C76</f>
        <v>24241499</v>
      </c>
      <c r="F76" s="401">
        <f>IF(C76=0,0,E76/C76)</f>
        <v>0.17243365378117786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654</v>
      </c>
      <c r="C77" s="366">
        <f>IF(C73=0,0,C76/C73)</f>
        <v>0.42940340408930455</v>
      </c>
      <c r="D77" s="366">
        <f>IF(LN_IB1=0,0,LN_IB34/LN_IB32)</f>
        <v>0.4528329801317022</v>
      </c>
      <c r="E77" s="405">
        <f>D77-C77</f>
        <v>2.3429576042397648E-2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655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656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621</v>
      </c>
      <c r="C83" s="361">
        <v>5664173</v>
      </c>
      <c r="D83" s="361">
        <v>6389236</v>
      </c>
      <c r="E83" s="361">
        <f t="shared" ref="E83:E95" si="8">D83-C83</f>
        <v>725063</v>
      </c>
      <c r="F83" s="362">
        <f t="shared" ref="F83:F95" si="9">IF(C83=0,0,E83/C83)</f>
        <v>0.12800862544276101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622</v>
      </c>
      <c r="C84" s="361">
        <v>233862</v>
      </c>
      <c r="D84" s="361">
        <v>167271</v>
      </c>
      <c r="E84" s="361">
        <f t="shared" si="8"/>
        <v>-66591</v>
      </c>
      <c r="F84" s="362">
        <f t="shared" si="9"/>
        <v>-0.28474484952664392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623</v>
      </c>
      <c r="C85" s="366">
        <f>IF(C83=0,0,C84/C83)</f>
        <v>4.1287933825467547E-2</v>
      </c>
      <c r="D85" s="366">
        <f>IF(LN_IC1=0,0,LN_IC2/LN_IC1)</f>
        <v>2.6180125448488675E-2</v>
      </c>
      <c r="E85" s="367">
        <f t="shared" si="8"/>
        <v>-1.5107808376978872E-2</v>
      </c>
      <c r="F85" s="362">
        <f t="shared" si="9"/>
        <v>-0.36591340319529275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223</v>
      </c>
      <c r="D86" s="369">
        <v>267</v>
      </c>
      <c r="E86" s="369">
        <f t="shared" si="8"/>
        <v>44</v>
      </c>
      <c r="F86" s="362">
        <f t="shared" si="9"/>
        <v>0.19730941704035873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624</v>
      </c>
      <c r="C87" s="372">
        <v>1.03169</v>
      </c>
      <c r="D87" s="372">
        <v>0.96430000000000005</v>
      </c>
      <c r="E87" s="373">
        <f t="shared" si="8"/>
        <v>-6.738999999999995E-2</v>
      </c>
      <c r="F87" s="362">
        <f t="shared" si="9"/>
        <v>-6.5320008917407316E-2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625</v>
      </c>
      <c r="C88" s="376">
        <f>C86*C87</f>
        <v>230.06686999999999</v>
      </c>
      <c r="D88" s="376">
        <f>LN_IC4*LN_IC5</f>
        <v>257.46809999999999</v>
      </c>
      <c r="E88" s="376">
        <f t="shared" si="8"/>
        <v>27.401229999999998</v>
      </c>
      <c r="F88" s="362">
        <f t="shared" si="9"/>
        <v>0.11910115524238669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626</v>
      </c>
      <c r="C89" s="378">
        <f>IF(C88=0,0,C84/C88)</f>
        <v>1016.4957692517833</v>
      </c>
      <c r="D89" s="378">
        <f>IF(LN_IC6=0,0,LN_IC2/LN_IC6)</f>
        <v>649.67660071286502</v>
      </c>
      <c r="E89" s="378">
        <f t="shared" si="8"/>
        <v>-366.81916853891823</v>
      </c>
      <c r="F89" s="362">
        <f t="shared" si="9"/>
        <v>-0.36086639967909018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657</v>
      </c>
      <c r="C90" s="378">
        <f>C48-C89</f>
        <v>11091.969504166129</v>
      </c>
      <c r="D90" s="378">
        <f>LN_IB7-LN_IC7</f>
        <v>12308.655415355481</v>
      </c>
      <c r="E90" s="378">
        <f t="shared" si="8"/>
        <v>1216.6859111893518</v>
      </c>
      <c r="F90" s="362">
        <f t="shared" si="9"/>
        <v>0.1096907010727325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658</v>
      </c>
      <c r="C91" s="378">
        <f>C21-C89</f>
        <v>7745.5514478074456</v>
      </c>
      <c r="D91" s="378">
        <f>LN_IA7-LN_IC7</f>
        <v>8530.440988041606</v>
      </c>
      <c r="E91" s="378">
        <f t="shared" si="8"/>
        <v>784.88954023416045</v>
      </c>
      <c r="F91" s="362">
        <f t="shared" si="9"/>
        <v>0.10133423624167409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643</v>
      </c>
      <c r="C92" s="353">
        <f>C91*C88</f>
        <v>1781994.7780210273</v>
      </c>
      <c r="D92" s="353">
        <f>LN_IC9*LN_IC6</f>
        <v>2196316.433353195</v>
      </c>
      <c r="E92" s="353">
        <f t="shared" si="8"/>
        <v>414321.65533216763</v>
      </c>
      <c r="F92" s="362">
        <f t="shared" si="9"/>
        <v>0.2325044160860491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745</v>
      </c>
      <c r="D93" s="369">
        <v>844</v>
      </c>
      <c r="E93" s="369">
        <f t="shared" si="8"/>
        <v>99</v>
      </c>
      <c r="F93" s="362">
        <f t="shared" si="9"/>
        <v>0.13288590604026845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627</v>
      </c>
      <c r="C94" s="411">
        <f>IF(C93=0,0,C84/C93)</f>
        <v>313.90872483221477</v>
      </c>
      <c r="D94" s="411">
        <f>IF(LN_IC11=0,0,LN_IC2/LN_IC11)</f>
        <v>198.18838862559241</v>
      </c>
      <c r="E94" s="411">
        <f t="shared" si="8"/>
        <v>-115.72033620662236</v>
      </c>
      <c r="F94" s="362">
        <f t="shared" si="9"/>
        <v>-0.36864326172671774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628</v>
      </c>
      <c r="C95" s="379">
        <f>IF(C86=0,0,C93/C86)</f>
        <v>3.3408071748878925</v>
      </c>
      <c r="D95" s="379">
        <f>IF(LN_IC4=0,0,LN_IC11/LN_IC4)</f>
        <v>3.161048689138577</v>
      </c>
      <c r="E95" s="379">
        <f t="shared" si="8"/>
        <v>-0.17975848574931552</v>
      </c>
      <c r="F95" s="362">
        <f t="shared" si="9"/>
        <v>-5.3806902445768266E-2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659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630</v>
      </c>
      <c r="C98" s="361">
        <v>24549726</v>
      </c>
      <c r="D98" s="361">
        <v>28798363</v>
      </c>
      <c r="E98" s="361">
        <f t="shared" ref="E98:E106" si="10">D98-C98</f>
        <v>4248637</v>
      </c>
      <c r="F98" s="362">
        <f t="shared" ref="F98:F106" si="11">IF(C98=0,0,E98/C98)</f>
        <v>0.1730625017973724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631</v>
      </c>
      <c r="C99" s="361">
        <v>1444995</v>
      </c>
      <c r="D99" s="361">
        <v>2120010</v>
      </c>
      <c r="E99" s="361">
        <f t="shared" si="10"/>
        <v>675015</v>
      </c>
      <c r="F99" s="362">
        <f t="shared" si="11"/>
        <v>0.46714002470596783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632</v>
      </c>
      <c r="C100" s="366">
        <f>IF(C98=0,0,C99/C98)</f>
        <v>5.8859923731939004E-2</v>
      </c>
      <c r="D100" s="366">
        <f>IF(LN_IC14=0,0,LN_IC15/LN_IC14)</f>
        <v>7.3615642666911313E-2</v>
      </c>
      <c r="E100" s="367">
        <f t="shared" si="10"/>
        <v>1.4755718934972309E-2</v>
      </c>
      <c r="F100" s="362">
        <f t="shared" si="11"/>
        <v>0.25069211781811146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633</v>
      </c>
      <c r="C101" s="366">
        <f>IF(C83=0,0,C98/C83)</f>
        <v>4.3342118964233611</v>
      </c>
      <c r="D101" s="366">
        <f>IF(LN_IC1=0,0,LN_IC14/LN_IC1)</f>
        <v>4.5073249759439156</v>
      </c>
      <c r="E101" s="367">
        <f t="shared" si="10"/>
        <v>0.17311307952055444</v>
      </c>
      <c r="F101" s="362">
        <f t="shared" si="11"/>
        <v>3.9941074330816458E-2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634</v>
      </c>
      <c r="C102" s="376">
        <f>C101*C86</f>
        <v>966.52925290240955</v>
      </c>
      <c r="D102" s="376">
        <f>LN_IC17*LN_IC4</f>
        <v>1203.4557685770255</v>
      </c>
      <c r="E102" s="376">
        <f t="shared" si="10"/>
        <v>236.92651567461598</v>
      </c>
      <c r="F102" s="362">
        <f t="shared" si="11"/>
        <v>0.2451312414633543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635</v>
      </c>
      <c r="C103" s="378">
        <f>IF(C102=0,0,C99/C102)</f>
        <v>1495.0349362533998</v>
      </c>
      <c r="D103" s="378">
        <f>IF(LN_IC18=0,0,LN_IC15/LN_IC18)</f>
        <v>1761.6019261818942</v>
      </c>
      <c r="E103" s="378">
        <f t="shared" si="10"/>
        <v>266.56698992849442</v>
      </c>
      <c r="F103" s="362">
        <f t="shared" si="11"/>
        <v>0.17830151220179435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660</v>
      </c>
      <c r="C104" s="378">
        <f>C61-C103</f>
        <v>11419.159082674214</v>
      </c>
      <c r="D104" s="378">
        <f>LN_IB18-LN_IC19</f>
        <v>10835.911082867789</v>
      </c>
      <c r="E104" s="378">
        <f t="shared" si="10"/>
        <v>-583.24799980642456</v>
      </c>
      <c r="F104" s="362">
        <f t="shared" si="11"/>
        <v>-5.1076265387296427E-2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661</v>
      </c>
      <c r="C105" s="378">
        <f>C32-C103</f>
        <v>6985.8918694266777</v>
      </c>
      <c r="D105" s="378">
        <f>LN_IA16-LN_IC19</f>
        <v>5377.9322059700226</v>
      </c>
      <c r="E105" s="378">
        <f t="shared" si="10"/>
        <v>-1607.9596634566551</v>
      </c>
      <c r="F105" s="362">
        <f t="shared" si="11"/>
        <v>-0.23017242372356073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646</v>
      </c>
      <c r="C106" s="361">
        <f>C105*C102</f>
        <v>6752068.8494139835</v>
      </c>
      <c r="D106" s="361">
        <f>LN_IC21*LN_IC18</f>
        <v>6472103.5362907918</v>
      </c>
      <c r="E106" s="361">
        <f t="shared" si="10"/>
        <v>-279965.31312319171</v>
      </c>
      <c r="F106" s="362">
        <f t="shared" si="11"/>
        <v>-4.1463634238192056E-2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662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637</v>
      </c>
      <c r="C109" s="361">
        <f>C83+C98</f>
        <v>30213899</v>
      </c>
      <c r="D109" s="361">
        <f>LN_IC1+LN_IC14</f>
        <v>35187599</v>
      </c>
      <c r="E109" s="361">
        <f>D109-C109</f>
        <v>4973700</v>
      </c>
      <c r="F109" s="362">
        <f>IF(C109=0,0,E109/C109)</f>
        <v>0.16461629133002662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638</v>
      </c>
      <c r="C110" s="361">
        <f>C84+C99</f>
        <v>1678857</v>
      </c>
      <c r="D110" s="361">
        <f>LN_IC2+LN_IC15</f>
        <v>2287281</v>
      </c>
      <c r="E110" s="361">
        <f>D110-C110</f>
        <v>608424</v>
      </c>
      <c r="F110" s="362">
        <f>IF(C110=0,0,E110/C110)</f>
        <v>0.36240370680766737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639</v>
      </c>
      <c r="C111" s="361">
        <f>C109-C110</f>
        <v>28535042</v>
      </c>
      <c r="D111" s="361">
        <f>LN_IC23-LN_IC24</f>
        <v>32900318</v>
      </c>
      <c r="E111" s="361">
        <f>D111-C111</f>
        <v>4365276</v>
      </c>
      <c r="F111" s="362">
        <f>IF(C111=0,0,E111/C111)</f>
        <v>0.15297948396221039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648</v>
      </c>
      <c r="C113" s="361">
        <f>C92+C106</f>
        <v>8534063.6274350099</v>
      </c>
      <c r="D113" s="361">
        <f>LN_IC10+LN_IC22</f>
        <v>8668419.9696439877</v>
      </c>
      <c r="E113" s="361">
        <f>D113-C113</f>
        <v>134356.34220897779</v>
      </c>
      <c r="F113" s="362">
        <f>IF(C113=0,0,E113/C113)</f>
        <v>1.5743536499663972E-2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663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664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621</v>
      </c>
      <c r="C118" s="361">
        <v>72509396</v>
      </c>
      <c r="D118" s="361">
        <v>75819360</v>
      </c>
      <c r="E118" s="361">
        <f t="shared" ref="E118:E130" si="12">D118-C118</f>
        <v>3309964</v>
      </c>
      <c r="F118" s="362">
        <f t="shared" ref="F118:F130" si="13">IF(C118=0,0,E118/C118)</f>
        <v>4.5648759782801113E-2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622</v>
      </c>
      <c r="C119" s="361">
        <v>18227494</v>
      </c>
      <c r="D119" s="361">
        <v>20337542</v>
      </c>
      <c r="E119" s="361">
        <f t="shared" si="12"/>
        <v>2110048</v>
      </c>
      <c r="F119" s="362">
        <f t="shared" si="13"/>
        <v>0.11576182661204003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623</v>
      </c>
      <c r="C120" s="366">
        <f>IF(C118=0,0,C119/C118)</f>
        <v>0.25138113135020462</v>
      </c>
      <c r="D120" s="366">
        <f>IF(LN_ID1=0,0,LN_1D2/LN_ID1)</f>
        <v>0.26823679334671252</v>
      </c>
      <c r="E120" s="367">
        <f t="shared" si="12"/>
        <v>1.6855661996507898E-2</v>
      </c>
      <c r="F120" s="362">
        <f t="shared" si="13"/>
        <v>6.7052216313824686E-2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3038</v>
      </c>
      <c r="D121" s="369">
        <v>3002</v>
      </c>
      <c r="E121" s="369">
        <f t="shared" si="12"/>
        <v>-36</v>
      </c>
      <c r="F121" s="362">
        <f t="shared" si="13"/>
        <v>-1.1849901250822911E-2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624</v>
      </c>
      <c r="C122" s="372">
        <v>0.94935999999999998</v>
      </c>
      <c r="D122" s="372">
        <v>0.93799999999999994</v>
      </c>
      <c r="E122" s="373">
        <f t="shared" si="12"/>
        <v>-1.1360000000000037E-2</v>
      </c>
      <c r="F122" s="362">
        <f t="shared" si="13"/>
        <v>-1.1965956012471598E-2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625</v>
      </c>
      <c r="C123" s="376">
        <f>C121*C122</f>
        <v>2884.1556799999998</v>
      </c>
      <c r="D123" s="376">
        <f>LN_ID4*LN_ID5</f>
        <v>2815.8759999999997</v>
      </c>
      <c r="E123" s="376">
        <f t="shared" si="12"/>
        <v>-68.279680000000099</v>
      </c>
      <c r="F123" s="362">
        <f t="shared" si="13"/>
        <v>-2.3674061866175027E-2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626</v>
      </c>
      <c r="C124" s="378">
        <f>IF(C123=0,0,C119/C123)</f>
        <v>6319.8717483932769</v>
      </c>
      <c r="D124" s="378">
        <f>IF(LN_ID6=0,0,LN_1D2/LN_ID6)</f>
        <v>7222.4565286255511</v>
      </c>
      <c r="E124" s="378">
        <f t="shared" si="12"/>
        <v>902.58478023227417</v>
      </c>
      <c r="F124" s="362">
        <f t="shared" si="13"/>
        <v>0.14281694568592179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665</v>
      </c>
      <c r="C125" s="378">
        <f>C48-C124</f>
        <v>5788.5935250246357</v>
      </c>
      <c r="D125" s="378">
        <f>LN_IB7-LN_ID7</f>
        <v>5735.8754874427941</v>
      </c>
      <c r="E125" s="378">
        <f t="shared" si="12"/>
        <v>-52.7180375818416</v>
      </c>
      <c r="F125" s="362">
        <f t="shared" si="13"/>
        <v>-9.1072274040207776E-3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666</v>
      </c>
      <c r="C126" s="378">
        <f>C21-C124</f>
        <v>2442.1754686659524</v>
      </c>
      <c r="D126" s="378">
        <f>LN_IA7-LN_ID7</f>
        <v>1957.6610601289194</v>
      </c>
      <c r="E126" s="378">
        <f t="shared" si="12"/>
        <v>-484.51440853703298</v>
      </c>
      <c r="F126" s="362">
        <f t="shared" si="13"/>
        <v>-0.19839459316234179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643</v>
      </c>
      <c r="C127" s="391">
        <f>C126*C123</f>
        <v>7043614.2495095683</v>
      </c>
      <c r="D127" s="391">
        <f>LN_ID9*LN_ID6</f>
        <v>5512530.7953515807</v>
      </c>
      <c r="E127" s="391">
        <f t="shared" si="12"/>
        <v>-1531083.4541579876</v>
      </c>
      <c r="F127" s="362">
        <f t="shared" si="13"/>
        <v>-0.21737184915607688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12344</v>
      </c>
      <c r="D128" s="369">
        <v>11609</v>
      </c>
      <c r="E128" s="369">
        <f t="shared" si="12"/>
        <v>-735</v>
      </c>
      <c r="F128" s="362">
        <f t="shared" si="13"/>
        <v>-5.9543097861309138E-2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627</v>
      </c>
      <c r="C129" s="378">
        <f>IF(C128=0,0,C119/C128)</f>
        <v>1476.6278353856123</v>
      </c>
      <c r="D129" s="378">
        <f>IF(LN_ID11=0,0,LN_1D2/LN_ID11)</f>
        <v>1751.8771642691015</v>
      </c>
      <c r="E129" s="378">
        <f t="shared" si="12"/>
        <v>275.24932888348917</v>
      </c>
      <c r="F129" s="362">
        <f t="shared" si="13"/>
        <v>0.18640399583935074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628</v>
      </c>
      <c r="C130" s="379">
        <f>IF(C121=0,0,C128/C121)</f>
        <v>4.0631994733377219</v>
      </c>
      <c r="D130" s="379">
        <f>IF(LN_ID4=0,0,LN_ID11/LN_ID4)</f>
        <v>3.8670886075949369</v>
      </c>
      <c r="E130" s="379">
        <f t="shared" si="12"/>
        <v>-0.19611086574278502</v>
      </c>
      <c r="F130" s="362">
        <f t="shared" si="13"/>
        <v>-4.8265133678433325E-2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667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630</v>
      </c>
      <c r="C133" s="361">
        <v>52188301</v>
      </c>
      <c r="D133" s="361">
        <v>57507931</v>
      </c>
      <c r="E133" s="361">
        <f t="shared" ref="E133:E141" si="14">D133-C133</f>
        <v>5319630</v>
      </c>
      <c r="F133" s="362">
        <f t="shared" ref="F133:F141" si="15">IF(C133=0,0,E133/C133)</f>
        <v>0.10193146544471719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631</v>
      </c>
      <c r="C134" s="361">
        <v>13444714</v>
      </c>
      <c r="D134" s="361">
        <v>15243246</v>
      </c>
      <c r="E134" s="361">
        <f t="shared" si="14"/>
        <v>1798532</v>
      </c>
      <c r="F134" s="362">
        <f t="shared" si="15"/>
        <v>0.13377242535616599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632</v>
      </c>
      <c r="C135" s="366">
        <f>IF(C133=0,0,C134/C133)</f>
        <v>0.25761930820472578</v>
      </c>
      <c r="D135" s="366">
        <f>IF(LN_ID14=0,0,LN_ID15/LN_ID14)</f>
        <v>0.2650633701288958</v>
      </c>
      <c r="E135" s="367">
        <f t="shared" si="14"/>
        <v>7.4440619241700201E-3</v>
      </c>
      <c r="F135" s="362">
        <f t="shared" si="15"/>
        <v>2.889559007065708E-2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633</v>
      </c>
      <c r="C136" s="366">
        <f>IF(C118=0,0,C133/C118)</f>
        <v>0.71974535548468777</v>
      </c>
      <c r="D136" s="366">
        <f>IF(LN_ID1=0,0,LN_ID14/LN_ID1)</f>
        <v>0.75848610434063279</v>
      </c>
      <c r="E136" s="367">
        <f t="shared" si="14"/>
        <v>3.8740748855945029E-2</v>
      </c>
      <c r="F136" s="362">
        <f t="shared" si="15"/>
        <v>5.3825632302769641E-2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634</v>
      </c>
      <c r="C137" s="376">
        <f>C136*C121</f>
        <v>2186.5863899624815</v>
      </c>
      <c r="D137" s="376">
        <f>LN_ID17*LN_ID4</f>
        <v>2276.9752852305796</v>
      </c>
      <c r="E137" s="376">
        <f t="shared" si="14"/>
        <v>90.388895268098167</v>
      </c>
      <c r="F137" s="362">
        <f t="shared" si="15"/>
        <v>4.1337902624395788E-2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635</v>
      </c>
      <c r="C138" s="378">
        <f>IF(C137=0,0,C134/C137)</f>
        <v>6148.7229874465156</v>
      </c>
      <c r="D138" s="378">
        <f>IF(LN_ID18=0,0,LN_ID15/LN_ID18)</f>
        <v>6694.5153506382403</v>
      </c>
      <c r="E138" s="378">
        <f t="shared" si="14"/>
        <v>545.79236319172469</v>
      </c>
      <c r="F138" s="362">
        <f t="shared" si="15"/>
        <v>8.8765157302749975E-2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668</v>
      </c>
      <c r="C139" s="378">
        <f>C61-C138</f>
        <v>6765.4710314810982</v>
      </c>
      <c r="D139" s="378">
        <f>LN_IB18-LN_ID19</f>
        <v>5902.9976584114438</v>
      </c>
      <c r="E139" s="378">
        <f t="shared" si="14"/>
        <v>-862.47337306965437</v>
      </c>
      <c r="F139" s="362">
        <f t="shared" si="15"/>
        <v>-0.12748164452355087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669</v>
      </c>
      <c r="C140" s="378">
        <f>C32-C138</f>
        <v>2332.2038182335618</v>
      </c>
      <c r="D140" s="378">
        <f>LN_IA16-LN_ID19</f>
        <v>445.018781513676</v>
      </c>
      <c r="E140" s="378">
        <f t="shared" si="14"/>
        <v>-1887.1850367198858</v>
      </c>
      <c r="F140" s="362">
        <f t="shared" si="15"/>
        <v>-0.80918529588432864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646</v>
      </c>
      <c r="C141" s="353">
        <f>C140*C137</f>
        <v>5099565.1275680391</v>
      </c>
      <c r="D141" s="353">
        <f>LN_ID21*LN_ID18</f>
        <v>1013296.7669700674</v>
      </c>
      <c r="E141" s="353">
        <f t="shared" si="14"/>
        <v>-4086268.3605979718</v>
      </c>
      <c r="F141" s="362">
        <f t="shared" si="15"/>
        <v>-0.80129741622629214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670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637</v>
      </c>
      <c r="C144" s="361">
        <f>C118+C133</f>
        <v>124697697</v>
      </c>
      <c r="D144" s="361">
        <f>LN_ID1+LN_ID14</f>
        <v>133327291</v>
      </c>
      <c r="E144" s="361">
        <f>D144-C144</f>
        <v>8629594</v>
      </c>
      <c r="F144" s="362">
        <f>IF(C144=0,0,E144/C144)</f>
        <v>6.9204116897203002E-2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638</v>
      </c>
      <c r="C145" s="361">
        <f>C119+C134</f>
        <v>31672208</v>
      </c>
      <c r="D145" s="361">
        <f>LN_1D2+LN_ID15</f>
        <v>35580788</v>
      </c>
      <c r="E145" s="361">
        <f>D145-C145</f>
        <v>3908580</v>
      </c>
      <c r="F145" s="362">
        <f>IF(C145=0,0,E145/C145)</f>
        <v>0.12340724713603801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639</v>
      </c>
      <c r="C146" s="361">
        <f>C144-C145</f>
        <v>93025489</v>
      </c>
      <c r="D146" s="361">
        <f>LN_ID23-LN_ID24</f>
        <v>97746503</v>
      </c>
      <c r="E146" s="361">
        <f>D146-C146</f>
        <v>4721014</v>
      </c>
      <c r="F146" s="362">
        <f>IF(C146=0,0,E146/C146)</f>
        <v>5.0749682165067686E-2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648</v>
      </c>
      <c r="C148" s="361">
        <f>C127+C141</f>
        <v>12143179.377077607</v>
      </c>
      <c r="D148" s="361">
        <f>LN_ID10+LN_ID22</f>
        <v>6525827.562321648</v>
      </c>
      <c r="E148" s="361">
        <f>D148-C148</f>
        <v>-5617351.8147559594</v>
      </c>
      <c r="F148" s="415">
        <f>IF(C148=0,0,E148/C148)</f>
        <v>-0.46259316776294201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671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672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621</v>
      </c>
      <c r="C153" s="361">
        <v>1053370</v>
      </c>
      <c r="D153" s="361">
        <v>1219617</v>
      </c>
      <c r="E153" s="361">
        <f t="shared" ref="E153:E165" si="16">D153-C153</f>
        <v>166247</v>
      </c>
      <c r="F153" s="362">
        <f t="shared" ref="F153:F165" si="17">IF(C153=0,0,E153/C153)</f>
        <v>0.15782393650853926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622</v>
      </c>
      <c r="C154" s="361">
        <v>360535</v>
      </c>
      <c r="D154" s="361">
        <v>481053</v>
      </c>
      <c r="E154" s="361">
        <f t="shared" si="16"/>
        <v>120518</v>
      </c>
      <c r="F154" s="362">
        <f t="shared" si="17"/>
        <v>0.33427545175919121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623</v>
      </c>
      <c r="C155" s="366">
        <f>IF(C153=0,0,C154/C153)</f>
        <v>0.34226814889355117</v>
      </c>
      <c r="D155" s="366">
        <f>IF(LN_IE1=0,0,LN_IE2/LN_IE1)</f>
        <v>0.39442956272337953</v>
      </c>
      <c r="E155" s="367">
        <f t="shared" si="16"/>
        <v>5.2161413829828362E-2</v>
      </c>
      <c r="F155" s="362">
        <f t="shared" si="17"/>
        <v>0.15239926355534497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40</v>
      </c>
      <c r="D156" s="419">
        <v>40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624</v>
      </c>
      <c r="C157" s="372">
        <v>0.95994999999999997</v>
      </c>
      <c r="D157" s="372">
        <v>1.0291999999999999</v>
      </c>
      <c r="E157" s="373">
        <f t="shared" si="16"/>
        <v>6.9249999999999923E-2</v>
      </c>
      <c r="F157" s="362">
        <f t="shared" si="17"/>
        <v>7.2139173915308011E-2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625</v>
      </c>
      <c r="C158" s="376">
        <f>C156*C157</f>
        <v>38.397999999999996</v>
      </c>
      <c r="D158" s="376">
        <f>LN_IE4*LN_IE5</f>
        <v>41.167999999999992</v>
      </c>
      <c r="E158" s="376">
        <f t="shared" si="16"/>
        <v>2.769999999999996</v>
      </c>
      <c r="F158" s="362">
        <f t="shared" si="17"/>
        <v>7.2139173915307997E-2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626</v>
      </c>
      <c r="C159" s="378">
        <f>IF(C158=0,0,C154/C158)</f>
        <v>9389.4213240272948</v>
      </c>
      <c r="D159" s="378">
        <f>IF(LN_IE6=0,0,LN_IE2/LN_IE6)</f>
        <v>11685.119510299264</v>
      </c>
      <c r="E159" s="378">
        <f t="shared" si="16"/>
        <v>2295.6981862719695</v>
      </c>
      <c r="F159" s="362">
        <f t="shared" si="17"/>
        <v>0.2444983675828174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673</v>
      </c>
      <c r="C160" s="378">
        <f>C48-C159</f>
        <v>2719.0439493906179</v>
      </c>
      <c r="D160" s="378">
        <f>LN_IB7-LN_IE7</f>
        <v>1273.212505769081</v>
      </c>
      <c r="E160" s="378">
        <f t="shared" si="16"/>
        <v>-1445.8314436215369</v>
      </c>
      <c r="F160" s="362">
        <f t="shared" si="17"/>
        <v>-0.53174257957307802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674</v>
      </c>
      <c r="C161" s="378">
        <f>C21-C159</f>
        <v>-627.37410696806546</v>
      </c>
      <c r="D161" s="378">
        <f>LN_IA7-LN_IE7</f>
        <v>-2505.0019215447937</v>
      </c>
      <c r="E161" s="378">
        <f t="shared" si="16"/>
        <v>-1877.6278145767283</v>
      </c>
      <c r="F161" s="362">
        <f t="shared" si="17"/>
        <v>2.9928360028290157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643</v>
      </c>
      <c r="C162" s="391">
        <f>C161*C158</f>
        <v>-24089.910959359775</v>
      </c>
      <c r="D162" s="391">
        <f>LN_IE9*LN_IE6</f>
        <v>-103125.91910615606</v>
      </c>
      <c r="E162" s="391">
        <f t="shared" si="16"/>
        <v>-79036.008146796288</v>
      </c>
      <c r="F162" s="362">
        <f t="shared" si="17"/>
        <v>3.2808758936524018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166</v>
      </c>
      <c r="D163" s="369">
        <v>197</v>
      </c>
      <c r="E163" s="419">
        <f t="shared" si="16"/>
        <v>31</v>
      </c>
      <c r="F163" s="362">
        <f t="shared" si="17"/>
        <v>0.18674698795180722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627</v>
      </c>
      <c r="C164" s="378">
        <f>IF(C163=0,0,C154/C163)</f>
        <v>2171.897590361446</v>
      </c>
      <c r="D164" s="378">
        <f>IF(LN_IE11=0,0,LN_IE2/LN_IE11)</f>
        <v>2441.8934010152284</v>
      </c>
      <c r="E164" s="378">
        <f t="shared" si="16"/>
        <v>269.99581065378243</v>
      </c>
      <c r="F164" s="362">
        <f t="shared" si="17"/>
        <v>0.12431332483261785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628</v>
      </c>
      <c r="C165" s="379">
        <f>IF(C156=0,0,C163/C156)</f>
        <v>4.1500000000000004</v>
      </c>
      <c r="D165" s="379">
        <f>IF(LN_IE4=0,0,LN_IE11/LN_IE4)</f>
        <v>4.9249999999999998</v>
      </c>
      <c r="E165" s="379">
        <f t="shared" si="16"/>
        <v>0.77499999999999947</v>
      </c>
      <c r="F165" s="362">
        <f t="shared" si="17"/>
        <v>0.18674698795180708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675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630</v>
      </c>
      <c r="C168" s="424">
        <v>472831</v>
      </c>
      <c r="D168" s="424">
        <v>529485</v>
      </c>
      <c r="E168" s="424">
        <f t="shared" ref="E168:E176" si="18">D168-C168</f>
        <v>56654</v>
      </c>
      <c r="F168" s="362">
        <f t="shared" ref="F168:F176" si="19">IF(C168=0,0,E168/C168)</f>
        <v>0.11981870901019603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631</v>
      </c>
      <c r="C169" s="424">
        <v>142148</v>
      </c>
      <c r="D169" s="424">
        <v>179741</v>
      </c>
      <c r="E169" s="424">
        <f t="shared" si="18"/>
        <v>37593</v>
      </c>
      <c r="F169" s="362">
        <f t="shared" si="19"/>
        <v>0.26446379829473504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632</v>
      </c>
      <c r="C170" s="366">
        <f>IF(C168=0,0,C169/C168)</f>
        <v>0.30063172676918393</v>
      </c>
      <c r="D170" s="366">
        <f>IF(LN_IE14=0,0,LN_IE15/LN_IE14)</f>
        <v>0.33946381861620256</v>
      </c>
      <c r="E170" s="367">
        <f t="shared" si="18"/>
        <v>3.8832091847018635E-2</v>
      </c>
      <c r="F170" s="362">
        <f t="shared" si="19"/>
        <v>0.12916830922783062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633</v>
      </c>
      <c r="C171" s="366">
        <f>IF(C153=0,0,C168/C153)</f>
        <v>0.44887456449300817</v>
      </c>
      <c r="D171" s="366">
        <f>IF(LN_IE1=0,0,LN_IE14/LN_IE1)</f>
        <v>0.43414038997488558</v>
      </c>
      <c r="E171" s="367">
        <f t="shared" si="18"/>
        <v>-1.4734174518122589E-2</v>
      </c>
      <c r="F171" s="362">
        <f t="shared" si="19"/>
        <v>-3.2824703566717899E-2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634</v>
      </c>
      <c r="C172" s="376">
        <f>C171*C156</f>
        <v>17.954982579720326</v>
      </c>
      <c r="D172" s="376">
        <f>LN_IE17*LN_IE4</f>
        <v>17.365615598995422</v>
      </c>
      <c r="E172" s="376">
        <f t="shared" si="18"/>
        <v>-0.58936698072490401</v>
      </c>
      <c r="F172" s="362">
        <f t="shared" si="19"/>
        <v>-3.2824703566717926E-2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635</v>
      </c>
      <c r="C173" s="378">
        <f>IF(C172=0,0,C169/C172)</f>
        <v>7916.9110506713814</v>
      </c>
      <c r="D173" s="378">
        <f>IF(LN_IE18=0,0,LN_IE15/LN_IE18)</f>
        <v>10350.396101730927</v>
      </c>
      <c r="E173" s="378">
        <f t="shared" si="18"/>
        <v>2433.4850510595452</v>
      </c>
      <c r="F173" s="362">
        <f t="shared" si="19"/>
        <v>0.30737809677085826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676</v>
      </c>
      <c r="C174" s="378">
        <f>C61-C173</f>
        <v>4997.2829682562324</v>
      </c>
      <c r="D174" s="378">
        <f>LN_IB18-LN_IE19</f>
        <v>2247.1169073187575</v>
      </c>
      <c r="E174" s="378">
        <f t="shared" si="18"/>
        <v>-2750.1660609374749</v>
      </c>
      <c r="F174" s="362">
        <f t="shared" si="19"/>
        <v>-0.55033226623489095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677</v>
      </c>
      <c r="C175" s="378">
        <f>C32-C173</f>
        <v>564.01575500869603</v>
      </c>
      <c r="D175" s="378">
        <f>LN_IA16-LN_IE19</f>
        <v>-3210.8619695790103</v>
      </c>
      <c r="E175" s="378">
        <f t="shared" si="18"/>
        <v>-3774.8777245877063</v>
      </c>
      <c r="F175" s="362">
        <f t="shared" si="19"/>
        <v>-6.6928586498962339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646</v>
      </c>
      <c r="C176" s="353">
        <f>C175*C172</f>
        <v>10126.893055868944</v>
      </c>
      <c r="D176" s="353">
        <f>LN_IE21*LN_IE18</f>
        <v>-55758.594705142423</v>
      </c>
      <c r="E176" s="353">
        <f t="shared" si="18"/>
        <v>-65885.487761011362</v>
      </c>
      <c r="F176" s="362">
        <f t="shared" si="19"/>
        <v>-6.5059922522661635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678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637</v>
      </c>
      <c r="C179" s="361">
        <f>C153+C168</f>
        <v>1526201</v>
      </c>
      <c r="D179" s="361">
        <f>LN_IE1+LN_IE14</f>
        <v>1749102</v>
      </c>
      <c r="E179" s="361">
        <f>D179-C179</f>
        <v>222901</v>
      </c>
      <c r="F179" s="362">
        <f>IF(C179=0,0,E179/C179)</f>
        <v>0.14604957014180964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638</v>
      </c>
      <c r="C180" s="361">
        <f>C154+C169</f>
        <v>502683</v>
      </c>
      <c r="D180" s="361">
        <f>LN_IE15+LN_IE2</f>
        <v>660794</v>
      </c>
      <c r="E180" s="361">
        <f>D180-C180</f>
        <v>158111</v>
      </c>
      <c r="F180" s="362">
        <f>IF(C180=0,0,E180/C180)</f>
        <v>0.31453420943218691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639</v>
      </c>
      <c r="C181" s="361">
        <f>C179-C180</f>
        <v>1023518</v>
      </c>
      <c r="D181" s="361">
        <f>LN_IE23-LN_IE24</f>
        <v>1088308</v>
      </c>
      <c r="E181" s="361">
        <f>D181-C181</f>
        <v>64790</v>
      </c>
      <c r="F181" s="362">
        <f>IF(C181=0,0,E181/C181)</f>
        <v>6.3301280485541039E-2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679</v>
      </c>
      <c r="C183" s="361">
        <f>C162+C176</f>
        <v>-13963.017903490831</v>
      </c>
      <c r="D183" s="361">
        <f>LN_IE10+LN_IE22</f>
        <v>-158884.51381129847</v>
      </c>
      <c r="E183" s="353">
        <f>D183-C183</f>
        <v>-144921.49590780764</v>
      </c>
      <c r="F183" s="362">
        <f>IF(C183=0,0,E183/C183)</f>
        <v>10.378952237222046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680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681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621</v>
      </c>
      <c r="C188" s="361">
        <f>C118+C153</f>
        <v>73562766</v>
      </c>
      <c r="D188" s="361">
        <f>LN_ID1+LN_IE1</f>
        <v>77038977</v>
      </c>
      <c r="E188" s="361">
        <f t="shared" ref="E188:E200" si="20">D188-C188</f>
        <v>3476211</v>
      </c>
      <c r="F188" s="362">
        <f t="shared" ref="F188:F200" si="21">IF(C188=0,0,E188/C188)</f>
        <v>4.7255033884941192E-2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622</v>
      </c>
      <c r="C189" s="361">
        <f>C119+C154</f>
        <v>18588029</v>
      </c>
      <c r="D189" s="361">
        <f>LN_1D2+LN_IE2</f>
        <v>20818595</v>
      </c>
      <c r="E189" s="361">
        <f t="shared" si="20"/>
        <v>2230566</v>
      </c>
      <c r="F189" s="362">
        <f t="shared" si="21"/>
        <v>0.12000013557112484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623</v>
      </c>
      <c r="C190" s="366">
        <f>IF(C188=0,0,C189/C188)</f>
        <v>0.2526825731376115</v>
      </c>
      <c r="D190" s="366">
        <f>IF(LN_IF1=0,0,LN_IF2/LN_IF1)</f>
        <v>0.27023457229968151</v>
      </c>
      <c r="E190" s="367">
        <f t="shared" si="20"/>
        <v>1.7551999162070009E-2</v>
      </c>
      <c r="F190" s="362">
        <f t="shared" si="21"/>
        <v>6.9462642176400316E-2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3078</v>
      </c>
      <c r="D191" s="369">
        <f>LN_ID4+LN_IE4</f>
        <v>3042</v>
      </c>
      <c r="E191" s="369">
        <f t="shared" si="20"/>
        <v>-36</v>
      </c>
      <c r="F191" s="362">
        <f t="shared" si="21"/>
        <v>-1.1695906432748537E-2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624</v>
      </c>
      <c r="C192" s="372">
        <f>IF((C121+C156)=0,0,(C123+C158)/(C121+C156))</f>
        <v>0.94949762183235864</v>
      </c>
      <c r="D192" s="372">
        <f>IF((LN_ID4+LN_IE4)=0,0,(LN_ID6+LN_IE6)/(LN_ID4+LN_IE4))</f>
        <v>0.93919921104536486</v>
      </c>
      <c r="E192" s="373">
        <f t="shared" si="20"/>
        <v>-1.0298410786993784E-2</v>
      </c>
      <c r="F192" s="362">
        <f t="shared" si="21"/>
        <v>-1.0846168068456785E-2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625</v>
      </c>
      <c r="C193" s="376">
        <f>C123+C158</f>
        <v>2922.55368</v>
      </c>
      <c r="D193" s="376">
        <f>LN_IF4*LN_IF5</f>
        <v>2857.0439999999999</v>
      </c>
      <c r="E193" s="376">
        <f t="shared" si="20"/>
        <v>-65.509680000000117</v>
      </c>
      <c r="F193" s="362">
        <f t="shared" si="21"/>
        <v>-2.2415218734322825E-2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626</v>
      </c>
      <c r="C194" s="378">
        <f>IF(C193=0,0,C189/C193)</f>
        <v>6360.20105540029</v>
      </c>
      <c r="D194" s="378">
        <f>IF(LN_IF6=0,0,LN_IF2/LN_IF6)</f>
        <v>7286.7603719088684</v>
      </c>
      <c r="E194" s="378">
        <f t="shared" si="20"/>
        <v>926.55931650857838</v>
      </c>
      <c r="F194" s="362">
        <f t="shared" si="21"/>
        <v>0.14568082179129538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682</v>
      </c>
      <c r="C195" s="378">
        <f>C48-C194</f>
        <v>5748.2642180176226</v>
      </c>
      <c r="D195" s="378">
        <f>LN_IB7-LN_IF7</f>
        <v>5671.5716441594768</v>
      </c>
      <c r="E195" s="378">
        <f t="shared" si="20"/>
        <v>-76.692573858145806</v>
      </c>
      <c r="F195" s="362">
        <f t="shared" si="21"/>
        <v>-1.3341866509503354E-2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683</v>
      </c>
      <c r="C196" s="378">
        <f>C21-C194</f>
        <v>2401.8461616589393</v>
      </c>
      <c r="D196" s="378">
        <f>LN_IA7-LN_IF7</f>
        <v>1893.3572168456021</v>
      </c>
      <c r="E196" s="378">
        <f t="shared" si="20"/>
        <v>-508.48894481333718</v>
      </c>
      <c r="F196" s="362">
        <f t="shared" si="21"/>
        <v>-0.21170754102840925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643</v>
      </c>
      <c r="C197" s="391">
        <f>C127+C162</f>
        <v>7019524.3385502081</v>
      </c>
      <c r="D197" s="391">
        <f>LN_IF9*LN_IF6</f>
        <v>5409404.876245426</v>
      </c>
      <c r="E197" s="391">
        <f t="shared" si="20"/>
        <v>-1610119.4623047821</v>
      </c>
      <c r="F197" s="362">
        <f t="shared" si="21"/>
        <v>-0.22937728892287471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12510</v>
      </c>
      <c r="D198" s="369">
        <f>LN_ID11+LN_IE11</f>
        <v>11806</v>
      </c>
      <c r="E198" s="369">
        <f t="shared" si="20"/>
        <v>-704</v>
      </c>
      <c r="F198" s="362">
        <f t="shared" si="21"/>
        <v>-5.6274980015987207E-2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627</v>
      </c>
      <c r="C199" s="432">
        <f>IF(C198=0,0,C189/C198)</f>
        <v>1485.8536370903278</v>
      </c>
      <c r="D199" s="432">
        <f>IF(LN_IF11=0,0,LN_IF2/LN_IF11)</f>
        <v>1763.3910723361003</v>
      </c>
      <c r="E199" s="432">
        <f t="shared" si="20"/>
        <v>277.53743524577249</v>
      </c>
      <c r="F199" s="362">
        <f t="shared" si="21"/>
        <v>0.1867865234622032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628</v>
      </c>
      <c r="C200" s="379">
        <f>IF(C191=0,0,C198/C191)</f>
        <v>4.064327485380117</v>
      </c>
      <c r="D200" s="379">
        <f>IF(LN_IF4=0,0,LN_IF11/LN_IF4)</f>
        <v>3.880999342537804</v>
      </c>
      <c r="E200" s="379">
        <f t="shared" si="20"/>
        <v>-0.18332814284231302</v>
      </c>
      <c r="F200" s="362">
        <f t="shared" si="21"/>
        <v>-4.5106636584223779E-2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684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630</v>
      </c>
      <c r="C203" s="361">
        <f>C133+C168</f>
        <v>52661132</v>
      </c>
      <c r="D203" s="361">
        <f>LN_ID14+LN_IE14</f>
        <v>58037416</v>
      </c>
      <c r="E203" s="361">
        <f t="shared" ref="E203:E211" si="22">D203-C203</f>
        <v>5376284</v>
      </c>
      <c r="F203" s="362">
        <f t="shared" ref="F203:F211" si="23">IF(C203=0,0,E203/C203)</f>
        <v>0.10209207048568572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631</v>
      </c>
      <c r="C204" s="361">
        <f>C134+C169</f>
        <v>13586862</v>
      </c>
      <c r="D204" s="361">
        <f>LN_ID15+LN_IE15</f>
        <v>15422987</v>
      </c>
      <c r="E204" s="361">
        <f t="shared" si="22"/>
        <v>1836125</v>
      </c>
      <c r="F204" s="362">
        <f t="shared" si="23"/>
        <v>0.13513974014014421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632</v>
      </c>
      <c r="C205" s="366">
        <f>IF(C203=0,0,C204/C203)</f>
        <v>0.25800550584442433</v>
      </c>
      <c r="D205" s="366">
        <f>IF(LN_IF14=0,0,LN_IF15/LN_IF14)</f>
        <v>0.26574213779607281</v>
      </c>
      <c r="E205" s="367">
        <f t="shared" si="22"/>
        <v>7.7366319516484761E-3</v>
      </c>
      <c r="F205" s="362">
        <f t="shared" si="23"/>
        <v>2.9986305626801685E-2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633</v>
      </c>
      <c r="C206" s="366">
        <f>IF(C188=0,0,C203/C188)</f>
        <v>0.71586666548128441</v>
      </c>
      <c r="D206" s="366">
        <f>IF(LN_IF1=0,0,LN_IF14/LN_IF1)</f>
        <v>0.75335133279352862</v>
      </c>
      <c r="E206" s="367">
        <f t="shared" si="22"/>
        <v>3.7484667312244202E-2</v>
      </c>
      <c r="F206" s="362">
        <f t="shared" si="23"/>
        <v>5.2362638351155628E-2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634</v>
      </c>
      <c r="C207" s="376">
        <f>C137+C172</f>
        <v>2204.5413725422018</v>
      </c>
      <c r="D207" s="376">
        <f>LN_ID18+LN_IE18</f>
        <v>2294.3409008295753</v>
      </c>
      <c r="E207" s="376">
        <f t="shared" si="22"/>
        <v>89.799528287373505</v>
      </c>
      <c r="F207" s="362">
        <f t="shared" si="23"/>
        <v>4.0733882069910875E-2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635</v>
      </c>
      <c r="C208" s="378">
        <f>IF(C207=0,0,C204/C207)</f>
        <v>6163.1240716213433</v>
      </c>
      <c r="D208" s="378">
        <f>IF(LN_IF18=0,0,LN_IF15/LN_IF18)</f>
        <v>6722.1863126022117</v>
      </c>
      <c r="E208" s="378">
        <f t="shared" si="22"/>
        <v>559.06224098086841</v>
      </c>
      <c r="F208" s="362">
        <f t="shared" si="23"/>
        <v>9.0710852886301693E-2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685</v>
      </c>
      <c r="C209" s="378">
        <f>C61-C208</f>
        <v>6751.0699473062705</v>
      </c>
      <c r="D209" s="378">
        <f>LN_IB18-LN_IF19</f>
        <v>5875.3266964474724</v>
      </c>
      <c r="E209" s="378">
        <f t="shared" si="22"/>
        <v>-875.74325085879809</v>
      </c>
      <c r="F209" s="362">
        <f t="shared" si="23"/>
        <v>-0.12971917898854335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686</v>
      </c>
      <c r="C210" s="378">
        <f>C32-C208</f>
        <v>2317.8027340587341</v>
      </c>
      <c r="D210" s="378">
        <f>LN_IA16-LN_IF19</f>
        <v>417.34781954970458</v>
      </c>
      <c r="E210" s="378">
        <f t="shared" si="22"/>
        <v>-1900.4549145090295</v>
      </c>
      <c r="F210" s="362">
        <f t="shared" si="23"/>
        <v>-0.81993816237377481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646</v>
      </c>
      <c r="C211" s="391">
        <f>C141+C176</f>
        <v>5109692.0206239084</v>
      </c>
      <c r="D211" s="353">
        <f>LN_IF21*LN_IF18</f>
        <v>957538.17226492823</v>
      </c>
      <c r="E211" s="353">
        <f t="shared" si="22"/>
        <v>-4152153.8483589804</v>
      </c>
      <c r="F211" s="362">
        <f t="shared" si="23"/>
        <v>-0.81260354471461671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687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637</v>
      </c>
      <c r="C214" s="361">
        <f>C188+C203</f>
        <v>126223898</v>
      </c>
      <c r="D214" s="361">
        <f>LN_IF1+LN_IF14</f>
        <v>135076393</v>
      </c>
      <c r="E214" s="361">
        <f>D214-C214</f>
        <v>8852495</v>
      </c>
      <c r="F214" s="362">
        <f>IF(C214=0,0,E214/C214)</f>
        <v>7.0133272227102347E-2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638</v>
      </c>
      <c r="C215" s="361">
        <f>C189+C204</f>
        <v>32174891</v>
      </c>
      <c r="D215" s="361">
        <f>LN_IF2+LN_IF15</f>
        <v>36241582</v>
      </c>
      <c r="E215" s="361">
        <f>D215-C215</f>
        <v>4066691</v>
      </c>
      <c r="F215" s="362">
        <f>IF(C215=0,0,E215/C215)</f>
        <v>0.12639331085845792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639</v>
      </c>
      <c r="C216" s="361">
        <f>C214-C215</f>
        <v>94049007</v>
      </c>
      <c r="D216" s="361">
        <f>LN_IF23-LN_IF24</f>
        <v>98834811</v>
      </c>
      <c r="E216" s="361">
        <f>D216-C216</f>
        <v>4785804</v>
      </c>
      <c r="F216" s="362">
        <f>IF(C216=0,0,E216/C216)</f>
        <v>5.0886278895002052E-2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688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689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621</v>
      </c>
      <c r="C221" s="361">
        <v>514894</v>
      </c>
      <c r="D221" s="361">
        <v>518914</v>
      </c>
      <c r="E221" s="361">
        <f t="shared" ref="E221:E230" si="24">D221-C221</f>
        <v>4020</v>
      </c>
      <c r="F221" s="362">
        <f t="shared" ref="F221:F230" si="25">IF(C221=0,0,E221/C221)</f>
        <v>7.8074322093479431E-3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622</v>
      </c>
      <c r="C222" s="361">
        <v>137047</v>
      </c>
      <c r="D222" s="361">
        <v>104982</v>
      </c>
      <c r="E222" s="361">
        <f t="shared" si="24"/>
        <v>-32065</v>
      </c>
      <c r="F222" s="362">
        <f t="shared" si="25"/>
        <v>-0.23397082752632309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623</v>
      </c>
      <c r="C223" s="366">
        <f>IF(C221=0,0,C222/C221)</f>
        <v>0.26616546318271334</v>
      </c>
      <c r="D223" s="366">
        <f>IF(LN_IG1=0,0,LN_IG2/LN_IG1)</f>
        <v>0.2023109802395002</v>
      </c>
      <c r="E223" s="367">
        <f t="shared" si="24"/>
        <v>-6.3854482943213137E-2</v>
      </c>
      <c r="F223" s="362">
        <f t="shared" si="25"/>
        <v>-0.23990521602488771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19</v>
      </c>
      <c r="D224" s="369">
        <v>15</v>
      </c>
      <c r="E224" s="369">
        <f t="shared" si="24"/>
        <v>-4</v>
      </c>
      <c r="F224" s="362">
        <f t="shared" si="25"/>
        <v>-0.21052631578947367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624</v>
      </c>
      <c r="C225" s="372">
        <v>0.86317999999999995</v>
      </c>
      <c r="D225" s="372">
        <v>0.84589999999999999</v>
      </c>
      <c r="E225" s="373">
        <f t="shared" si="24"/>
        <v>-1.7279999999999962E-2</v>
      </c>
      <c r="F225" s="362">
        <f t="shared" si="25"/>
        <v>-2.0018999513427053E-2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625</v>
      </c>
      <c r="C226" s="376">
        <f>C224*C225</f>
        <v>16.40042</v>
      </c>
      <c r="D226" s="376">
        <f>LN_IG3*LN_IG4</f>
        <v>12.688499999999999</v>
      </c>
      <c r="E226" s="376">
        <f t="shared" si="24"/>
        <v>-3.711920000000001</v>
      </c>
      <c r="F226" s="362">
        <f t="shared" si="25"/>
        <v>-0.22633078908954776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626</v>
      </c>
      <c r="C227" s="378">
        <f>IF(C226=0,0,C222/C226)</f>
        <v>8356.3103871730109</v>
      </c>
      <c r="D227" s="378">
        <f>IF(LN_IG5=0,0,LN_IG2/LN_IG5)</f>
        <v>8273.7912282775742</v>
      </c>
      <c r="E227" s="378">
        <f t="shared" si="24"/>
        <v>-82.519158895436703</v>
      </c>
      <c r="F227" s="362">
        <f t="shared" si="25"/>
        <v>-9.8750710627149678E-3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97</v>
      </c>
      <c r="D228" s="369">
        <v>68</v>
      </c>
      <c r="E228" s="369">
        <f t="shared" si="24"/>
        <v>-29</v>
      </c>
      <c r="F228" s="362">
        <f t="shared" si="25"/>
        <v>-0.29896907216494845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627</v>
      </c>
      <c r="C229" s="378">
        <f>IF(C228=0,0,C222/C228)</f>
        <v>1412.8556701030927</v>
      </c>
      <c r="D229" s="378">
        <f>IF(LN_IG6=0,0,LN_IG2/LN_IG6)</f>
        <v>1543.8529411764705</v>
      </c>
      <c r="E229" s="378">
        <f t="shared" si="24"/>
        <v>130.99727107337776</v>
      </c>
      <c r="F229" s="362">
        <f t="shared" si="25"/>
        <v>9.2718084263921446E-2</v>
      </c>
      <c r="Q229" s="330"/>
      <c r="U229" s="375"/>
    </row>
    <row r="230" spans="1:21" ht="11.25" customHeight="1" x14ac:dyDescent="0.2">
      <c r="A230" s="364">
        <v>10</v>
      </c>
      <c r="B230" s="360" t="s">
        <v>628</v>
      </c>
      <c r="C230" s="379">
        <f>IF(C224=0,0,C228/C224)</f>
        <v>5.1052631578947372</v>
      </c>
      <c r="D230" s="379">
        <f>IF(LN_IG3=0,0,LN_IG6/LN_IG3)</f>
        <v>4.5333333333333332</v>
      </c>
      <c r="E230" s="379">
        <f t="shared" si="24"/>
        <v>-0.57192982456140395</v>
      </c>
      <c r="F230" s="362">
        <f t="shared" si="25"/>
        <v>-0.11202749140893478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690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630</v>
      </c>
      <c r="C233" s="361">
        <v>357785</v>
      </c>
      <c r="D233" s="361">
        <v>394920</v>
      </c>
      <c r="E233" s="361">
        <f>D233-C233</f>
        <v>37135</v>
      </c>
      <c r="F233" s="362">
        <f>IF(C233=0,0,E233/C233)</f>
        <v>0.10379138309319844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631</v>
      </c>
      <c r="C234" s="361">
        <v>64332</v>
      </c>
      <c r="D234" s="361">
        <v>59947</v>
      </c>
      <c r="E234" s="361">
        <f>D234-C234</f>
        <v>-4385</v>
      </c>
      <c r="F234" s="362">
        <f>IF(C234=0,0,E234/C234)</f>
        <v>-6.8162034446309763E-2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691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637</v>
      </c>
      <c r="C237" s="361">
        <f>C221+C233</f>
        <v>872679</v>
      </c>
      <c r="D237" s="361">
        <f>LN_IG1+LN_IG9</f>
        <v>913834</v>
      </c>
      <c r="E237" s="361">
        <f>D237-C237</f>
        <v>41155</v>
      </c>
      <c r="F237" s="362">
        <f>IF(C237=0,0,E237/C237)</f>
        <v>4.7159379336502882E-2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638</v>
      </c>
      <c r="C238" s="361">
        <f>C222+C234</f>
        <v>201379</v>
      </c>
      <c r="D238" s="361">
        <f>LN_IG2+LN_IG10</f>
        <v>164929</v>
      </c>
      <c r="E238" s="361">
        <f>D238-C238</f>
        <v>-36450</v>
      </c>
      <c r="F238" s="362">
        <f>IF(C238=0,0,E238/C238)</f>
        <v>-0.18100199127019204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639</v>
      </c>
      <c r="C239" s="361">
        <f>C237-C238</f>
        <v>671300</v>
      </c>
      <c r="D239" s="361">
        <f>LN_IG13-LN_IG14</f>
        <v>748905</v>
      </c>
      <c r="E239" s="361">
        <f>D239-C239</f>
        <v>77605</v>
      </c>
      <c r="F239" s="362">
        <f>IF(C239=0,0,E239/C239)</f>
        <v>0.11560405183971399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692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693</v>
      </c>
      <c r="C243" s="361">
        <v>12324861</v>
      </c>
      <c r="D243" s="361">
        <v>20310592</v>
      </c>
      <c r="E243" s="353">
        <f>D243-C243</f>
        <v>7985731</v>
      </c>
      <c r="F243" s="415">
        <f>IF(C243=0,0,E243/C243)</f>
        <v>0.64793680026087108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694</v>
      </c>
      <c r="C244" s="361">
        <v>338475864</v>
      </c>
      <c r="D244" s="361">
        <v>361951445</v>
      </c>
      <c r="E244" s="353">
        <f>D244-C244</f>
        <v>23475581</v>
      </c>
      <c r="F244" s="415">
        <f>IF(C244=0,0,E244/C244)</f>
        <v>6.9356735581004386E-2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695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696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697</v>
      </c>
      <c r="C248" s="353">
        <v>17327000</v>
      </c>
      <c r="D248" s="353">
        <v>17929000</v>
      </c>
      <c r="E248" s="353">
        <f>D248-C248</f>
        <v>602000</v>
      </c>
      <c r="F248" s="362">
        <f>IF(C248=0,0,E248/C248)</f>
        <v>3.4743463957984645E-2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698</v>
      </c>
      <c r="C249" s="353">
        <v>20654069</v>
      </c>
      <c r="D249" s="353">
        <v>23530477</v>
      </c>
      <c r="E249" s="353">
        <f>D249-C249</f>
        <v>2876408</v>
      </c>
      <c r="F249" s="362">
        <f>IF(C249=0,0,E249/C249)</f>
        <v>0.13926592382353328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699</v>
      </c>
      <c r="C250" s="353">
        <f>C248+C249</f>
        <v>37981069</v>
      </c>
      <c r="D250" s="353">
        <f>LN_IH4+LN_IH5</f>
        <v>41459477</v>
      </c>
      <c r="E250" s="353">
        <f>D250-C250</f>
        <v>3478408</v>
      </c>
      <c r="F250" s="362">
        <f>IF(C250=0,0,E250/C250)</f>
        <v>9.1582677675554627E-2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700</v>
      </c>
      <c r="C251" s="353">
        <f>C250*C313</f>
        <v>13950104.782463057</v>
      </c>
      <c r="D251" s="353">
        <f>LN_IH6*LN_III10</f>
        <v>14412817.048669579</v>
      </c>
      <c r="E251" s="353">
        <f>D251-C251</f>
        <v>462712.26620652154</v>
      </c>
      <c r="F251" s="362">
        <f>IF(C251=0,0,E251/C251)</f>
        <v>3.3169088936751641E-2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701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637</v>
      </c>
      <c r="C254" s="353">
        <f>C188+C203</f>
        <v>126223898</v>
      </c>
      <c r="D254" s="353">
        <f>LN_IF23</f>
        <v>135076393</v>
      </c>
      <c r="E254" s="353">
        <f>D254-C254</f>
        <v>8852495</v>
      </c>
      <c r="F254" s="362">
        <f>IF(C254=0,0,E254/C254)</f>
        <v>7.0133272227102347E-2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638</v>
      </c>
      <c r="C255" s="353">
        <f>C189+C204</f>
        <v>32174891</v>
      </c>
      <c r="D255" s="353">
        <f>LN_IF24</f>
        <v>36241582</v>
      </c>
      <c r="E255" s="353">
        <f>D255-C255</f>
        <v>4066691</v>
      </c>
      <c r="F255" s="362">
        <f>IF(C255=0,0,E255/C255)</f>
        <v>0.12639331085845792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702</v>
      </c>
      <c r="C256" s="353">
        <f>C254*C313</f>
        <v>46360901.615247563</v>
      </c>
      <c r="D256" s="353">
        <f>LN_IH8*LN_III10</f>
        <v>46957450.522185601</v>
      </c>
      <c r="E256" s="353">
        <f>D256-C256</f>
        <v>596548.90693803877</v>
      </c>
      <c r="F256" s="362">
        <f>IF(C256=0,0,E256/C256)</f>
        <v>1.2867500116560304E-2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703</v>
      </c>
      <c r="C257" s="353">
        <f>C256-C255</f>
        <v>14186010.615247563</v>
      </c>
      <c r="D257" s="353">
        <f>LN_IH10-LN_IH9</f>
        <v>10715868.522185601</v>
      </c>
      <c r="E257" s="353">
        <f>D257-C257</f>
        <v>-3470142.0930619612</v>
      </c>
      <c r="F257" s="362">
        <f>IF(C257=0,0,E257/C257)</f>
        <v>-0.24461719275270705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704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705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706</v>
      </c>
      <c r="C261" s="361">
        <f>C15+C42+C188+C221</f>
        <v>456194748</v>
      </c>
      <c r="D261" s="361">
        <f>LN_IA1+LN_IB1+LN_IF1+LN_IG1</f>
        <v>473961549</v>
      </c>
      <c r="E261" s="361">
        <f t="shared" ref="E261:E274" si="26">D261-C261</f>
        <v>17766801</v>
      </c>
      <c r="F261" s="415">
        <f t="shared" ref="F261:F274" si="27">IF(C261=0,0,E261/C261)</f>
        <v>3.8945650027518514E-2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707</v>
      </c>
      <c r="C262" s="361">
        <f>C16+C43+C189+C222</f>
        <v>166063306</v>
      </c>
      <c r="D262" s="361">
        <f>+LN_IA2+LN_IB2+LN_IF2+LN_IG2</f>
        <v>172234349</v>
      </c>
      <c r="E262" s="361">
        <f t="shared" si="26"/>
        <v>6171043</v>
      </c>
      <c r="F262" s="415">
        <f t="shared" si="27"/>
        <v>3.7160786140196439E-2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708</v>
      </c>
      <c r="C263" s="366">
        <f>IF(C261=0,0,C262/C261)</f>
        <v>0.36401845204934274</v>
      </c>
      <c r="D263" s="366">
        <f>IF(LN_IIA1=0,0,LN_IIA2/LN_IIA1)</f>
        <v>0.36339308402420634</v>
      </c>
      <c r="E263" s="367">
        <f t="shared" si="26"/>
        <v>-6.2536802513640799E-4</v>
      </c>
      <c r="F263" s="371">
        <f t="shared" si="27"/>
        <v>-1.7179569376654547E-3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709</v>
      </c>
      <c r="C264" s="369">
        <f>C18+C45+C191+C224</f>
        <v>14878</v>
      </c>
      <c r="D264" s="369">
        <f>LN_IA4+LN_IB4+LN_IF4+LN_IG3</f>
        <v>15003</v>
      </c>
      <c r="E264" s="369">
        <f t="shared" si="26"/>
        <v>125</v>
      </c>
      <c r="F264" s="415">
        <f t="shared" si="27"/>
        <v>8.4016668907111163E-3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710</v>
      </c>
      <c r="C265" s="439">
        <f>IF(C264=0,0,C266/C264)</f>
        <v>1.1728776240086036</v>
      </c>
      <c r="D265" s="439">
        <f>IF(LN_IIA4=0,0,LN_IIA6/LN_IIA4)</f>
        <v>1.1303147770445909</v>
      </c>
      <c r="E265" s="439">
        <f t="shared" si="26"/>
        <v>-4.2562846964012691E-2</v>
      </c>
      <c r="F265" s="415">
        <f t="shared" si="27"/>
        <v>-3.6289247993787688E-2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711</v>
      </c>
      <c r="C266" s="376">
        <f>C20+C47+C193+C226</f>
        <v>17450.073290000004</v>
      </c>
      <c r="D266" s="376">
        <f>LN_IA6+LN_IB6+LN_IF6+LN_IG5</f>
        <v>16958.112599999997</v>
      </c>
      <c r="E266" s="376">
        <f t="shared" si="26"/>
        <v>-491.96069000000716</v>
      </c>
      <c r="F266" s="415">
        <f t="shared" si="27"/>
        <v>-2.8192471276434795E-2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712</v>
      </c>
      <c r="C267" s="361">
        <f>C27+C56+C203+C233</f>
        <v>397763358</v>
      </c>
      <c r="D267" s="361">
        <f>LN_IA11+LN_IB13+LN_IF14+LN_IG9</f>
        <v>434996813</v>
      </c>
      <c r="E267" s="361">
        <f t="shared" si="26"/>
        <v>37233455</v>
      </c>
      <c r="F267" s="415">
        <f t="shared" si="27"/>
        <v>9.3607051155275095E-2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633</v>
      </c>
      <c r="C268" s="366">
        <f>IF(C261=0,0,C267/C261)</f>
        <v>0.87191568895484084</v>
      </c>
      <c r="D268" s="366">
        <f>IF(LN_IIA1=0,0,LN_IIA7/LN_IIA1)</f>
        <v>0.91778924665469008</v>
      </c>
      <c r="E268" s="367">
        <f t="shared" si="26"/>
        <v>4.5873557699849243E-2</v>
      </c>
      <c r="F268" s="371">
        <f t="shared" si="27"/>
        <v>5.2612377872036632E-2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713</v>
      </c>
      <c r="C269" s="361">
        <f>C28+C57+C204+C234</f>
        <v>160985907</v>
      </c>
      <c r="D269" s="361">
        <f>LN_IA12+LN_IB14+LN_IF15+LN_IG10</f>
        <v>163296718</v>
      </c>
      <c r="E269" s="361">
        <f t="shared" si="26"/>
        <v>2310811</v>
      </c>
      <c r="F269" s="415">
        <f t="shared" si="27"/>
        <v>1.4354119829880512E-2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632</v>
      </c>
      <c r="C270" s="366">
        <f>IF(C267=0,0,C269/C267)</f>
        <v>0.40472784574591208</v>
      </c>
      <c r="D270" s="366">
        <f>IF(LN_IIA7=0,0,LN_IIA9/LN_IIA7)</f>
        <v>0.3753975043490721</v>
      </c>
      <c r="E270" s="367">
        <f t="shared" si="26"/>
        <v>-2.9330341396839987E-2</v>
      </c>
      <c r="F270" s="371">
        <f t="shared" si="27"/>
        <v>-7.246929437924951E-2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714</v>
      </c>
      <c r="C271" s="353">
        <f>C261+C267</f>
        <v>853958106</v>
      </c>
      <c r="D271" s="353">
        <f>LN_IIA1+LN_IIA7</f>
        <v>908958362</v>
      </c>
      <c r="E271" s="353">
        <f t="shared" si="26"/>
        <v>55000256</v>
      </c>
      <c r="F271" s="415">
        <f t="shared" si="27"/>
        <v>6.4406269597492405E-2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715</v>
      </c>
      <c r="C272" s="353">
        <f>C262+C269</f>
        <v>327049213</v>
      </c>
      <c r="D272" s="353">
        <f>LN_IIA2+LN_IIA9</f>
        <v>335531067</v>
      </c>
      <c r="E272" s="353">
        <f t="shared" si="26"/>
        <v>8481854</v>
      </c>
      <c r="F272" s="415">
        <f t="shared" si="27"/>
        <v>2.593448833646941E-2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716</v>
      </c>
      <c r="C273" s="366">
        <f>IF(C271=0,0,C272/C271)</f>
        <v>0.38298039529353678</v>
      </c>
      <c r="D273" s="366">
        <f>IF(LN_IIA11=0,0,LN_IIA12/LN_IIA11)</f>
        <v>0.36913799468407332</v>
      </c>
      <c r="E273" s="367">
        <f t="shared" si="26"/>
        <v>-1.3842400609463457E-2</v>
      </c>
      <c r="F273" s="371">
        <f t="shared" si="27"/>
        <v>-3.6143888250086263E-2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70355</v>
      </c>
      <c r="D274" s="421">
        <f>LN_IA8+LN_IB10+LN_IF11+LN_IG6</f>
        <v>67341</v>
      </c>
      <c r="E274" s="442">
        <f t="shared" si="26"/>
        <v>-3014</v>
      </c>
      <c r="F274" s="371">
        <f t="shared" si="27"/>
        <v>-4.2839883448226847E-2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717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718</v>
      </c>
      <c r="C277" s="361">
        <f>C15+C188+C221</f>
        <v>316351890</v>
      </c>
      <c r="D277" s="361">
        <f>LN_IA1+LN_IF1+LN_IG1</f>
        <v>327514796</v>
      </c>
      <c r="E277" s="361">
        <f t="shared" ref="E277:E291" si="28">D277-C277</f>
        <v>11162906</v>
      </c>
      <c r="F277" s="415">
        <f t="shared" ref="F277:F291" si="29">IF(C277=0,0,E277/C277)</f>
        <v>3.5286357859281324E-2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719</v>
      </c>
      <c r="C278" s="361">
        <f>C16+C189+C222</f>
        <v>93005053</v>
      </c>
      <c r="D278" s="361">
        <f>LN_IA2+LN_IF2+LN_IG2</f>
        <v>96856031</v>
      </c>
      <c r="E278" s="361">
        <f t="shared" si="28"/>
        <v>3850978</v>
      </c>
      <c r="F278" s="415">
        <f t="shared" si="29"/>
        <v>4.1406115859102838E-2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720</v>
      </c>
      <c r="C279" s="366">
        <f>IF(C277=0,0,C278/C277)</f>
        <v>0.29399240510306418</v>
      </c>
      <c r="D279" s="366">
        <f>IF(D277=0,0,LN_IIB2/D277)</f>
        <v>0.29573024542072901</v>
      </c>
      <c r="E279" s="367">
        <f t="shared" si="28"/>
        <v>1.7378403176648294E-3</v>
      </c>
      <c r="F279" s="371">
        <f t="shared" si="29"/>
        <v>5.9111741919169614E-3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721</v>
      </c>
      <c r="C280" s="369">
        <f>C18+C191+C224</f>
        <v>9105</v>
      </c>
      <c r="D280" s="369">
        <f>LN_IA4+LN_IF4+LN_IG3</f>
        <v>9204</v>
      </c>
      <c r="E280" s="369">
        <f t="shared" si="28"/>
        <v>99</v>
      </c>
      <c r="F280" s="415">
        <f t="shared" si="29"/>
        <v>1.0873146622734762E-2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722</v>
      </c>
      <c r="C281" s="439">
        <f>IF(C280=0,0,C282/C280)</f>
        <v>1.2538629697968149</v>
      </c>
      <c r="D281" s="439">
        <f>IF(LN_IIB4=0,0,LN_IIB6/LN_IIB4)</f>
        <v>1.2104667209908735</v>
      </c>
      <c r="E281" s="439">
        <f t="shared" si="28"/>
        <v>-4.3396248805941395E-2</v>
      </c>
      <c r="F281" s="415">
        <f t="shared" si="29"/>
        <v>-3.4610041010281721E-2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723</v>
      </c>
      <c r="C282" s="376">
        <f>C20+C193+C226</f>
        <v>11416.422339999999</v>
      </c>
      <c r="D282" s="376">
        <f>LN_IA6+LN_IF6+LN_IG5</f>
        <v>11141.135699999999</v>
      </c>
      <c r="E282" s="376">
        <f t="shared" si="28"/>
        <v>-275.28664000000026</v>
      </c>
      <c r="F282" s="415">
        <f t="shared" si="29"/>
        <v>-2.4113214438070647E-2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724</v>
      </c>
      <c r="C283" s="361">
        <f>C27+C203+C233</f>
        <v>165954701</v>
      </c>
      <c r="D283" s="361">
        <f>LN_IA11+LN_IF14+LN_IG9</f>
        <v>182265741</v>
      </c>
      <c r="E283" s="361">
        <f t="shared" si="28"/>
        <v>16311040</v>
      </c>
      <c r="F283" s="415">
        <f t="shared" si="29"/>
        <v>9.8286097963564162E-2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725</v>
      </c>
      <c r="C284" s="366">
        <f>IF(C277=0,0,C283/C277)</f>
        <v>0.52458893480927205</v>
      </c>
      <c r="D284" s="366">
        <f>IF(D277=0,0,LN_IIB7/D277)</f>
        <v>0.55651147131685619</v>
      </c>
      <c r="E284" s="367">
        <f t="shared" si="28"/>
        <v>3.1922536507584143E-2</v>
      </c>
      <c r="F284" s="371">
        <f t="shared" si="29"/>
        <v>6.085247779614416E-2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726</v>
      </c>
      <c r="C285" s="361">
        <f>C28+C204+C234</f>
        <v>37403052</v>
      </c>
      <c r="D285" s="361">
        <f>LN_IA12+LN_IF15+LN_IG10</f>
        <v>37225248</v>
      </c>
      <c r="E285" s="361">
        <f t="shared" si="28"/>
        <v>-177804</v>
      </c>
      <c r="F285" s="415">
        <f t="shared" si="29"/>
        <v>-4.7537297223766662E-3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727</v>
      </c>
      <c r="C286" s="366">
        <f>IF(C283=0,0,C285/C283)</f>
        <v>0.2253810936033683</v>
      </c>
      <c r="D286" s="366">
        <f>IF(LN_IIB7=0,0,LN_IIB9/LN_IIB7)</f>
        <v>0.20423612136742691</v>
      </c>
      <c r="E286" s="367">
        <f t="shared" si="28"/>
        <v>-2.1144972235941389E-2</v>
      </c>
      <c r="F286" s="371">
        <f t="shared" si="29"/>
        <v>-9.3818748937090871E-2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728</v>
      </c>
      <c r="C287" s="353">
        <f>C277+C283</f>
        <v>482306591</v>
      </c>
      <c r="D287" s="353">
        <f>D277+LN_IIB7</f>
        <v>509780537</v>
      </c>
      <c r="E287" s="353">
        <f t="shared" si="28"/>
        <v>27473946</v>
      </c>
      <c r="F287" s="415">
        <f t="shared" si="29"/>
        <v>5.6963654473467483E-2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729</v>
      </c>
      <c r="C288" s="353">
        <f>C278+C285</f>
        <v>130408105</v>
      </c>
      <c r="D288" s="353">
        <f>LN_IIB2+LN_IIB9</f>
        <v>134081279</v>
      </c>
      <c r="E288" s="353">
        <f t="shared" si="28"/>
        <v>3673174</v>
      </c>
      <c r="F288" s="415">
        <f t="shared" si="29"/>
        <v>2.8166761567465459E-2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730</v>
      </c>
      <c r="C289" s="366">
        <f>IF(C287=0,0,C288/C287)</f>
        <v>0.27038424818042761</v>
      </c>
      <c r="D289" s="366">
        <f>IF(LN_IIB11=0,0,LN_IIB12/LN_IIB11)</f>
        <v>0.26301765027957513</v>
      </c>
      <c r="E289" s="367">
        <f t="shared" si="28"/>
        <v>-7.3665979008524785E-3</v>
      </c>
      <c r="F289" s="371">
        <f t="shared" si="29"/>
        <v>-2.7244922551615293E-2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49995</v>
      </c>
      <c r="D290" s="421">
        <f>LN_IA8+LN_IF11+LN_IG6</f>
        <v>47130</v>
      </c>
      <c r="E290" s="442">
        <f t="shared" si="28"/>
        <v>-2865</v>
      </c>
      <c r="F290" s="371">
        <f t="shared" si="29"/>
        <v>-5.7305730573057309E-2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731</v>
      </c>
      <c r="C291" s="361">
        <f>C287-C288</f>
        <v>351898486</v>
      </c>
      <c r="D291" s="429">
        <f>LN_IIB11-LN_IIB12</f>
        <v>375699258</v>
      </c>
      <c r="E291" s="353">
        <f t="shared" si="28"/>
        <v>23800772</v>
      </c>
      <c r="F291" s="415">
        <f t="shared" si="29"/>
        <v>6.7635335038071176E-2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628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619</v>
      </c>
      <c r="C294" s="379">
        <f>IF(C18=0,0,C22/C18)</f>
        <v>6.2230359520639151</v>
      </c>
      <c r="D294" s="379">
        <f>IF(LN_IA4=0,0,LN_IA8/LN_IA4)</f>
        <v>5.7354807223035627</v>
      </c>
      <c r="E294" s="379">
        <f t="shared" ref="E294:E300" si="30">D294-C294</f>
        <v>-0.48755522976035248</v>
      </c>
      <c r="F294" s="415">
        <f t="shared" ref="F294:F300" si="31">IF(C294=0,0,E294/C294)</f>
        <v>-7.8346844452770875E-2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640</v>
      </c>
      <c r="C295" s="379">
        <f>IF(C45=0,0,C51/C45)</f>
        <v>3.5267625151567641</v>
      </c>
      <c r="D295" s="379">
        <f>IF(LN_IB4=0,0,(LN_IB10)/(LN_IB4))</f>
        <v>3.4852560786342472</v>
      </c>
      <c r="E295" s="379">
        <f t="shared" si="30"/>
        <v>-4.1506436522516843E-2</v>
      </c>
      <c r="F295" s="415">
        <f t="shared" si="31"/>
        <v>-1.1768991063088888E-2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655</v>
      </c>
      <c r="C296" s="379">
        <f>IF(C86=0,0,C93/C86)</f>
        <v>3.3408071748878925</v>
      </c>
      <c r="D296" s="379">
        <f>IF(LN_IC4=0,0,LN_IC11/LN_IC4)</f>
        <v>3.161048689138577</v>
      </c>
      <c r="E296" s="379">
        <f t="shared" si="30"/>
        <v>-0.17975848574931552</v>
      </c>
      <c r="F296" s="415">
        <f t="shared" si="31"/>
        <v>-5.3806902445768266E-2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4.0631994733377219</v>
      </c>
      <c r="D297" s="379">
        <f>IF(LN_ID4=0,0,LN_ID11/LN_ID4)</f>
        <v>3.8670886075949369</v>
      </c>
      <c r="E297" s="379">
        <f t="shared" si="30"/>
        <v>-0.19611086574278502</v>
      </c>
      <c r="F297" s="415">
        <f t="shared" si="31"/>
        <v>-4.8265133678433325E-2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732</v>
      </c>
      <c r="C298" s="379">
        <f>IF(C156=0,0,C163/C156)</f>
        <v>4.1500000000000004</v>
      </c>
      <c r="D298" s="379">
        <f>IF(LN_IE4=0,0,LN_IE11/LN_IE4)</f>
        <v>4.9249999999999998</v>
      </c>
      <c r="E298" s="379">
        <f t="shared" si="30"/>
        <v>0.77499999999999947</v>
      </c>
      <c r="F298" s="415">
        <f t="shared" si="31"/>
        <v>0.18674698795180708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5.1052631578947372</v>
      </c>
      <c r="D299" s="379">
        <f>IF(LN_IG3=0,0,LN_IG6/LN_IG3)</f>
        <v>4.5333333333333332</v>
      </c>
      <c r="E299" s="379">
        <f t="shared" si="30"/>
        <v>-0.57192982456140395</v>
      </c>
      <c r="F299" s="415">
        <f t="shared" si="31"/>
        <v>-0.11202749140893478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733</v>
      </c>
      <c r="C300" s="379">
        <f>IF(C264=0,0,C274/C264)</f>
        <v>4.728794192767845</v>
      </c>
      <c r="D300" s="379">
        <f>IF(LN_IIA4=0,0,LN_IIA14/LN_IIA4)</f>
        <v>4.4885022995400918</v>
      </c>
      <c r="E300" s="379">
        <f t="shared" si="30"/>
        <v>-0.24029189322775313</v>
      </c>
      <c r="F300" s="415">
        <f t="shared" si="31"/>
        <v>-5.0814622804953608E-2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734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728</v>
      </c>
      <c r="C304" s="353">
        <f>C35+C66+C214+C221+C233</f>
        <v>853958106</v>
      </c>
      <c r="D304" s="353">
        <f>LN_IIA11</f>
        <v>908958362</v>
      </c>
      <c r="E304" s="353">
        <f t="shared" ref="E304:E316" si="32">D304-C304</f>
        <v>55000256</v>
      </c>
      <c r="F304" s="362">
        <f>IF(C304=0,0,E304/C304)</f>
        <v>6.4406269597492405E-2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731</v>
      </c>
      <c r="C305" s="353">
        <f>C291</f>
        <v>351898486</v>
      </c>
      <c r="D305" s="353">
        <f>LN_IIB14</f>
        <v>375699258</v>
      </c>
      <c r="E305" s="353">
        <f t="shared" si="32"/>
        <v>23800772</v>
      </c>
      <c r="F305" s="362">
        <f>IF(C305=0,0,E305/C305)</f>
        <v>6.7635335038071176E-2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735</v>
      </c>
      <c r="C306" s="353">
        <f>C250</f>
        <v>37981069</v>
      </c>
      <c r="D306" s="353">
        <f>LN_IH6</f>
        <v>41459477</v>
      </c>
      <c r="E306" s="353">
        <f t="shared" si="32"/>
        <v>3478408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736</v>
      </c>
      <c r="C307" s="353">
        <f>C73-C74</f>
        <v>140584500</v>
      </c>
      <c r="D307" s="353">
        <f>LN_IB32-LN_IB33</f>
        <v>164825999</v>
      </c>
      <c r="E307" s="353">
        <f t="shared" si="32"/>
        <v>24241499</v>
      </c>
      <c r="F307" s="362">
        <f t="shared" ref="F307:F316" si="33">IF(C307=0,0,E307/C307)</f>
        <v>0.17243365378117786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737</v>
      </c>
      <c r="C308" s="353">
        <v>9842925</v>
      </c>
      <c r="D308" s="353">
        <v>10986753</v>
      </c>
      <c r="E308" s="353">
        <f t="shared" si="32"/>
        <v>1143828</v>
      </c>
      <c r="F308" s="362">
        <f t="shared" si="33"/>
        <v>0.11620813934882161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738</v>
      </c>
      <c r="C309" s="353">
        <f>C305+C307+C308+C306</f>
        <v>540306980</v>
      </c>
      <c r="D309" s="353">
        <f>LN_III2+LN_III3+LN_III4+LN_III5</f>
        <v>592971487</v>
      </c>
      <c r="E309" s="353">
        <f t="shared" si="32"/>
        <v>52664507</v>
      </c>
      <c r="F309" s="362">
        <f t="shared" si="33"/>
        <v>9.747145409818693E-2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739</v>
      </c>
      <c r="C310" s="353">
        <f>C304-C309</f>
        <v>313651126</v>
      </c>
      <c r="D310" s="353">
        <f>LN_III1-LN_III6</f>
        <v>315986875</v>
      </c>
      <c r="E310" s="353">
        <f t="shared" si="32"/>
        <v>2335749</v>
      </c>
      <c r="F310" s="362">
        <f t="shared" si="33"/>
        <v>7.4469651353969634E-3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740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741</v>
      </c>
      <c r="C312" s="353">
        <f>C310+C311</f>
        <v>313651126</v>
      </c>
      <c r="D312" s="353">
        <f>LN_III7+LN_III8</f>
        <v>315986875</v>
      </c>
      <c r="E312" s="353">
        <f t="shared" si="32"/>
        <v>2335749</v>
      </c>
      <c r="F312" s="362">
        <f t="shared" si="33"/>
        <v>7.4469651353969634E-3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742</v>
      </c>
      <c r="C313" s="448">
        <f>IF(C304=0,0,C312/C304)</f>
        <v>0.36729099916758678</v>
      </c>
      <c r="D313" s="448">
        <f>IF(LN_III1=0,0,LN_III9/LN_III1)</f>
        <v>0.34763624849077518</v>
      </c>
      <c r="E313" s="448">
        <f t="shared" si="32"/>
        <v>-1.9654750676811605E-2</v>
      </c>
      <c r="F313" s="362">
        <f t="shared" si="33"/>
        <v>-5.3512747988260875E-2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700</v>
      </c>
      <c r="C314" s="353">
        <f>C306*C313</f>
        <v>13950104.782463057</v>
      </c>
      <c r="D314" s="353">
        <f>D313*LN_III5</f>
        <v>14412817.048669579</v>
      </c>
      <c r="E314" s="353">
        <f t="shared" si="32"/>
        <v>462712.26620652154</v>
      </c>
      <c r="F314" s="362">
        <f t="shared" si="33"/>
        <v>3.3169088936751641E-2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703</v>
      </c>
      <c r="C315" s="353">
        <f>(C214*C313)-C215</f>
        <v>14186010.615247563</v>
      </c>
      <c r="D315" s="353">
        <f>D313*LN_IH8-LN_IH9</f>
        <v>10715868.522185601</v>
      </c>
      <c r="E315" s="353">
        <f t="shared" si="32"/>
        <v>-3470142.0930619612</v>
      </c>
      <c r="F315" s="362">
        <f t="shared" si="33"/>
        <v>-0.24461719275270705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743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744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745</v>
      </c>
      <c r="C318" s="353">
        <f>C314+C315+C316</f>
        <v>28136115.397710621</v>
      </c>
      <c r="D318" s="353">
        <f>D314+D315+D316</f>
        <v>25128685.570855178</v>
      </c>
      <c r="E318" s="353">
        <f>D318-C318</f>
        <v>-3007429.8268554434</v>
      </c>
      <c r="F318" s="362">
        <f>IF(C318=0,0,E318/C318)</f>
        <v>-0.10688859440419241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746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5099565.1275680391</v>
      </c>
      <c r="D322" s="353">
        <f>LN_ID22</f>
        <v>1013296.7669700674</v>
      </c>
      <c r="E322" s="353">
        <f>LN_IV2-C322</f>
        <v>-4086268.3605979718</v>
      </c>
      <c r="F322" s="362">
        <f>IF(C322=0,0,E322/C322)</f>
        <v>-0.80129741622629214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732</v>
      </c>
      <c r="C323" s="353">
        <f>C162+C176</f>
        <v>-13963.017903490831</v>
      </c>
      <c r="D323" s="353">
        <f>LN_IE10+LN_IE22</f>
        <v>-158884.51381129847</v>
      </c>
      <c r="E323" s="353">
        <f>LN_IV3-C323</f>
        <v>-144921.49590780764</v>
      </c>
      <c r="F323" s="362">
        <f>IF(C323=0,0,E323/C323)</f>
        <v>10.378952237222046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747</v>
      </c>
      <c r="C324" s="353">
        <f>C92+C106</f>
        <v>8534063.6274350099</v>
      </c>
      <c r="D324" s="353">
        <f>LN_IC10+LN_IC22</f>
        <v>8668419.9696439877</v>
      </c>
      <c r="E324" s="353">
        <f>LN_IV1-C324</f>
        <v>134356.34220897779</v>
      </c>
      <c r="F324" s="362">
        <f>IF(C324=0,0,E324/C324)</f>
        <v>1.5743536499663972E-2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748</v>
      </c>
      <c r="C325" s="429">
        <f>C324+C322+C323</f>
        <v>13619665.73709956</v>
      </c>
      <c r="D325" s="429">
        <f>LN_IV1+LN_IV2+LN_IV3</f>
        <v>9522832.2228027582</v>
      </c>
      <c r="E325" s="353">
        <f>LN_IV4-C325</f>
        <v>-4096833.5142968018</v>
      </c>
      <c r="F325" s="362">
        <f>IF(C325=0,0,E325/C325)</f>
        <v>-0.300802794530937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749</v>
      </c>
      <c r="B327" s="446" t="s">
        <v>750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751</v>
      </c>
      <c r="C329" s="431">
        <v>14007490</v>
      </c>
      <c r="D329" s="431">
        <v>15544363</v>
      </c>
      <c r="E329" s="431">
        <f t="shared" ref="E329:E335" si="34">D329-C329</f>
        <v>1536873</v>
      </c>
      <c r="F329" s="462">
        <f t="shared" ref="F329:F335" si="35">IF(C329=0,0,E329/C329)</f>
        <v>0.10971794375723273</v>
      </c>
    </row>
    <row r="330" spans="1:22" s="333" customFormat="1" ht="11.25" customHeight="1" x14ac:dyDescent="0.2">
      <c r="A330" s="364">
        <v>2</v>
      </c>
      <c r="B330" s="360" t="s">
        <v>752</v>
      </c>
      <c r="C330" s="429">
        <v>23544847</v>
      </c>
      <c r="D330" s="429">
        <v>27736810</v>
      </c>
      <c r="E330" s="431">
        <f t="shared" si="34"/>
        <v>4191963</v>
      </c>
      <c r="F330" s="463">
        <f t="shared" si="35"/>
        <v>0.17804163263409611</v>
      </c>
    </row>
    <row r="331" spans="1:22" s="333" customFormat="1" ht="11.25" customHeight="1" x14ac:dyDescent="0.2">
      <c r="A331" s="339">
        <v>3</v>
      </c>
      <c r="B331" s="360" t="s">
        <v>753</v>
      </c>
      <c r="C331" s="429">
        <v>350594448</v>
      </c>
      <c r="D331" s="429">
        <v>363267877</v>
      </c>
      <c r="E331" s="431">
        <f t="shared" si="34"/>
        <v>12673429</v>
      </c>
      <c r="F331" s="462">
        <f t="shared" si="35"/>
        <v>3.614840187087047E-2</v>
      </c>
    </row>
    <row r="332" spans="1:22" s="333" customFormat="1" ht="11.25" customHeight="1" x14ac:dyDescent="0.2">
      <c r="A332" s="364">
        <v>4</v>
      </c>
      <c r="B332" s="360" t="s">
        <v>754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755</v>
      </c>
      <c r="C333" s="429">
        <v>853958106</v>
      </c>
      <c r="D333" s="429">
        <v>908958362</v>
      </c>
      <c r="E333" s="431">
        <f t="shared" si="34"/>
        <v>55000256</v>
      </c>
      <c r="F333" s="462">
        <f t="shared" si="35"/>
        <v>6.4406269597492405E-2</v>
      </c>
    </row>
    <row r="334" spans="1:22" s="333" customFormat="1" ht="11.25" customHeight="1" x14ac:dyDescent="0.2">
      <c r="A334" s="339">
        <v>6</v>
      </c>
      <c r="B334" s="360" t="s">
        <v>756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757</v>
      </c>
      <c r="C335" s="429">
        <v>37981069</v>
      </c>
      <c r="D335" s="429">
        <v>41459477</v>
      </c>
      <c r="E335" s="429">
        <f t="shared" si="34"/>
        <v>3478408</v>
      </c>
      <c r="F335" s="462">
        <f t="shared" si="35"/>
        <v>9.1582677675554627E-2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FILING&amp;RNORWALK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610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758</v>
      </c>
      <c r="B5" s="710"/>
      <c r="C5" s="710"/>
      <c r="D5" s="710"/>
      <c r="E5" s="710"/>
    </row>
    <row r="6" spans="1:5" s="338" customFormat="1" ht="15.75" customHeight="1" x14ac:dyDescent="0.25">
      <c r="A6" s="710" t="s">
        <v>759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760</v>
      </c>
      <c r="D9" s="494" t="s">
        <v>761</v>
      </c>
      <c r="E9" s="495" t="s">
        <v>762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763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764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640</v>
      </c>
      <c r="C14" s="513">
        <v>139842858</v>
      </c>
      <c r="D14" s="513">
        <v>146446753</v>
      </c>
      <c r="E14" s="514">
        <f t="shared" ref="E14:E22" si="0">D14-C14</f>
        <v>6603895</v>
      </c>
    </row>
    <row r="15" spans="1:5" s="506" customFormat="1" x14ac:dyDescent="0.2">
      <c r="A15" s="512">
        <v>2</v>
      </c>
      <c r="B15" s="511" t="s">
        <v>619</v>
      </c>
      <c r="C15" s="513">
        <v>242274230</v>
      </c>
      <c r="D15" s="515">
        <v>249956905</v>
      </c>
      <c r="E15" s="514">
        <f t="shared" si="0"/>
        <v>7682675</v>
      </c>
    </row>
    <row r="16" spans="1:5" s="506" customFormat="1" x14ac:dyDescent="0.2">
      <c r="A16" s="512">
        <v>3</v>
      </c>
      <c r="B16" s="511" t="s">
        <v>765</v>
      </c>
      <c r="C16" s="513">
        <v>73562766</v>
      </c>
      <c r="D16" s="515">
        <v>77038977</v>
      </c>
      <c r="E16" s="514">
        <f t="shared" si="0"/>
        <v>3476211</v>
      </c>
    </row>
    <row r="17" spans="1:5" s="506" customFormat="1" x14ac:dyDescent="0.2">
      <c r="A17" s="512">
        <v>4</v>
      </c>
      <c r="B17" s="511" t="s">
        <v>114</v>
      </c>
      <c r="C17" s="513">
        <v>72509396</v>
      </c>
      <c r="D17" s="515">
        <v>75819360</v>
      </c>
      <c r="E17" s="514">
        <f t="shared" si="0"/>
        <v>3309964</v>
      </c>
    </row>
    <row r="18" spans="1:5" s="506" customFormat="1" x14ac:dyDescent="0.2">
      <c r="A18" s="512">
        <v>5</v>
      </c>
      <c r="B18" s="511" t="s">
        <v>732</v>
      </c>
      <c r="C18" s="513">
        <v>1053370</v>
      </c>
      <c r="D18" s="515">
        <v>1219617</v>
      </c>
      <c r="E18" s="514">
        <f t="shared" si="0"/>
        <v>166247</v>
      </c>
    </row>
    <row r="19" spans="1:5" s="506" customFormat="1" x14ac:dyDescent="0.2">
      <c r="A19" s="512">
        <v>6</v>
      </c>
      <c r="B19" s="511" t="s">
        <v>430</v>
      </c>
      <c r="C19" s="513">
        <v>514894</v>
      </c>
      <c r="D19" s="515">
        <v>518914</v>
      </c>
      <c r="E19" s="514">
        <f t="shared" si="0"/>
        <v>4020</v>
      </c>
    </row>
    <row r="20" spans="1:5" s="506" customFormat="1" x14ac:dyDescent="0.2">
      <c r="A20" s="512">
        <v>7</v>
      </c>
      <c r="B20" s="511" t="s">
        <v>747</v>
      </c>
      <c r="C20" s="513">
        <v>5664173</v>
      </c>
      <c r="D20" s="515">
        <v>6389236</v>
      </c>
      <c r="E20" s="514">
        <f t="shared" si="0"/>
        <v>725063</v>
      </c>
    </row>
    <row r="21" spans="1:5" s="506" customFormat="1" x14ac:dyDescent="0.2">
      <c r="A21" s="512"/>
      <c r="B21" s="516" t="s">
        <v>766</v>
      </c>
      <c r="C21" s="517">
        <f>SUM(C15+C16+C19)</f>
        <v>316351890</v>
      </c>
      <c r="D21" s="517">
        <f>SUM(D15+D16+D19)</f>
        <v>327514796</v>
      </c>
      <c r="E21" s="517">
        <f t="shared" si="0"/>
        <v>11162906</v>
      </c>
    </row>
    <row r="22" spans="1:5" s="506" customFormat="1" x14ac:dyDescent="0.2">
      <c r="A22" s="512"/>
      <c r="B22" s="516" t="s">
        <v>706</v>
      </c>
      <c r="C22" s="517">
        <f>SUM(C14+C21)</f>
        <v>456194748</v>
      </c>
      <c r="D22" s="517">
        <f>SUM(D14+D21)</f>
        <v>473961549</v>
      </c>
      <c r="E22" s="517">
        <f t="shared" si="0"/>
        <v>17766801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767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640</v>
      </c>
      <c r="C25" s="513">
        <v>231808657</v>
      </c>
      <c r="D25" s="513">
        <v>252731072</v>
      </c>
      <c r="E25" s="514">
        <f t="shared" ref="E25:E33" si="1">D25-C25</f>
        <v>20922415</v>
      </c>
    </row>
    <row r="26" spans="1:5" s="506" customFormat="1" x14ac:dyDescent="0.2">
      <c r="A26" s="512">
        <v>2</v>
      </c>
      <c r="B26" s="511" t="s">
        <v>619</v>
      </c>
      <c r="C26" s="513">
        <v>112935784</v>
      </c>
      <c r="D26" s="515">
        <v>123833405</v>
      </c>
      <c r="E26" s="514">
        <f t="shared" si="1"/>
        <v>10897621</v>
      </c>
    </row>
    <row r="27" spans="1:5" s="506" customFormat="1" x14ac:dyDescent="0.2">
      <c r="A27" s="512">
        <v>3</v>
      </c>
      <c r="B27" s="511" t="s">
        <v>765</v>
      </c>
      <c r="C27" s="513">
        <v>52661132</v>
      </c>
      <c r="D27" s="515">
        <v>58037416</v>
      </c>
      <c r="E27" s="514">
        <f t="shared" si="1"/>
        <v>5376284</v>
      </c>
    </row>
    <row r="28" spans="1:5" s="506" customFormat="1" x14ac:dyDescent="0.2">
      <c r="A28" s="512">
        <v>4</v>
      </c>
      <c r="B28" s="511" t="s">
        <v>114</v>
      </c>
      <c r="C28" s="513">
        <v>52188301</v>
      </c>
      <c r="D28" s="515">
        <v>57507931</v>
      </c>
      <c r="E28" s="514">
        <f t="shared" si="1"/>
        <v>5319630</v>
      </c>
    </row>
    <row r="29" spans="1:5" s="506" customFormat="1" x14ac:dyDescent="0.2">
      <c r="A29" s="512">
        <v>5</v>
      </c>
      <c r="B29" s="511" t="s">
        <v>732</v>
      </c>
      <c r="C29" s="513">
        <v>472831</v>
      </c>
      <c r="D29" s="515">
        <v>529485</v>
      </c>
      <c r="E29" s="514">
        <f t="shared" si="1"/>
        <v>56654</v>
      </c>
    </row>
    <row r="30" spans="1:5" s="506" customFormat="1" x14ac:dyDescent="0.2">
      <c r="A30" s="512">
        <v>6</v>
      </c>
      <c r="B30" s="511" t="s">
        <v>430</v>
      </c>
      <c r="C30" s="513">
        <v>357785</v>
      </c>
      <c r="D30" s="515">
        <v>394920</v>
      </c>
      <c r="E30" s="514">
        <f t="shared" si="1"/>
        <v>37135</v>
      </c>
    </row>
    <row r="31" spans="1:5" s="506" customFormat="1" x14ac:dyDescent="0.2">
      <c r="A31" s="512">
        <v>7</v>
      </c>
      <c r="B31" s="511" t="s">
        <v>747</v>
      </c>
      <c r="C31" s="514">
        <v>24549726</v>
      </c>
      <c r="D31" s="518">
        <v>28798363</v>
      </c>
      <c r="E31" s="514">
        <f t="shared" si="1"/>
        <v>4248637</v>
      </c>
    </row>
    <row r="32" spans="1:5" s="506" customFormat="1" x14ac:dyDescent="0.2">
      <c r="A32" s="512"/>
      <c r="B32" s="516" t="s">
        <v>768</v>
      </c>
      <c r="C32" s="517">
        <f>SUM(C26+C27+C30)</f>
        <v>165954701</v>
      </c>
      <c r="D32" s="517">
        <f>SUM(D26+D27+D30)</f>
        <v>182265741</v>
      </c>
      <c r="E32" s="517">
        <f t="shared" si="1"/>
        <v>16311040</v>
      </c>
    </row>
    <row r="33" spans="1:5" s="506" customFormat="1" x14ac:dyDescent="0.2">
      <c r="A33" s="512"/>
      <c r="B33" s="516" t="s">
        <v>712</v>
      </c>
      <c r="C33" s="517">
        <f>SUM(C25+C32)</f>
        <v>397763358</v>
      </c>
      <c r="D33" s="517">
        <f>SUM(D25+D32)</f>
        <v>434996813</v>
      </c>
      <c r="E33" s="517">
        <f t="shared" si="1"/>
        <v>37233455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637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769</v>
      </c>
      <c r="C36" s="514">
        <f t="shared" ref="C36:D42" si="2">C14+C25</f>
        <v>371651515</v>
      </c>
      <c r="D36" s="514">
        <f t="shared" si="2"/>
        <v>399177825</v>
      </c>
      <c r="E36" s="514">
        <f t="shared" ref="E36:E44" si="3">D36-C36</f>
        <v>27526310</v>
      </c>
    </row>
    <row r="37" spans="1:5" s="506" customFormat="1" x14ac:dyDescent="0.2">
      <c r="A37" s="512">
        <v>2</v>
      </c>
      <c r="B37" s="511" t="s">
        <v>770</v>
      </c>
      <c r="C37" s="514">
        <f t="shared" si="2"/>
        <v>355210014</v>
      </c>
      <c r="D37" s="514">
        <f t="shared" si="2"/>
        <v>373790310</v>
      </c>
      <c r="E37" s="514">
        <f t="shared" si="3"/>
        <v>18580296</v>
      </c>
    </row>
    <row r="38" spans="1:5" s="506" customFormat="1" x14ac:dyDescent="0.2">
      <c r="A38" s="512">
        <v>3</v>
      </c>
      <c r="B38" s="511" t="s">
        <v>771</v>
      </c>
      <c r="C38" s="514">
        <f t="shared" si="2"/>
        <v>126223898</v>
      </c>
      <c r="D38" s="514">
        <f t="shared" si="2"/>
        <v>135076393</v>
      </c>
      <c r="E38" s="514">
        <f t="shared" si="3"/>
        <v>8852495</v>
      </c>
    </row>
    <row r="39" spans="1:5" s="506" customFormat="1" x14ac:dyDescent="0.2">
      <c r="A39" s="512">
        <v>4</v>
      </c>
      <c r="B39" s="511" t="s">
        <v>772</v>
      </c>
      <c r="C39" s="514">
        <f t="shared" si="2"/>
        <v>124697697</v>
      </c>
      <c r="D39" s="514">
        <f t="shared" si="2"/>
        <v>133327291</v>
      </c>
      <c r="E39" s="514">
        <f t="shared" si="3"/>
        <v>8629594</v>
      </c>
    </row>
    <row r="40" spans="1:5" s="506" customFormat="1" x14ac:dyDescent="0.2">
      <c r="A40" s="512">
        <v>5</v>
      </c>
      <c r="B40" s="511" t="s">
        <v>773</v>
      </c>
      <c r="C40" s="514">
        <f t="shared" si="2"/>
        <v>1526201</v>
      </c>
      <c r="D40" s="514">
        <f t="shared" si="2"/>
        <v>1749102</v>
      </c>
      <c r="E40" s="514">
        <f t="shared" si="3"/>
        <v>222901</v>
      </c>
    </row>
    <row r="41" spans="1:5" s="506" customFormat="1" x14ac:dyDescent="0.2">
      <c r="A41" s="512">
        <v>6</v>
      </c>
      <c r="B41" s="511" t="s">
        <v>774</v>
      </c>
      <c r="C41" s="514">
        <f t="shared" si="2"/>
        <v>872679</v>
      </c>
      <c r="D41" s="514">
        <f t="shared" si="2"/>
        <v>913834</v>
      </c>
      <c r="E41" s="514">
        <f t="shared" si="3"/>
        <v>41155</v>
      </c>
    </row>
    <row r="42" spans="1:5" s="506" customFormat="1" x14ac:dyDescent="0.2">
      <c r="A42" s="512">
        <v>7</v>
      </c>
      <c r="B42" s="511" t="s">
        <v>775</v>
      </c>
      <c r="C42" s="514">
        <f t="shared" si="2"/>
        <v>30213899</v>
      </c>
      <c r="D42" s="514">
        <f t="shared" si="2"/>
        <v>35187599</v>
      </c>
      <c r="E42" s="514">
        <f t="shared" si="3"/>
        <v>4973700</v>
      </c>
    </row>
    <row r="43" spans="1:5" s="506" customFormat="1" x14ac:dyDescent="0.2">
      <c r="A43" s="512"/>
      <c r="B43" s="516" t="s">
        <v>776</v>
      </c>
      <c r="C43" s="517">
        <f>SUM(C37+C38+C41)</f>
        <v>482306591</v>
      </c>
      <c r="D43" s="517">
        <f>SUM(D37+D38+D41)</f>
        <v>509780537</v>
      </c>
      <c r="E43" s="517">
        <f t="shared" si="3"/>
        <v>27473946</v>
      </c>
    </row>
    <row r="44" spans="1:5" s="506" customFormat="1" x14ac:dyDescent="0.2">
      <c r="A44" s="512"/>
      <c r="B44" s="516" t="s">
        <v>714</v>
      </c>
      <c r="C44" s="517">
        <f>SUM(C36+C43)</f>
        <v>853958106</v>
      </c>
      <c r="D44" s="517">
        <f>SUM(D36+D43)</f>
        <v>908958362</v>
      </c>
      <c r="E44" s="517">
        <f t="shared" si="3"/>
        <v>55000256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777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640</v>
      </c>
      <c r="C47" s="513">
        <v>73058253</v>
      </c>
      <c r="D47" s="513">
        <v>75378318</v>
      </c>
      <c r="E47" s="514">
        <f t="shared" ref="E47:E55" si="4">D47-C47</f>
        <v>2320065</v>
      </c>
    </row>
    <row r="48" spans="1:5" s="506" customFormat="1" x14ac:dyDescent="0.2">
      <c r="A48" s="512">
        <v>2</v>
      </c>
      <c r="B48" s="511" t="s">
        <v>619</v>
      </c>
      <c r="C48" s="513">
        <v>74279977</v>
      </c>
      <c r="D48" s="515">
        <v>75932454</v>
      </c>
      <c r="E48" s="514">
        <f t="shared" si="4"/>
        <v>1652477</v>
      </c>
    </row>
    <row r="49" spans="1:5" s="506" customFormat="1" x14ac:dyDescent="0.2">
      <c r="A49" s="512">
        <v>3</v>
      </c>
      <c r="B49" s="511" t="s">
        <v>765</v>
      </c>
      <c r="C49" s="513">
        <v>18588029</v>
      </c>
      <c r="D49" s="515">
        <v>20818595</v>
      </c>
      <c r="E49" s="514">
        <f t="shared" si="4"/>
        <v>2230566</v>
      </c>
    </row>
    <row r="50" spans="1:5" s="506" customFormat="1" x14ac:dyDescent="0.2">
      <c r="A50" s="512">
        <v>4</v>
      </c>
      <c r="B50" s="511" t="s">
        <v>114</v>
      </c>
      <c r="C50" s="513">
        <v>18227494</v>
      </c>
      <c r="D50" s="515">
        <v>20337542</v>
      </c>
      <c r="E50" s="514">
        <f t="shared" si="4"/>
        <v>2110048</v>
      </c>
    </row>
    <row r="51" spans="1:5" s="506" customFormat="1" x14ac:dyDescent="0.2">
      <c r="A51" s="512">
        <v>5</v>
      </c>
      <c r="B51" s="511" t="s">
        <v>732</v>
      </c>
      <c r="C51" s="513">
        <v>360535</v>
      </c>
      <c r="D51" s="515">
        <v>481053</v>
      </c>
      <c r="E51" s="514">
        <f t="shared" si="4"/>
        <v>120518</v>
      </c>
    </row>
    <row r="52" spans="1:5" s="506" customFormat="1" x14ac:dyDescent="0.2">
      <c r="A52" s="512">
        <v>6</v>
      </c>
      <c r="B52" s="511" t="s">
        <v>430</v>
      </c>
      <c r="C52" s="513">
        <v>137047</v>
      </c>
      <c r="D52" s="515">
        <v>104982</v>
      </c>
      <c r="E52" s="514">
        <f t="shared" si="4"/>
        <v>-32065</v>
      </c>
    </row>
    <row r="53" spans="1:5" s="506" customFormat="1" x14ac:dyDescent="0.2">
      <c r="A53" s="512">
        <v>7</v>
      </c>
      <c r="B53" s="511" t="s">
        <v>747</v>
      </c>
      <c r="C53" s="513">
        <v>233862</v>
      </c>
      <c r="D53" s="515">
        <v>167271</v>
      </c>
      <c r="E53" s="514">
        <f t="shared" si="4"/>
        <v>-66591</v>
      </c>
    </row>
    <row r="54" spans="1:5" s="506" customFormat="1" x14ac:dyDescent="0.2">
      <c r="A54" s="512"/>
      <c r="B54" s="516" t="s">
        <v>778</v>
      </c>
      <c r="C54" s="517">
        <f>SUM(C48+C49+C52)</f>
        <v>93005053</v>
      </c>
      <c r="D54" s="517">
        <f>SUM(D48+D49+D52)</f>
        <v>96856031</v>
      </c>
      <c r="E54" s="517">
        <f t="shared" si="4"/>
        <v>3850978</v>
      </c>
    </row>
    <row r="55" spans="1:5" s="506" customFormat="1" x14ac:dyDescent="0.2">
      <c r="A55" s="512"/>
      <c r="B55" s="516" t="s">
        <v>707</v>
      </c>
      <c r="C55" s="517">
        <f>SUM(C47+C54)</f>
        <v>166063306</v>
      </c>
      <c r="D55" s="517">
        <f>SUM(D47+D54)</f>
        <v>172234349</v>
      </c>
      <c r="E55" s="517">
        <f t="shared" si="4"/>
        <v>6171043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779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640</v>
      </c>
      <c r="C58" s="513">
        <v>123582855</v>
      </c>
      <c r="D58" s="513">
        <v>126071470</v>
      </c>
      <c r="E58" s="514">
        <f t="shared" ref="E58:E66" si="5">D58-C58</f>
        <v>2488615</v>
      </c>
    </row>
    <row r="59" spans="1:5" s="506" customFormat="1" x14ac:dyDescent="0.2">
      <c r="A59" s="512">
        <v>2</v>
      </c>
      <c r="B59" s="511" t="s">
        <v>619</v>
      </c>
      <c r="C59" s="513">
        <v>23751858</v>
      </c>
      <c r="D59" s="515">
        <v>21742314</v>
      </c>
      <c r="E59" s="514">
        <f t="shared" si="5"/>
        <v>-2009544</v>
      </c>
    </row>
    <row r="60" spans="1:5" s="506" customFormat="1" x14ac:dyDescent="0.2">
      <c r="A60" s="512">
        <v>3</v>
      </c>
      <c r="B60" s="511" t="s">
        <v>765</v>
      </c>
      <c r="C60" s="513">
        <f>C61+C62</f>
        <v>13586862</v>
      </c>
      <c r="D60" s="515">
        <f>D61+D62</f>
        <v>15422987</v>
      </c>
      <c r="E60" s="514">
        <f t="shared" si="5"/>
        <v>1836125</v>
      </c>
    </row>
    <row r="61" spans="1:5" s="506" customFormat="1" x14ac:dyDescent="0.2">
      <c r="A61" s="512">
        <v>4</v>
      </c>
      <c r="B61" s="511" t="s">
        <v>114</v>
      </c>
      <c r="C61" s="513">
        <v>13444714</v>
      </c>
      <c r="D61" s="515">
        <v>15243246</v>
      </c>
      <c r="E61" s="514">
        <f t="shared" si="5"/>
        <v>1798532</v>
      </c>
    </row>
    <row r="62" spans="1:5" s="506" customFormat="1" x14ac:dyDescent="0.2">
      <c r="A62" s="512">
        <v>5</v>
      </c>
      <c r="B62" s="511" t="s">
        <v>732</v>
      </c>
      <c r="C62" s="513">
        <v>142148</v>
      </c>
      <c r="D62" s="515">
        <v>179741</v>
      </c>
      <c r="E62" s="514">
        <f t="shared" si="5"/>
        <v>37593</v>
      </c>
    </row>
    <row r="63" spans="1:5" s="506" customFormat="1" x14ac:dyDescent="0.2">
      <c r="A63" s="512">
        <v>6</v>
      </c>
      <c r="B63" s="511" t="s">
        <v>430</v>
      </c>
      <c r="C63" s="513">
        <v>64332</v>
      </c>
      <c r="D63" s="515">
        <v>59947</v>
      </c>
      <c r="E63" s="514">
        <f t="shared" si="5"/>
        <v>-4385</v>
      </c>
    </row>
    <row r="64" spans="1:5" s="506" customFormat="1" x14ac:dyDescent="0.2">
      <c r="A64" s="512">
        <v>7</v>
      </c>
      <c r="B64" s="511" t="s">
        <v>747</v>
      </c>
      <c r="C64" s="513">
        <v>1444995</v>
      </c>
      <c r="D64" s="515">
        <v>2120010</v>
      </c>
      <c r="E64" s="514">
        <f t="shared" si="5"/>
        <v>675015</v>
      </c>
    </row>
    <row r="65" spans="1:5" s="506" customFormat="1" x14ac:dyDescent="0.2">
      <c r="A65" s="512"/>
      <c r="B65" s="516" t="s">
        <v>780</v>
      </c>
      <c r="C65" s="517">
        <f>SUM(C59+C60+C63)</f>
        <v>37403052</v>
      </c>
      <c r="D65" s="517">
        <f>SUM(D59+D60+D63)</f>
        <v>37225248</v>
      </c>
      <c r="E65" s="517">
        <f t="shared" si="5"/>
        <v>-177804</v>
      </c>
    </row>
    <row r="66" spans="1:5" s="506" customFormat="1" x14ac:dyDescent="0.2">
      <c r="A66" s="512"/>
      <c r="B66" s="516" t="s">
        <v>713</v>
      </c>
      <c r="C66" s="517">
        <f>SUM(C58+C65)</f>
        <v>160985907</v>
      </c>
      <c r="D66" s="517">
        <f>SUM(D58+D65)</f>
        <v>163296718</v>
      </c>
      <c r="E66" s="517">
        <f t="shared" si="5"/>
        <v>2310811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638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769</v>
      </c>
      <c r="C69" s="514">
        <f t="shared" ref="C69:D75" si="6">C47+C58</f>
        <v>196641108</v>
      </c>
      <c r="D69" s="514">
        <f t="shared" si="6"/>
        <v>201449788</v>
      </c>
      <c r="E69" s="514">
        <f t="shared" ref="E69:E77" si="7">D69-C69</f>
        <v>4808680</v>
      </c>
    </row>
    <row r="70" spans="1:5" s="506" customFormat="1" x14ac:dyDescent="0.2">
      <c r="A70" s="512">
        <v>2</v>
      </c>
      <c r="B70" s="511" t="s">
        <v>770</v>
      </c>
      <c r="C70" s="514">
        <f t="shared" si="6"/>
        <v>98031835</v>
      </c>
      <c r="D70" s="514">
        <f t="shared" si="6"/>
        <v>97674768</v>
      </c>
      <c r="E70" s="514">
        <f t="shared" si="7"/>
        <v>-357067</v>
      </c>
    </row>
    <row r="71" spans="1:5" s="506" customFormat="1" x14ac:dyDescent="0.2">
      <c r="A71" s="512">
        <v>3</v>
      </c>
      <c r="B71" s="511" t="s">
        <v>771</v>
      </c>
      <c r="C71" s="514">
        <f t="shared" si="6"/>
        <v>32174891</v>
      </c>
      <c r="D71" s="514">
        <f t="shared" si="6"/>
        <v>36241582</v>
      </c>
      <c r="E71" s="514">
        <f t="shared" si="7"/>
        <v>4066691</v>
      </c>
    </row>
    <row r="72" spans="1:5" s="506" customFormat="1" x14ac:dyDescent="0.2">
      <c r="A72" s="512">
        <v>4</v>
      </c>
      <c r="B72" s="511" t="s">
        <v>772</v>
      </c>
      <c r="C72" s="514">
        <f t="shared" si="6"/>
        <v>31672208</v>
      </c>
      <c r="D72" s="514">
        <f t="shared" si="6"/>
        <v>35580788</v>
      </c>
      <c r="E72" s="514">
        <f t="shared" si="7"/>
        <v>3908580</v>
      </c>
    </row>
    <row r="73" spans="1:5" s="506" customFormat="1" x14ac:dyDescent="0.2">
      <c r="A73" s="512">
        <v>5</v>
      </c>
      <c r="B73" s="511" t="s">
        <v>773</v>
      </c>
      <c r="C73" s="514">
        <f t="shared" si="6"/>
        <v>502683</v>
      </c>
      <c r="D73" s="514">
        <f t="shared" si="6"/>
        <v>660794</v>
      </c>
      <c r="E73" s="514">
        <f t="shared" si="7"/>
        <v>158111</v>
      </c>
    </row>
    <row r="74" spans="1:5" s="506" customFormat="1" x14ac:dyDescent="0.2">
      <c r="A74" s="512">
        <v>6</v>
      </c>
      <c r="B74" s="511" t="s">
        <v>774</v>
      </c>
      <c r="C74" s="514">
        <f t="shared" si="6"/>
        <v>201379</v>
      </c>
      <c r="D74" s="514">
        <f t="shared" si="6"/>
        <v>164929</v>
      </c>
      <c r="E74" s="514">
        <f t="shared" si="7"/>
        <v>-36450</v>
      </c>
    </row>
    <row r="75" spans="1:5" s="506" customFormat="1" x14ac:dyDescent="0.2">
      <c r="A75" s="512">
        <v>7</v>
      </c>
      <c r="B75" s="511" t="s">
        <v>775</v>
      </c>
      <c r="C75" s="514">
        <f t="shared" si="6"/>
        <v>1678857</v>
      </c>
      <c r="D75" s="514">
        <f t="shared" si="6"/>
        <v>2287281</v>
      </c>
      <c r="E75" s="514">
        <f t="shared" si="7"/>
        <v>608424</v>
      </c>
    </row>
    <row r="76" spans="1:5" s="506" customFormat="1" x14ac:dyDescent="0.2">
      <c r="A76" s="512"/>
      <c r="B76" s="516" t="s">
        <v>781</v>
      </c>
      <c r="C76" s="517">
        <f>SUM(C70+C71+C74)</f>
        <v>130408105</v>
      </c>
      <c r="D76" s="517">
        <f>SUM(D70+D71+D74)</f>
        <v>134081279</v>
      </c>
      <c r="E76" s="517">
        <f t="shared" si="7"/>
        <v>3673174</v>
      </c>
    </row>
    <row r="77" spans="1:5" s="506" customFormat="1" x14ac:dyDescent="0.2">
      <c r="A77" s="512"/>
      <c r="B77" s="516" t="s">
        <v>715</v>
      </c>
      <c r="C77" s="517">
        <f>SUM(C69+C76)</f>
        <v>327049213</v>
      </c>
      <c r="D77" s="517">
        <f>SUM(D69+D76)</f>
        <v>335531067</v>
      </c>
      <c r="E77" s="517">
        <f t="shared" si="7"/>
        <v>8481854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782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783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640</v>
      </c>
      <c r="C83" s="523">
        <f t="shared" ref="C83:D89" si="8">IF(C$44=0,0,C14/C$44)</f>
        <v>0.16375845257214527</v>
      </c>
      <c r="D83" s="523">
        <f t="shared" si="8"/>
        <v>0.16111491914521822</v>
      </c>
      <c r="E83" s="523">
        <f t="shared" ref="E83:E91" si="9">D83-C83</f>
        <v>-2.6435334269270527E-3</v>
      </c>
    </row>
    <row r="84" spans="1:5" s="506" customFormat="1" x14ac:dyDescent="0.2">
      <c r="A84" s="512">
        <v>2</v>
      </c>
      <c r="B84" s="511" t="s">
        <v>619</v>
      </c>
      <c r="C84" s="523">
        <f t="shared" si="8"/>
        <v>0.28370739536021222</v>
      </c>
      <c r="D84" s="523">
        <f t="shared" si="8"/>
        <v>0.27499268992917852</v>
      </c>
      <c r="E84" s="523">
        <f t="shared" si="9"/>
        <v>-8.714705431033698E-3</v>
      </c>
    </row>
    <row r="85" spans="1:5" s="506" customFormat="1" x14ac:dyDescent="0.2">
      <c r="A85" s="512">
        <v>3</v>
      </c>
      <c r="B85" s="511" t="s">
        <v>765</v>
      </c>
      <c r="C85" s="523">
        <f t="shared" si="8"/>
        <v>8.6143296120898938E-2</v>
      </c>
      <c r="D85" s="523">
        <f t="shared" si="8"/>
        <v>8.4755232165409131E-2</v>
      </c>
      <c r="E85" s="523">
        <f t="shared" si="9"/>
        <v>-1.3880639554898072E-3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8.4909781276787832E-2</v>
      </c>
      <c r="D86" s="523">
        <f t="shared" si="8"/>
        <v>8.3413457832296173E-2</v>
      </c>
      <c r="E86" s="523">
        <f t="shared" si="9"/>
        <v>-1.4963234444916595E-3</v>
      </c>
    </row>
    <row r="87" spans="1:5" s="506" customFormat="1" x14ac:dyDescent="0.2">
      <c r="A87" s="512">
        <v>5</v>
      </c>
      <c r="B87" s="511" t="s">
        <v>732</v>
      </c>
      <c r="C87" s="523">
        <f t="shared" si="8"/>
        <v>1.2335148441110998E-3</v>
      </c>
      <c r="D87" s="523">
        <f t="shared" si="8"/>
        <v>1.3417743331129617E-3</v>
      </c>
      <c r="E87" s="523">
        <f t="shared" si="9"/>
        <v>1.0825948900186188E-4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6.0294995314442274E-4</v>
      </c>
      <c r="D88" s="523">
        <f t="shared" si="8"/>
        <v>5.7088863659081454E-4</v>
      </c>
      <c r="E88" s="523">
        <f t="shared" si="9"/>
        <v>-3.20613165536082E-5</v>
      </c>
    </row>
    <row r="89" spans="1:5" s="506" customFormat="1" x14ac:dyDescent="0.2">
      <c r="A89" s="512">
        <v>7</v>
      </c>
      <c r="B89" s="511" t="s">
        <v>747</v>
      </c>
      <c r="C89" s="523">
        <f t="shared" si="8"/>
        <v>6.6328464595662492E-3</v>
      </c>
      <c r="D89" s="523">
        <f t="shared" si="8"/>
        <v>7.0291844677479298E-3</v>
      </c>
      <c r="E89" s="523">
        <f t="shared" si="9"/>
        <v>3.9633800818168058E-4</v>
      </c>
    </row>
    <row r="90" spans="1:5" s="506" customFormat="1" x14ac:dyDescent="0.2">
      <c r="A90" s="512"/>
      <c r="B90" s="516" t="s">
        <v>784</v>
      </c>
      <c r="C90" s="524">
        <f>SUM(C84+C85+C88)</f>
        <v>0.37045364143425558</v>
      </c>
      <c r="D90" s="524">
        <f>SUM(D84+D85+D88)</f>
        <v>0.3603188107311785</v>
      </c>
      <c r="E90" s="525">
        <f t="shared" si="9"/>
        <v>-1.013483070307708E-2</v>
      </c>
    </row>
    <row r="91" spans="1:5" s="506" customFormat="1" x14ac:dyDescent="0.2">
      <c r="A91" s="512"/>
      <c r="B91" s="516" t="s">
        <v>785</v>
      </c>
      <c r="C91" s="524">
        <f>SUM(C83+C90)</f>
        <v>0.5342120940064008</v>
      </c>
      <c r="D91" s="524">
        <f>SUM(D83+D90)</f>
        <v>0.52143372987639669</v>
      </c>
      <c r="E91" s="525">
        <f t="shared" si="9"/>
        <v>-1.2778364130004105E-2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786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640</v>
      </c>
      <c r="C95" s="523">
        <f t="shared" ref="C95:D101" si="10">IF(C$44=0,0,C25/C$44)</f>
        <v>0.27145202483738706</v>
      </c>
      <c r="D95" s="523">
        <f t="shared" si="10"/>
        <v>0.27804471862045538</v>
      </c>
      <c r="E95" s="523">
        <f t="shared" ref="E95:E103" si="11">D95-C95</f>
        <v>6.5926937830683152E-3</v>
      </c>
    </row>
    <row r="96" spans="1:5" s="506" customFormat="1" x14ac:dyDescent="0.2">
      <c r="A96" s="512">
        <v>2</v>
      </c>
      <c r="B96" s="511" t="s">
        <v>619</v>
      </c>
      <c r="C96" s="523">
        <f t="shared" si="10"/>
        <v>0.13224979446474158</v>
      </c>
      <c r="D96" s="523">
        <f t="shared" si="10"/>
        <v>0.13623660904282434</v>
      </c>
      <c r="E96" s="523">
        <f t="shared" si="11"/>
        <v>3.9868145780827535E-3</v>
      </c>
    </row>
    <row r="97" spans="1:5" s="506" customFormat="1" x14ac:dyDescent="0.2">
      <c r="A97" s="512">
        <v>3</v>
      </c>
      <c r="B97" s="511" t="s">
        <v>765</v>
      </c>
      <c r="C97" s="523">
        <f t="shared" si="10"/>
        <v>6.1667114147634781E-2</v>
      </c>
      <c r="D97" s="523">
        <f t="shared" si="10"/>
        <v>6.3850467113035922E-2</v>
      </c>
      <c r="E97" s="523">
        <f t="shared" si="11"/>
        <v>2.1833529654011405E-3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6.1113420709188751E-2</v>
      </c>
      <c r="D98" s="523">
        <f t="shared" si="10"/>
        <v>6.3267948680799962E-2</v>
      </c>
      <c r="E98" s="523">
        <f t="shared" si="11"/>
        <v>2.1545279716112115E-3</v>
      </c>
    </row>
    <row r="99" spans="1:5" s="506" customFormat="1" x14ac:dyDescent="0.2">
      <c r="A99" s="512">
        <v>5</v>
      </c>
      <c r="B99" s="511" t="s">
        <v>732</v>
      </c>
      <c r="C99" s="523">
        <f t="shared" si="10"/>
        <v>5.5369343844603074E-4</v>
      </c>
      <c r="D99" s="523">
        <f t="shared" si="10"/>
        <v>5.8251843223595316E-4</v>
      </c>
      <c r="E99" s="523">
        <f t="shared" si="11"/>
        <v>2.8824993789922418E-5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4.1897254383577452E-4</v>
      </c>
      <c r="D100" s="523">
        <f t="shared" si="10"/>
        <v>4.3447534728769017E-4</v>
      </c>
      <c r="E100" s="523">
        <f t="shared" si="11"/>
        <v>1.550280345191565E-5</v>
      </c>
    </row>
    <row r="101" spans="1:5" s="506" customFormat="1" x14ac:dyDescent="0.2">
      <c r="A101" s="512">
        <v>7</v>
      </c>
      <c r="B101" s="511" t="s">
        <v>747</v>
      </c>
      <c r="C101" s="523">
        <f t="shared" si="10"/>
        <v>2.8748162032201614E-2</v>
      </c>
      <c r="D101" s="523">
        <f t="shared" si="10"/>
        <v>3.1682818711997282E-2</v>
      </c>
      <c r="E101" s="523">
        <f t="shared" si="11"/>
        <v>2.9346566797956684E-3</v>
      </c>
    </row>
    <row r="102" spans="1:5" s="506" customFormat="1" x14ac:dyDescent="0.2">
      <c r="A102" s="512"/>
      <c r="B102" s="516" t="s">
        <v>787</v>
      </c>
      <c r="C102" s="524">
        <f>SUM(C96+C97+C100)</f>
        <v>0.19433588115621214</v>
      </c>
      <c r="D102" s="524">
        <f>SUM(D96+D97+D100)</f>
        <v>0.20052155150314793</v>
      </c>
      <c r="E102" s="525">
        <f t="shared" si="11"/>
        <v>6.1856703469357899E-3</v>
      </c>
    </row>
    <row r="103" spans="1:5" s="506" customFormat="1" x14ac:dyDescent="0.2">
      <c r="A103" s="512"/>
      <c r="B103" s="516" t="s">
        <v>788</v>
      </c>
      <c r="C103" s="524">
        <f>SUM(C95+C102)</f>
        <v>0.4657879059935992</v>
      </c>
      <c r="D103" s="524">
        <f>SUM(D95+D102)</f>
        <v>0.47856627012360331</v>
      </c>
      <c r="E103" s="525">
        <f t="shared" si="11"/>
        <v>1.2778364130004105E-2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789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790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640</v>
      </c>
      <c r="C109" s="523">
        <f t="shared" ref="C109:D115" si="12">IF(C$77=0,0,C47/C$77)</f>
        <v>0.22338611467626435</v>
      </c>
      <c r="D109" s="523">
        <f t="shared" si="12"/>
        <v>0.22465376656165195</v>
      </c>
      <c r="E109" s="523">
        <f t="shared" ref="E109:E117" si="13">D109-C109</f>
        <v>1.2676518853876051E-3</v>
      </c>
    </row>
    <row r="110" spans="1:5" s="506" customFormat="1" x14ac:dyDescent="0.2">
      <c r="A110" s="512">
        <v>2</v>
      </c>
      <c r="B110" s="511" t="s">
        <v>619</v>
      </c>
      <c r="C110" s="523">
        <f t="shared" si="12"/>
        <v>0.22712171149606161</v>
      </c>
      <c r="D110" s="523">
        <f t="shared" si="12"/>
        <v>0.22630528576359815</v>
      </c>
      <c r="E110" s="523">
        <f t="shared" si="13"/>
        <v>-8.1642573246346051E-4</v>
      </c>
    </row>
    <row r="111" spans="1:5" s="506" customFormat="1" x14ac:dyDescent="0.2">
      <c r="A111" s="512">
        <v>3</v>
      </c>
      <c r="B111" s="511" t="s">
        <v>765</v>
      </c>
      <c r="C111" s="523">
        <f t="shared" si="12"/>
        <v>5.6835571715624339E-2</v>
      </c>
      <c r="D111" s="523">
        <f t="shared" si="12"/>
        <v>6.2046698644450712E-2</v>
      </c>
      <c r="E111" s="523">
        <f t="shared" si="13"/>
        <v>5.2111269288263734E-3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5.5733184106454337E-2</v>
      </c>
      <c r="D112" s="523">
        <f t="shared" si="12"/>
        <v>6.0612992358171115E-2</v>
      </c>
      <c r="E112" s="523">
        <f t="shared" si="13"/>
        <v>4.8798082517167787E-3</v>
      </c>
    </row>
    <row r="113" spans="1:5" s="506" customFormat="1" x14ac:dyDescent="0.2">
      <c r="A113" s="512">
        <v>5</v>
      </c>
      <c r="B113" s="511" t="s">
        <v>732</v>
      </c>
      <c r="C113" s="523">
        <f t="shared" si="12"/>
        <v>1.1023876091699998E-3</v>
      </c>
      <c r="D113" s="523">
        <f t="shared" si="12"/>
        <v>1.4337062862795952E-3</v>
      </c>
      <c r="E113" s="523">
        <f t="shared" si="13"/>
        <v>3.3131867710959532E-4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4.1904091051887045E-4</v>
      </c>
      <c r="D114" s="523">
        <f t="shared" si="12"/>
        <v>3.1288309883984605E-4</v>
      </c>
      <c r="E114" s="523">
        <f t="shared" si="13"/>
        <v>-1.061578116790244E-4</v>
      </c>
    </row>
    <row r="115" spans="1:5" s="506" customFormat="1" x14ac:dyDescent="0.2">
      <c r="A115" s="512">
        <v>7</v>
      </c>
      <c r="B115" s="511" t="s">
        <v>747</v>
      </c>
      <c r="C115" s="523">
        <f t="shared" si="12"/>
        <v>7.1506669548230953E-4</v>
      </c>
      <c r="D115" s="523">
        <f t="shared" si="12"/>
        <v>4.9852611710616949E-4</v>
      </c>
      <c r="E115" s="523">
        <f t="shared" si="13"/>
        <v>-2.1654057837614004E-4</v>
      </c>
    </row>
    <row r="116" spans="1:5" s="506" customFormat="1" x14ac:dyDescent="0.2">
      <c r="A116" s="512"/>
      <c r="B116" s="516" t="s">
        <v>784</v>
      </c>
      <c r="C116" s="524">
        <f>SUM(C110+C111+C114)</f>
        <v>0.28437632412220482</v>
      </c>
      <c r="D116" s="524">
        <f>SUM(D110+D111+D114)</f>
        <v>0.28866486750688874</v>
      </c>
      <c r="E116" s="525">
        <f t="shared" si="13"/>
        <v>4.2885433846839294E-3</v>
      </c>
    </row>
    <row r="117" spans="1:5" s="506" customFormat="1" x14ac:dyDescent="0.2">
      <c r="A117" s="512"/>
      <c r="B117" s="516" t="s">
        <v>785</v>
      </c>
      <c r="C117" s="524">
        <f>SUM(C109+C116)</f>
        <v>0.50776243879846916</v>
      </c>
      <c r="D117" s="524">
        <f>SUM(D109+D116)</f>
        <v>0.51331863406854072</v>
      </c>
      <c r="E117" s="525">
        <f t="shared" si="13"/>
        <v>5.5561952700715622E-3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791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640</v>
      </c>
      <c r="C121" s="523">
        <f t="shared" ref="C121:D127" si="14">IF(C$77=0,0,C58/C$77)</f>
        <v>0.37787235097245137</v>
      </c>
      <c r="D121" s="523">
        <f t="shared" si="14"/>
        <v>0.37573709977800657</v>
      </c>
      <c r="E121" s="523">
        <f t="shared" ref="E121:E129" si="15">D121-C121</f>
        <v>-2.1352511944447983E-3</v>
      </c>
    </row>
    <row r="122" spans="1:5" s="506" customFormat="1" x14ac:dyDescent="0.2">
      <c r="A122" s="512">
        <v>2</v>
      </c>
      <c r="B122" s="511" t="s">
        <v>619</v>
      </c>
      <c r="C122" s="523">
        <f t="shared" si="14"/>
        <v>7.2624721466613043E-2</v>
      </c>
      <c r="D122" s="523">
        <f t="shared" si="14"/>
        <v>6.4799704523337026E-2</v>
      </c>
      <c r="E122" s="523">
        <f t="shared" si="15"/>
        <v>-7.8250169432760169E-3</v>
      </c>
    </row>
    <row r="123" spans="1:5" s="506" customFormat="1" x14ac:dyDescent="0.2">
      <c r="A123" s="512">
        <v>3</v>
      </c>
      <c r="B123" s="511" t="s">
        <v>765</v>
      </c>
      <c r="C123" s="523">
        <f t="shared" si="14"/>
        <v>4.1543784421214917E-2</v>
      </c>
      <c r="D123" s="523">
        <f t="shared" si="14"/>
        <v>4.5965898591441012E-2</v>
      </c>
      <c r="E123" s="523">
        <f t="shared" si="15"/>
        <v>4.4221141702260949E-3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4.1109146469647674E-2</v>
      </c>
      <c r="D124" s="523">
        <f t="shared" si="14"/>
        <v>4.5430207510412143E-2</v>
      </c>
      <c r="E124" s="523">
        <f t="shared" si="15"/>
        <v>4.3210610407644692E-3</v>
      </c>
    </row>
    <row r="125" spans="1:5" s="506" customFormat="1" x14ac:dyDescent="0.2">
      <c r="A125" s="512">
        <v>5</v>
      </c>
      <c r="B125" s="511" t="s">
        <v>732</v>
      </c>
      <c r="C125" s="523">
        <f t="shared" si="14"/>
        <v>4.3463795156724626E-4</v>
      </c>
      <c r="D125" s="523">
        <f t="shared" si="14"/>
        <v>5.3569108102886941E-4</v>
      </c>
      <c r="E125" s="523">
        <f t="shared" si="15"/>
        <v>1.0105312946162315E-4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1.9670434125154126E-4</v>
      </c>
      <c r="D126" s="523">
        <f t="shared" si="14"/>
        <v>1.7866303867474661E-4</v>
      </c>
      <c r="E126" s="523">
        <f t="shared" si="15"/>
        <v>-1.8041302576794646E-5</v>
      </c>
    </row>
    <row r="127" spans="1:5" s="506" customFormat="1" x14ac:dyDescent="0.2">
      <c r="A127" s="512">
        <v>7</v>
      </c>
      <c r="B127" s="511" t="s">
        <v>747</v>
      </c>
      <c r="C127" s="523">
        <f t="shared" si="14"/>
        <v>4.4182800097427536E-3</v>
      </c>
      <c r="D127" s="523">
        <f t="shared" si="14"/>
        <v>6.3183717053538887E-3</v>
      </c>
      <c r="E127" s="523">
        <f t="shared" si="15"/>
        <v>1.9000916956111351E-3</v>
      </c>
    </row>
    <row r="128" spans="1:5" s="506" customFormat="1" x14ac:dyDescent="0.2">
      <c r="A128" s="512"/>
      <c r="B128" s="516" t="s">
        <v>787</v>
      </c>
      <c r="C128" s="524">
        <f>SUM(C122+C123+C126)</f>
        <v>0.1143652102290795</v>
      </c>
      <c r="D128" s="524">
        <f>SUM(D122+D123+D126)</f>
        <v>0.11094426615345279</v>
      </c>
      <c r="E128" s="525">
        <f t="shared" si="15"/>
        <v>-3.4209440756267084E-3</v>
      </c>
    </row>
    <row r="129" spans="1:5" s="506" customFormat="1" x14ac:dyDescent="0.2">
      <c r="A129" s="512"/>
      <c r="B129" s="516" t="s">
        <v>788</v>
      </c>
      <c r="C129" s="524">
        <f>SUM(C121+C128)</f>
        <v>0.49223756120153084</v>
      </c>
      <c r="D129" s="524">
        <f>SUM(D121+D128)</f>
        <v>0.48668136593145939</v>
      </c>
      <c r="E129" s="525">
        <f t="shared" si="15"/>
        <v>-5.5561952700714512E-3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792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793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794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640</v>
      </c>
      <c r="C137" s="530">
        <v>5773</v>
      </c>
      <c r="D137" s="530">
        <v>5799</v>
      </c>
      <c r="E137" s="531">
        <f t="shared" ref="E137:E145" si="16">D137-C137</f>
        <v>26</v>
      </c>
    </row>
    <row r="138" spans="1:5" s="506" customFormat="1" x14ac:dyDescent="0.2">
      <c r="A138" s="512">
        <v>2</v>
      </c>
      <c r="B138" s="511" t="s">
        <v>619</v>
      </c>
      <c r="C138" s="530">
        <v>6008</v>
      </c>
      <c r="D138" s="530">
        <v>6147</v>
      </c>
      <c r="E138" s="531">
        <f t="shared" si="16"/>
        <v>139</v>
      </c>
    </row>
    <row r="139" spans="1:5" s="506" customFormat="1" x14ac:dyDescent="0.2">
      <c r="A139" s="512">
        <v>3</v>
      </c>
      <c r="B139" s="511" t="s">
        <v>765</v>
      </c>
      <c r="C139" s="530">
        <f>C140+C141</f>
        <v>3078</v>
      </c>
      <c r="D139" s="530">
        <f>D140+D141</f>
        <v>3042</v>
      </c>
      <c r="E139" s="531">
        <f t="shared" si="16"/>
        <v>-36</v>
      </c>
    </row>
    <row r="140" spans="1:5" s="506" customFormat="1" x14ac:dyDescent="0.2">
      <c r="A140" s="512">
        <v>4</v>
      </c>
      <c r="B140" s="511" t="s">
        <v>114</v>
      </c>
      <c r="C140" s="530">
        <v>3038</v>
      </c>
      <c r="D140" s="530">
        <v>3002</v>
      </c>
      <c r="E140" s="531">
        <f t="shared" si="16"/>
        <v>-36</v>
      </c>
    </row>
    <row r="141" spans="1:5" s="506" customFormat="1" x14ac:dyDescent="0.2">
      <c r="A141" s="512">
        <v>5</v>
      </c>
      <c r="B141" s="511" t="s">
        <v>732</v>
      </c>
      <c r="C141" s="530">
        <v>40</v>
      </c>
      <c r="D141" s="530">
        <v>40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19</v>
      </c>
      <c r="D142" s="530">
        <v>15</v>
      </c>
      <c r="E142" s="531">
        <f t="shared" si="16"/>
        <v>-4</v>
      </c>
    </row>
    <row r="143" spans="1:5" s="506" customFormat="1" x14ac:dyDescent="0.2">
      <c r="A143" s="512">
        <v>7</v>
      </c>
      <c r="B143" s="511" t="s">
        <v>747</v>
      </c>
      <c r="C143" s="530">
        <v>223</v>
      </c>
      <c r="D143" s="530">
        <v>267</v>
      </c>
      <c r="E143" s="531">
        <f t="shared" si="16"/>
        <v>44</v>
      </c>
    </row>
    <row r="144" spans="1:5" s="506" customFormat="1" x14ac:dyDescent="0.2">
      <c r="A144" s="512"/>
      <c r="B144" s="516" t="s">
        <v>795</v>
      </c>
      <c r="C144" s="532">
        <f>SUM(C138+C139+C142)</f>
        <v>9105</v>
      </c>
      <c r="D144" s="532">
        <f>SUM(D138+D139+D142)</f>
        <v>9204</v>
      </c>
      <c r="E144" s="533">
        <f t="shared" si="16"/>
        <v>99</v>
      </c>
    </row>
    <row r="145" spans="1:5" s="506" customFormat="1" x14ac:dyDescent="0.2">
      <c r="A145" s="512"/>
      <c r="B145" s="516" t="s">
        <v>709</v>
      </c>
      <c r="C145" s="532">
        <f>SUM(C137+C144)</f>
        <v>14878</v>
      </c>
      <c r="D145" s="532">
        <f>SUM(D137+D144)</f>
        <v>15003</v>
      </c>
      <c r="E145" s="533">
        <f t="shared" si="16"/>
        <v>125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640</v>
      </c>
      <c r="C149" s="534">
        <v>20360</v>
      </c>
      <c r="D149" s="534">
        <v>20211</v>
      </c>
      <c r="E149" s="531">
        <f t="shared" ref="E149:E157" si="17">D149-C149</f>
        <v>-149</v>
      </c>
    </row>
    <row r="150" spans="1:5" s="506" customFormat="1" x14ac:dyDescent="0.2">
      <c r="A150" s="512">
        <v>2</v>
      </c>
      <c r="B150" s="511" t="s">
        <v>619</v>
      </c>
      <c r="C150" s="534">
        <v>37388</v>
      </c>
      <c r="D150" s="534">
        <v>35256</v>
      </c>
      <c r="E150" s="531">
        <f t="shared" si="17"/>
        <v>-2132</v>
      </c>
    </row>
    <row r="151" spans="1:5" s="506" customFormat="1" x14ac:dyDescent="0.2">
      <c r="A151" s="512">
        <v>3</v>
      </c>
      <c r="B151" s="511" t="s">
        <v>765</v>
      </c>
      <c r="C151" s="534">
        <f>C152+C153</f>
        <v>12510</v>
      </c>
      <c r="D151" s="534">
        <f>D152+D153</f>
        <v>11806</v>
      </c>
      <c r="E151" s="531">
        <f t="shared" si="17"/>
        <v>-704</v>
      </c>
    </row>
    <row r="152" spans="1:5" s="506" customFormat="1" x14ac:dyDescent="0.2">
      <c r="A152" s="512">
        <v>4</v>
      </c>
      <c r="B152" s="511" t="s">
        <v>114</v>
      </c>
      <c r="C152" s="534">
        <v>12344</v>
      </c>
      <c r="D152" s="534">
        <v>11609</v>
      </c>
      <c r="E152" s="531">
        <f t="shared" si="17"/>
        <v>-735</v>
      </c>
    </row>
    <row r="153" spans="1:5" s="506" customFormat="1" x14ac:dyDescent="0.2">
      <c r="A153" s="512">
        <v>5</v>
      </c>
      <c r="B153" s="511" t="s">
        <v>732</v>
      </c>
      <c r="C153" s="535">
        <v>166</v>
      </c>
      <c r="D153" s="534">
        <v>197</v>
      </c>
      <c r="E153" s="531">
        <f t="shared" si="17"/>
        <v>31</v>
      </c>
    </row>
    <row r="154" spans="1:5" s="506" customFormat="1" x14ac:dyDescent="0.2">
      <c r="A154" s="512">
        <v>6</v>
      </c>
      <c r="B154" s="511" t="s">
        <v>430</v>
      </c>
      <c r="C154" s="534">
        <v>97</v>
      </c>
      <c r="D154" s="534">
        <v>68</v>
      </c>
      <c r="E154" s="531">
        <f t="shared" si="17"/>
        <v>-29</v>
      </c>
    </row>
    <row r="155" spans="1:5" s="506" customFormat="1" x14ac:dyDescent="0.2">
      <c r="A155" s="512">
        <v>7</v>
      </c>
      <c r="B155" s="511" t="s">
        <v>747</v>
      </c>
      <c r="C155" s="534">
        <v>745</v>
      </c>
      <c r="D155" s="534">
        <v>844</v>
      </c>
      <c r="E155" s="531">
        <f t="shared" si="17"/>
        <v>99</v>
      </c>
    </row>
    <row r="156" spans="1:5" s="506" customFormat="1" x14ac:dyDescent="0.2">
      <c r="A156" s="512"/>
      <c r="B156" s="516" t="s">
        <v>796</v>
      </c>
      <c r="C156" s="532">
        <f>SUM(C150+C151+C154)</f>
        <v>49995</v>
      </c>
      <c r="D156" s="532">
        <f>SUM(D150+D151+D154)</f>
        <v>47130</v>
      </c>
      <c r="E156" s="533">
        <f t="shared" si="17"/>
        <v>-2865</v>
      </c>
    </row>
    <row r="157" spans="1:5" s="506" customFormat="1" x14ac:dyDescent="0.2">
      <c r="A157" s="512"/>
      <c r="B157" s="516" t="s">
        <v>797</v>
      </c>
      <c r="C157" s="532">
        <f>SUM(C149+C156)</f>
        <v>70355</v>
      </c>
      <c r="D157" s="532">
        <f>SUM(D149+D156)</f>
        <v>67341</v>
      </c>
      <c r="E157" s="533">
        <f t="shared" si="17"/>
        <v>-3014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798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640</v>
      </c>
      <c r="C161" s="536">
        <f t="shared" ref="C161:D169" si="18">IF(C137=0,0,C149/C137)</f>
        <v>3.5267625151567641</v>
      </c>
      <c r="D161" s="536">
        <f t="shared" si="18"/>
        <v>3.4852560786342472</v>
      </c>
      <c r="E161" s="537">
        <f t="shared" ref="E161:E169" si="19">D161-C161</f>
        <v>-4.1506436522516843E-2</v>
      </c>
    </row>
    <row r="162" spans="1:5" s="506" customFormat="1" x14ac:dyDescent="0.2">
      <c r="A162" s="512">
        <v>2</v>
      </c>
      <c r="B162" s="511" t="s">
        <v>619</v>
      </c>
      <c r="C162" s="536">
        <f t="shared" si="18"/>
        <v>6.2230359520639151</v>
      </c>
      <c r="D162" s="536">
        <f t="shared" si="18"/>
        <v>5.7354807223035627</v>
      </c>
      <c r="E162" s="537">
        <f t="shared" si="19"/>
        <v>-0.48755522976035248</v>
      </c>
    </row>
    <row r="163" spans="1:5" s="506" customFormat="1" x14ac:dyDescent="0.2">
      <c r="A163" s="512">
        <v>3</v>
      </c>
      <c r="B163" s="511" t="s">
        <v>765</v>
      </c>
      <c r="C163" s="536">
        <f t="shared" si="18"/>
        <v>4.064327485380117</v>
      </c>
      <c r="D163" s="536">
        <f t="shared" si="18"/>
        <v>3.880999342537804</v>
      </c>
      <c r="E163" s="537">
        <f t="shared" si="19"/>
        <v>-0.18332814284231302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4.0631994733377219</v>
      </c>
      <c r="D164" s="536">
        <f t="shared" si="18"/>
        <v>3.8670886075949369</v>
      </c>
      <c r="E164" s="537">
        <f t="shared" si="19"/>
        <v>-0.19611086574278502</v>
      </c>
    </row>
    <row r="165" spans="1:5" s="506" customFormat="1" x14ac:dyDescent="0.2">
      <c r="A165" s="512">
        <v>5</v>
      </c>
      <c r="B165" s="511" t="s">
        <v>732</v>
      </c>
      <c r="C165" s="536">
        <f t="shared" si="18"/>
        <v>4.1500000000000004</v>
      </c>
      <c r="D165" s="536">
        <f t="shared" si="18"/>
        <v>4.9249999999999998</v>
      </c>
      <c r="E165" s="537">
        <f t="shared" si="19"/>
        <v>0.77499999999999947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5.1052631578947372</v>
      </c>
      <c r="D166" s="536">
        <f t="shared" si="18"/>
        <v>4.5333333333333332</v>
      </c>
      <c r="E166" s="537">
        <f t="shared" si="19"/>
        <v>-0.57192982456140395</v>
      </c>
    </row>
    <row r="167" spans="1:5" s="506" customFormat="1" x14ac:dyDescent="0.2">
      <c r="A167" s="512">
        <v>7</v>
      </c>
      <c r="B167" s="511" t="s">
        <v>747</v>
      </c>
      <c r="C167" s="536">
        <f t="shared" si="18"/>
        <v>3.3408071748878925</v>
      </c>
      <c r="D167" s="536">
        <f t="shared" si="18"/>
        <v>3.161048689138577</v>
      </c>
      <c r="E167" s="537">
        <f t="shared" si="19"/>
        <v>-0.17975848574931552</v>
      </c>
    </row>
    <row r="168" spans="1:5" s="506" customFormat="1" x14ac:dyDescent="0.2">
      <c r="A168" s="512"/>
      <c r="B168" s="516" t="s">
        <v>799</v>
      </c>
      <c r="C168" s="538">
        <f t="shared" si="18"/>
        <v>5.4909390444810544</v>
      </c>
      <c r="D168" s="538">
        <f t="shared" si="18"/>
        <v>5.120599739243807</v>
      </c>
      <c r="E168" s="539">
        <f t="shared" si="19"/>
        <v>-0.37033930523724745</v>
      </c>
    </row>
    <row r="169" spans="1:5" s="506" customFormat="1" x14ac:dyDescent="0.2">
      <c r="A169" s="512"/>
      <c r="B169" s="516" t="s">
        <v>733</v>
      </c>
      <c r="C169" s="538">
        <f t="shared" si="18"/>
        <v>4.728794192767845</v>
      </c>
      <c r="D169" s="538">
        <f t="shared" si="18"/>
        <v>4.4885022995400918</v>
      </c>
      <c r="E169" s="539">
        <f t="shared" si="19"/>
        <v>-0.24029189322775313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800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640</v>
      </c>
      <c r="C173" s="541">
        <f t="shared" ref="C173:D181" si="20">IF(C137=0,0,C203/C137)</f>
        <v>1.04515</v>
      </c>
      <c r="D173" s="541">
        <f t="shared" si="20"/>
        <v>1.0031000000000001</v>
      </c>
      <c r="E173" s="542">
        <f t="shared" ref="E173:E181" si="21">D173-C173</f>
        <v>-4.2049999999999921E-2</v>
      </c>
    </row>
    <row r="174" spans="1:5" s="506" customFormat="1" x14ac:dyDescent="0.2">
      <c r="A174" s="512">
        <v>2</v>
      </c>
      <c r="B174" s="511" t="s">
        <v>619</v>
      </c>
      <c r="C174" s="541">
        <f t="shared" si="20"/>
        <v>1.41103</v>
      </c>
      <c r="D174" s="541">
        <f t="shared" si="20"/>
        <v>1.3455999999999999</v>
      </c>
      <c r="E174" s="542">
        <f t="shared" si="21"/>
        <v>-6.5430000000000099E-2</v>
      </c>
    </row>
    <row r="175" spans="1:5" s="506" customFormat="1" x14ac:dyDescent="0.2">
      <c r="A175" s="512">
        <v>0</v>
      </c>
      <c r="B175" s="511" t="s">
        <v>765</v>
      </c>
      <c r="C175" s="541">
        <f t="shared" si="20"/>
        <v>0.94949762183235864</v>
      </c>
      <c r="D175" s="541">
        <f t="shared" si="20"/>
        <v>0.93919921104536486</v>
      </c>
      <c r="E175" s="542">
        <f t="shared" si="21"/>
        <v>-1.0298410786993784E-2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0.94935999999999998</v>
      </c>
      <c r="D176" s="541">
        <f t="shared" si="20"/>
        <v>0.93799999999999994</v>
      </c>
      <c r="E176" s="542">
        <f t="shared" si="21"/>
        <v>-1.1360000000000037E-2</v>
      </c>
    </row>
    <row r="177" spans="1:5" s="506" customFormat="1" x14ac:dyDescent="0.2">
      <c r="A177" s="512">
        <v>5</v>
      </c>
      <c r="B177" s="511" t="s">
        <v>732</v>
      </c>
      <c r="C177" s="541">
        <f t="shared" si="20"/>
        <v>0.95994999999999986</v>
      </c>
      <c r="D177" s="541">
        <f t="shared" si="20"/>
        <v>1.0291999999999999</v>
      </c>
      <c r="E177" s="542">
        <f t="shared" si="21"/>
        <v>6.9250000000000034E-2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0.86318000000000006</v>
      </c>
      <c r="D178" s="541">
        <f t="shared" si="20"/>
        <v>0.84589999999999999</v>
      </c>
      <c r="E178" s="542">
        <f t="shared" si="21"/>
        <v>-1.7280000000000073E-2</v>
      </c>
    </row>
    <row r="179" spans="1:5" s="506" customFormat="1" x14ac:dyDescent="0.2">
      <c r="A179" s="512">
        <v>7</v>
      </c>
      <c r="B179" s="511" t="s">
        <v>747</v>
      </c>
      <c r="C179" s="541">
        <f t="shared" si="20"/>
        <v>1.03169</v>
      </c>
      <c r="D179" s="541">
        <f t="shared" si="20"/>
        <v>0.96429999999999993</v>
      </c>
      <c r="E179" s="542">
        <f t="shared" si="21"/>
        <v>-6.7390000000000061E-2</v>
      </c>
    </row>
    <row r="180" spans="1:5" s="506" customFormat="1" x14ac:dyDescent="0.2">
      <c r="A180" s="512"/>
      <c r="B180" s="516" t="s">
        <v>801</v>
      </c>
      <c r="C180" s="543">
        <f t="shared" si="20"/>
        <v>1.2538629697968149</v>
      </c>
      <c r="D180" s="543">
        <f t="shared" si="20"/>
        <v>1.2104667209908735</v>
      </c>
      <c r="E180" s="544">
        <f t="shared" si="21"/>
        <v>-4.3396248805941395E-2</v>
      </c>
    </row>
    <row r="181" spans="1:5" s="506" customFormat="1" x14ac:dyDescent="0.2">
      <c r="A181" s="512"/>
      <c r="B181" s="516" t="s">
        <v>710</v>
      </c>
      <c r="C181" s="543">
        <f t="shared" si="20"/>
        <v>1.1728776240086034</v>
      </c>
      <c r="D181" s="543">
        <f t="shared" si="20"/>
        <v>1.1303147770445912</v>
      </c>
      <c r="E181" s="544">
        <f t="shared" si="21"/>
        <v>-4.2562846964012246E-2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802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803</v>
      </c>
      <c r="C185" s="513">
        <v>327394936</v>
      </c>
      <c r="D185" s="513">
        <v>363988504</v>
      </c>
      <c r="E185" s="514">
        <f>D185-C185</f>
        <v>36593568</v>
      </c>
    </row>
    <row r="186" spans="1:5" s="506" customFormat="1" ht="25.5" x14ac:dyDescent="0.2">
      <c r="A186" s="512">
        <v>2</v>
      </c>
      <c r="B186" s="511" t="s">
        <v>804</v>
      </c>
      <c r="C186" s="513">
        <v>186810436</v>
      </c>
      <c r="D186" s="513">
        <v>199162505</v>
      </c>
      <c r="E186" s="514">
        <f>D186-C186</f>
        <v>12352069</v>
      </c>
    </row>
    <row r="187" spans="1:5" s="506" customFormat="1" x14ac:dyDescent="0.2">
      <c r="A187" s="512"/>
      <c r="B187" s="511" t="s">
        <v>652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736</v>
      </c>
      <c r="C188" s="546">
        <f>+C185-C186</f>
        <v>140584500</v>
      </c>
      <c r="D188" s="546">
        <f>+D185-D186</f>
        <v>164825999</v>
      </c>
      <c r="E188" s="514">
        <f t="shared" ref="E188:E197" si="22">D188-C188</f>
        <v>24241499</v>
      </c>
    </row>
    <row r="189" spans="1:5" s="506" customFormat="1" x14ac:dyDescent="0.2">
      <c r="A189" s="512">
        <v>4</v>
      </c>
      <c r="B189" s="511" t="s">
        <v>654</v>
      </c>
      <c r="C189" s="547">
        <f>IF(C185=0,0,+C188/C185)</f>
        <v>0.42940340408930455</v>
      </c>
      <c r="D189" s="547">
        <f>IF(D185=0,0,+D188/D185)</f>
        <v>0.4528329801317022</v>
      </c>
      <c r="E189" s="523">
        <f t="shared" si="22"/>
        <v>2.3429576042397648E-2</v>
      </c>
    </row>
    <row r="190" spans="1:5" s="506" customFormat="1" x14ac:dyDescent="0.2">
      <c r="A190" s="512">
        <v>5</v>
      </c>
      <c r="B190" s="511" t="s">
        <v>751</v>
      </c>
      <c r="C190" s="513">
        <v>14007490</v>
      </c>
      <c r="D190" s="513">
        <v>15544363</v>
      </c>
      <c r="E190" s="546">
        <f t="shared" si="22"/>
        <v>1536873</v>
      </c>
    </row>
    <row r="191" spans="1:5" s="506" customFormat="1" x14ac:dyDescent="0.2">
      <c r="A191" s="512">
        <v>6</v>
      </c>
      <c r="B191" s="511" t="s">
        <v>737</v>
      </c>
      <c r="C191" s="513">
        <v>9842925</v>
      </c>
      <c r="D191" s="513">
        <v>10986753</v>
      </c>
      <c r="E191" s="546">
        <f t="shared" si="22"/>
        <v>1143828</v>
      </c>
    </row>
    <row r="192" spans="1:5" ht="29.25" x14ac:dyDescent="0.2">
      <c r="A192" s="512">
        <v>7</v>
      </c>
      <c r="B192" s="548" t="s">
        <v>805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806</v>
      </c>
      <c r="C193" s="513">
        <v>17327000</v>
      </c>
      <c r="D193" s="513">
        <v>17929000</v>
      </c>
      <c r="E193" s="546">
        <f t="shared" si="22"/>
        <v>602000</v>
      </c>
    </row>
    <row r="194" spans="1:5" s="506" customFormat="1" x14ac:dyDescent="0.2">
      <c r="A194" s="512">
        <v>9</v>
      </c>
      <c r="B194" s="511" t="s">
        <v>807</v>
      </c>
      <c r="C194" s="513">
        <v>20654069</v>
      </c>
      <c r="D194" s="513">
        <v>23530477</v>
      </c>
      <c r="E194" s="546">
        <f t="shared" si="22"/>
        <v>2876408</v>
      </c>
    </row>
    <row r="195" spans="1:5" s="506" customFormat="1" x14ac:dyDescent="0.2">
      <c r="A195" s="512">
        <v>10</v>
      </c>
      <c r="B195" s="511" t="s">
        <v>808</v>
      </c>
      <c r="C195" s="513">
        <f>+C193+C194</f>
        <v>37981069</v>
      </c>
      <c r="D195" s="513">
        <f>+D193+D194</f>
        <v>41459477</v>
      </c>
      <c r="E195" s="549">
        <f t="shared" si="22"/>
        <v>3478408</v>
      </c>
    </row>
    <row r="196" spans="1:5" s="506" customFormat="1" x14ac:dyDescent="0.2">
      <c r="A196" s="512">
        <v>11</v>
      </c>
      <c r="B196" s="511" t="s">
        <v>809</v>
      </c>
      <c r="C196" s="513">
        <v>327394936</v>
      </c>
      <c r="D196" s="513">
        <v>363988504</v>
      </c>
      <c r="E196" s="546">
        <f t="shared" si="22"/>
        <v>36593568</v>
      </c>
    </row>
    <row r="197" spans="1:5" s="506" customFormat="1" x14ac:dyDescent="0.2">
      <c r="A197" s="512">
        <v>12</v>
      </c>
      <c r="B197" s="511" t="s">
        <v>694</v>
      </c>
      <c r="C197" s="513">
        <v>338475864</v>
      </c>
      <c r="D197" s="513">
        <v>361951445</v>
      </c>
      <c r="E197" s="546">
        <f t="shared" si="22"/>
        <v>23475581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810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811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640</v>
      </c>
      <c r="C203" s="553">
        <v>6033.6509500000002</v>
      </c>
      <c r="D203" s="553">
        <v>5816.9769000000006</v>
      </c>
      <c r="E203" s="554">
        <f t="shared" ref="E203:E211" si="23">D203-C203</f>
        <v>-216.67404999999962</v>
      </c>
    </row>
    <row r="204" spans="1:5" s="506" customFormat="1" x14ac:dyDescent="0.2">
      <c r="A204" s="512">
        <v>2</v>
      </c>
      <c r="B204" s="511" t="s">
        <v>619</v>
      </c>
      <c r="C204" s="553">
        <v>8477.4682400000002</v>
      </c>
      <c r="D204" s="553">
        <v>8271.4031999999988</v>
      </c>
      <c r="E204" s="554">
        <f t="shared" si="23"/>
        <v>-206.06504000000132</v>
      </c>
    </row>
    <row r="205" spans="1:5" s="506" customFormat="1" x14ac:dyDescent="0.2">
      <c r="A205" s="512">
        <v>3</v>
      </c>
      <c r="B205" s="511" t="s">
        <v>765</v>
      </c>
      <c r="C205" s="553">
        <f>C206+C207</f>
        <v>2922.55368</v>
      </c>
      <c r="D205" s="553">
        <f>D206+D207</f>
        <v>2857.0439999999999</v>
      </c>
      <c r="E205" s="554">
        <f t="shared" si="23"/>
        <v>-65.509680000000117</v>
      </c>
    </row>
    <row r="206" spans="1:5" s="506" customFormat="1" x14ac:dyDescent="0.2">
      <c r="A206" s="512">
        <v>4</v>
      </c>
      <c r="B206" s="511" t="s">
        <v>114</v>
      </c>
      <c r="C206" s="553">
        <v>2884.1556799999998</v>
      </c>
      <c r="D206" s="553">
        <v>2815.8759999999997</v>
      </c>
      <c r="E206" s="554">
        <f t="shared" si="23"/>
        <v>-68.279680000000099</v>
      </c>
    </row>
    <row r="207" spans="1:5" s="506" customFormat="1" x14ac:dyDescent="0.2">
      <c r="A207" s="512">
        <v>5</v>
      </c>
      <c r="B207" s="511" t="s">
        <v>732</v>
      </c>
      <c r="C207" s="553">
        <v>38.397999999999996</v>
      </c>
      <c r="D207" s="553">
        <v>41.167999999999992</v>
      </c>
      <c r="E207" s="554">
        <f t="shared" si="23"/>
        <v>2.769999999999996</v>
      </c>
    </row>
    <row r="208" spans="1:5" s="506" customFormat="1" x14ac:dyDescent="0.2">
      <c r="A208" s="512">
        <v>6</v>
      </c>
      <c r="B208" s="511" t="s">
        <v>430</v>
      </c>
      <c r="C208" s="553">
        <v>16.40042</v>
      </c>
      <c r="D208" s="553">
        <v>12.688499999999999</v>
      </c>
      <c r="E208" s="554">
        <f t="shared" si="23"/>
        <v>-3.711920000000001</v>
      </c>
    </row>
    <row r="209" spans="1:5" s="506" customFormat="1" x14ac:dyDescent="0.2">
      <c r="A209" s="512">
        <v>7</v>
      </c>
      <c r="B209" s="511" t="s">
        <v>747</v>
      </c>
      <c r="C209" s="553">
        <v>230.06686999999999</v>
      </c>
      <c r="D209" s="553">
        <v>257.46809999999999</v>
      </c>
      <c r="E209" s="554">
        <f t="shared" si="23"/>
        <v>27.401229999999998</v>
      </c>
    </row>
    <row r="210" spans="1:5" s="506" customFormat="1" x14ac:dyDescent="0.2">
      <c r="A210" s="512"/>
      <c r="B210" s="516" t="s">
        <v>812</v>
      </c>
      <c r="C210" s="555">
        <f>C204+C205+C208</f>
        <v>11416.422339999999</v>
      </c>
      <c r="D210" s="555">
        <f>D204+D205+D208</f>
        <v>11141.135699999999</v>
      </c>
      <c r="E210" s="556">
        <f t="shared" si="23"/>
        <v>-275.28664000000026</v>
      </c>
    </row>
    <row r="211" spans="1:5" s="506" customFormat="1" x14ac:dyDescent="0.2">
      <c r="A211" s="512"/>
      <c r="B211" s="516" t="s">
        <v>711</v>
      </c>
      <c r="C211" s="555">
        <f>C210+C203</f>
        <v>17450.07329</v>
      </c>
      <c r="D211" s="555">
        <f>D210+D203</f>
        <v>16958.1126</v>
      </c>
      <c r="E211" s="556">
        <f t="shared" si="23"/>
        <v>-491.96068999999989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813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640</v>
      </c>
      <c r="C215" s="557">
        <f>IF(C14*C137=0,0,C25/C14*C137)</f>
        <v>9569.5368072425972</v>
      </c>
      <c r="D215" s="557">
        <f>IF(D14*D137=0,0,D25/D14*D137)</f>
        <v>10007.647534035801</v>
      </c>
      <c r="E215" s="557">
        <f t="shared" ref="E215:E223" si="24">D215-C215</f>
        <v>438.11072679320387</v>
      </c>
    </row>
    <row r="216" spans="1:5" s="506" customFormat="1" x14ac:dyDescent="0.2">
      <c r="A216" s="512">
        <v>2</v>
      </c>
      <c r="B216" s="511" t="s">
        <v>619</v>
      </c>
      <c r="C216" s="557">
        <f>IF(C15*C138=0,0,C26/C15*C138)</f>
        <v>2800.6205623767746</v>
      </c>
      <c r="D216" s="557">
        <f>IF(D15*D138=0,0,D26/D15*D138)</f>
        <v>3045.3407179729643</v>
      </c>
      <c r="E216" s="557">
        <f t="shared" si="24"/>
        <v>244.72015559618967</v>
      </c>
    </row>
    <row r="217" spans="1:5" s="506" customFormat="1" x14ac:dyDescent="0.2">
      <c r="A217" s="512">
        <v>3</v>
      </c>
      <c r="B217" s="511" t="s">
        <v>765</v>
      </c>
      <c r="C217" s="557">
        <f>C218+C219</f>
        <v>2204.5413725422018</v>
      </c>
      <c r="D217" s="557">
        <f>D218+D219</f>
        <v>2294.3409008295753</v>
      </c>
      <c r="E217" s="557">
        <f t="shared" si="24"/>
        <v>89.799528287373505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2186.5863899624815</v>
      </c>
      <c r="D218" s="557">
        <f t="shared" si="25"/>
        <v>2276.9752852305796</v>
      </c>
      <c r="E218" s="557">
        <f t="shared" si="24"/>
        <v>90.388895268098167</v>
      </c>
    </row>
    <row r="219" spans="1:5" s="506" customFormat="1" x14ac:dyDescent="0.2">
      <c r="A219" s="512">
        <v>5</v>
      </c>
      <c r="B219" s="511" t="s">
        <v>732</v>
      </c>
      <c r="C219" s="557">
        <f t="shared" si="25"/>
        <v>17.954982579720326</v>
      </c>
      <c r="D219" s="557">
        <f t="shared" si="25"/>
        <v>17.365615598995422</v>
      </c>
      <c r="E219" s="557">
        <f t="shared" si="24"/>
        <v>-0.58936698072490401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13.202552370002369</v>
      </c>
      <c r="D220" s="557">
        <f t="shared" si="25"/>
        <v>11.415764461933962</v>
      </c>
      <c r="E220" s="557">
        <f t="shared" si="24"/>
        <v>-1.7867879080684066</v>
      </c>
    </row>
    <row r="221" spans="1:5" s="506" customFormat="1" x14ac:dyDescent="0.2">
      <c r="A221" s="512">
        <v>7</v>
      </c>
      <c r="B221" s="511" t="s">
        <v>747</v>
      </c>
      <c r="C221" s="557">
        <f t="shared" si="25"/>
        <v>966.52925290240955</v>
      </c>
      <c r="D221" s="557">
        <f t="shared" si="25"/>
        <v>1203.4557685770255</v>
      </c>
      <c r="E221" s="557">
        <f t="shared" si="24"/>
        <v>236.92651567461598</v>
      </c>
    </row>
    <row r="222" spans="1:5" s="506" customFormat="1" x14ac:dyDescent="0.2">
      <c r="A222" s="512"/>
      <c r="B222" s="516" t="s">
        <v>814</v>
      </c>
      <c r="C222" s="558">
        <f>C216+C218+C219+C220</f>
        <v>5018.364487288979</v>
      </c>
      <c r="D222" s="558">
        <f>D216+D218+D219+D220</f>
        <v>5351.0973832644731</v>
      </c>
      <c r="E222" s="558">
        <f t="shared" si="24"/>
        <v>332.7328959754941</v>
      </c>
    </row>
    <row r="223" spans="1:5" s="506" customFormat="1" x14ac:dyDescent="0.2">
      <c r="A223" s="512"/>
      <c r="B223" s="516" t="s">
        <v>815</v>
      </c>
      <c r="C223" s="558">
        <f>C215+C222</f>
        <v>14587.901294531577</v>
      </c>
      <c r="D223" s="558">
        <f>D215+D222</f>
        <v>15358.744917300275</v>
      </c>
      <c r="E223" s="558">
        <f t="shared" si="24"/>
        <v>770.84362276869797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816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640</v>
      </c>
      <c r="C227" s="560">
        <f t="shared" ref="C227:D235" si="26">IF(C203=0,0,C47/C203)</f>
        <v>12108.465273417913</v>
      </c>
      <c r="D227" s="560">
        <f t="shared" si="26"/>
        <v>12958.332016068345</v>
      </c>
      <c r="E227" s="560">
        <f t="shared" ref="E227:E235" si="27">D227-C227</f>
        <v>849.86674265043257</v>
      </c>
    </row>
    <row r="228" spans="1:5" s="506" customFormat="1" x14ac:dyDescent="0.2">
      <c r="A228" s="512">
        <v>2</v>
      </c>
      <c r="B228" s="511" t="s">
        <v>619</v>
      </c>
      <c r="C228" s="560">
        <f t="shared" si="26"/>
        <v>8762.0472170592293</v>
      </c>
      <c r="D228" s="560">
        <f t="shared" si="26"/>
        <v>9180.1175887544705</v>
      </c>
      <c r="E228" s="560">
        <f t="shared" si="27"/>
        <v>418.07037169524119</v>
      </c>
    </row>
    <row r="229" spans="1:5" s="506" customFormat="1" x14ac:dyDescent="0.2">
      <c r="A229" s="512">
        <v>3</v>
      </c>
      <c r="B229" s="511" t="s">
        <v>765</v>
      </c>
      <c r="C229" s="560">
        <f t="shared" si="26"/>
        <v>6360.20105540029</v>
      </c>
      <c r="D229" s="560">
        <f t="shared" si="26"/>
        <v>7286.7603719088684</v>
      </c>
      <c r="E229" s="560">
        <f t="shared" si="27"/>
        <v>926.55931650857838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6319.8717483932769</v>
      </c>
      <c r="D230" s="560">
        <f t="shared" si="26"/>
        <v>7222.4565286255511</v>
      </c>
      <c r="E230" s="560">
        <f t="shared" si="27"/>
        <v>902.58478023227417</v>
      </c>
    </row>
    <row r="231" spans="1:5" s="506" customFormat="1" x14ac:dyDescent="0.2">
      <c r="A231" s="512">
        <v>5</v>
      </c>
      <c r="B231" s="511" t="s">
        <v>732</v>
      </c>
      <c r="C231" s="560">
        <f t="shared" si="26"/>
        <v>9389.4213240272948</v>
      </c>
      <c r="D231" s="560">
        <f t="shared" si="26"/>
        <v>11685.119510299264</v>
      </c>
      <c r="E231" s="560">
        <f t="shared" si="27"/>
        <v>2295.6981862719695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8356.3103871730109</v>
      </c>
      <c r="D232" s="560">
        <f t="shared" si="26"/>
        <v>8273.7912282775742</v>
      </c>
      <c r="E232" s="560">
        <f t="shared" si="27"/>
        <v>-82.519158895436703</v>
      </c>
    </row>
    <row r="233" spans="1:5" s="506" customFormat="1" x14ac:dyDescent="0.2">
      <c r="A233" s="512">
        <v>7</v>
      </c>
      <c r="B233" s="511" t="s">
        <v>747</v>
      </c>
      <c r="C233" s="560">
        <f t="shared" si="26"/>
        <v>1016.4957692517833</v>
      </c>
      <c r="D233" s="560">
        <f t="shared" si="26"/>
        <v>649.67660071286502</v>
      </c>
      <c r="E233" s="560">
        <f t="shared" si="27"/>
        <v>-366.81916853891823</v>
      </c>
    </row>
    <row r="234" spans="1:5" x14ac:dyDescent="0.2">
      <c r="A234" s="512"/>
      <c r="B234" s="516" t="s">
        <v>817</v>
      </c>
      <c r="C234" s="561">
        <f t="shared" si="26"/>
        <v>8146.6023444258817</v>
      </c>
      <c r="D234" s="561">
        <f t="shared" si="26"/>
        <v>8693.5509635700801</v>
      </c>
      <c r="E234" s="561">
        <f t="shared" si="27"/>
        <v>546.94861914419835</v>
      </c>
    </row>
    <row r="235" spans="1:5" s="506" customFormat="1" x14ac:dyDescent="0.2">
      <c r="A235" s="512"/>
      <c r="B235" s="516" t="s">
        <v>818</v>
      </c>
      <c r="C235" s="561">
        <f t="shared" si="26"/>
        <v>9516.4818645870564</v>
      </c>
      <c r="D235" s="561">
        <f t="shared" si="26"/>
        <v>10156.457446803366</v>
      </c>
      <c r="E235" s="561">
        <f t="shared" si="27"/>
        <v>639.9755822163097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819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640</v>
      </c>
      <c r="C239" s="560">
        <f t="shared" ref="C239:D247" si="28">IF(C215=0,0,C58/C215)</f>
        <v>12914.194018927614</v>
      </c>
      <c r="D239" s="560">
        <f t="shared" si="28"/>
        <v>12597.513009049684</v>
      </c>
      <c r="E239" s="562">
        <f t="shared" ref="E239:E247" si="29">D239-C239</f>
        <v>-316.68100987792968</v>
      </c>
    </row>
    <row r="240" spans="1:5" s="506" customFormat="1" x14ac:dyDescent="0.2">
      <c r="A240" s="512">
        <v>2</v>
      </c>
      <c r="B240" s="511" t="s">
        <v>619</v>
      </c>
      <c r="C240" s="560">
        <f t="shared" si="28"/>
        <v>8480.9268056800775</v>
      </c>
      <c r="D240" s="560">
        <f t="shared" si="28"/>
        <v>7139.5341321519163</v>
      </c>
      <c r="E240" s="562">
        <f t="shared" si="29"/>
        <v>-1341.3926735281611</v>
      </c>
    </row>
    <row r="241" spans="1:5" x14ac:dyDescent="0.2">
      <c r="A241" s="512">
        <v>3</v>
      </c>
      <c r="B241" s="511" t="s">
        <v>765</v>
      </c>
      <c r="C241" s="560">
        <f t="shared" si="28"/>
        <v>6163.1240716213433</v>
      </c>
      <c r="D241" s="560">
        <f t="shared" si="28"/>
        <v>6722.1863126022117</v>
      </c>
      <c r="E241" s="562">
        <f t="shared" si="29"/>
        <v>559.06224098086841</v>
      </c>
    </row>
    <row r="242" spans="1:5" x14ac:dyDescent="0.2">
      <c r="A242" s="512">
        <v>4</v>
      </c>
      <c r="B242" s="511" t="s">
        <v>114</v>
      </c>
      <c r="C242" s="560">
        <f t="shared" si="28"/>
        <v>6148.7229874465156</v>
      </c>
      <c r="D242" s="560">
        <f t="shared" si="28"/>
        <v>6694.5153506382403</v>
      </c>
      <c r="E242" s="562">
        <f t="shared" si="29"/>
        <v>545.79236319172469</v>
      </c>
    </row>
    <row r="243" spans="1:5" x14ac:dyDescent="0.2">
      <c r="A243" s="512">
        <v>5</v>
      </c>
      <c r="B243" s="511" t="s">
        <v>732</v>
      </c>
      <c r="C243" s="560">
        <f t="shared" si="28"/>
        <v>7916.9110506713814</v>
      </c>
      <c r="D243" s="560">
        <f t="shared" si="28"/>
        <v>10350.396101730927</v>
      </c>
      <c r="E243" s="562">
        <f t="shared" si="29"/>
        <v>2433.4850510595452</v>
      </c>
    </row>
    <row r="244" spans="1:5" x14ac:dyDescent="0.2">
      <c r="A244" s="512">
        <v>6</v>
      </c>
      <c r="B244" s="511" t="s">
        <v>430</v>
      </c>
      <c r="C244" s="560">
        <f t="shared" si="28"/>
        <v>4872.694172845645</v>
      </c>
      <c r="D244" s="560">
        <f t="shared" si="28"/>
        <v>5251.2470978088386</v>
      </c>
      <c r="E244" s="562">
        <f t="shared" si="29"/>
        <v>378.55292496319362</v>
      </c>
    </row>
    <row r="245" spans="1:5" x14ac:dyDescent="0.2">
      <c r="A245" s="512">
        <v>7</v>
      </c>
      <c r="B245" s="511" t="s">
        <v>747</v>
      </c>
      <c r="C245" s="560">
        <f t="shared" si="28"/>
        <v>1495.0349362533998</v>
      </c>
      <c r="D245" s="560">
        <f t="shared" si="28"/>
        <v>1761.6019261818942</v>
      </c>
      <c r="E245" s="562">
        <f t="shared" si="29"/>
        <v>266.56698992849442</v>
      </c>
    </row>
    <row r="246" spans="1:5" ht="25.5" x14ac:dyDescent="0.2">
      <c r="A246" s="512"/>
      <c r="B246" s="516" t="s">
        <v>820</v>
      </c>
      <c r="C246" s="561">
        <f t="shared" si="28"/>
        <v>7453.2354305348354</v>
      </c>
      <c r="D246" s="561">
        <f t="shared" si="28"/>
        <v>6956.5633614558674</v>
      </c>
      <c r="E246" s="563">
        <f t="shared" si="29"/>
        <v>-496.67206907896798</v>
      </c>
    </row>
    <row r="247" spans="1:5" x14ac:dyDescent="0.2">
      <c r="A247" s="512"/>
      <c r="B247" s="516" t="s">
        <v>821</v>
      </c>
      <c r="C247" s="561">
        <f t="shared" si="28"/>
        <v>11035.576931161935</v>
      </c>
      <c r="D247" s="561">
        <f t="shared" si="28"/>
        <v>10632.165510871961</v>
      </c>
      <c r="E247" s="563">
        <f t="shared" si="29"/>
        <v>-403.41142028997456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749</v>
      </c>
      <c r="B249" s="550" t="s">
        <v>746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5099565.1275680391</v>
      </c>
      <c r="D251" s="546">
        <f>((IF((IF(D15=0,0,D26/D15)*D138)=0,0,D59/(IF(D15=0,0,D26/D15)*D138)))-(IF((IF(D17=0,0,D28/D17)*D140)=0,0,D61/(IF(D17=0,0,D28/D17)*D140))))*(IF(D17=0,0,D28/D17)*D140)</f>
        <v>1013296.7669700674</v>
      </c>
      <c r="E251" s="546">
        <f>D251-C251</f>
        <v>-4086268.3605979718</v>
      </c>
    </row>
    <row r="252" spans="1:5" x14ac:dyDescent="0.2">
      <c r="A252" s="512">
        <v>2</v>
      </c>
      <c r="B252" s="511" t="s">
        <v>732</v>
      </c>
      <c r="C252" s="546">
        <f>IF(C231=0,0,(C228-C231)*C207)+IF(C243=0,0,(C240-C243)*C219)</f>
        <v>-13963.017903490831</v>
      </c>
      <c r="D252" s="546">
        <f>IF(D231=0,0,(D228-D231)*D207)+IF(D243=0,0,(D240-D243)*D219)</f>
        <v>-158884.51381129847</v>
      </c>
      <c r="E252" s="546">
        <f>D252-C252</f>
        <v>-144921.49590780764</v>
      </c>
    </row>
    <row r="253" spans="1:5" x14ac:dyDescent="0.2">
      <c r="A253" s="512">
        <v>3</v>
      </c>
      <c r="B253" s="511" t="s">
        <v>747</v>
      </c>
      <c r="C253" s="546">
        <f>IF(C233=0,0,(C228-C233)*C209+IF(C221=0,0,(C240-C245)*C221))</f>
        <v>8534063.6274350099</v>
      </c>
      <c r="D253" s="546">
        <f>IF(D233=0,0,(D228-D233)*D209+IF(D221=0,0,(D240-D245)*D221))</f>
        <v>8668419.9696439877</v>
      </c>
      <c r="E253" s="546">
        <f>D253-C253</f>
        <v>134356.34220897779</v>
      </c>
    </row>
    <row r="254" spans="1:5" ht="15" customHeight="1" x14ac:dyDescent="0.2">
      <c r="A254" s="512"/>
      <c r="B254" s="516" t="s">
        <v>748</v>
      </c>
      <c r="C254" s="564">
        <f>+C251+C252+C253</f>
        <v>13619665.737099558</v>
      </c>
      <c r="D254" s="564">
        <f>+D251+D252+D253</f>
        <v>9522832.2228027564</v>
      </c>
      <c r="E254" s="564">
        <f>D254-C254</f>
        <v>-4096833.5142968018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822</v>
      </c>
      <c r="B256" s="550" t="s">
        <v>823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714</v>
      </c>
      <c r="C258" s="546">
        <f>+C44</f>
        <v>853958106</v>
      </c>
      <c r="D258" s="549">
        <f>+D44</f>
        <v>908958362</v>
      </c>
      <c r="E258" s="546">
        <f t="shared" ref="E258:E271" si="30">D258-C258</f>
        <v>55000256</v>
      </c>
    </row>
    <row r="259" spans="1:5" x14ac:dyDescent="0.2">
      <c r="A259" s="512">
        <v>2</v>
      </c>
      <c r="B259" s="511" t="s">
        <v>731</v>
      </c>
      <c r="C259" s="546">
        <f>+(C43-C76)</f>
        <v>351898486</v>
      </c>
      <c r="D259" s="549">
        <f>+(D43-D76)</f>
        <v>375699258</v>
      </c>
      <c r="E259" s="546">
        <f t="shared" si="30"/>
        <v>23800772</v>
      </c>
    </row>
    <row r="260" spans="1:5" x14ac:dyDescent="0.2">
      <c r="A260" s="512">
        <v>3</v>
      </c>
      <c r="B260" s="511" t="s">
        <v>735</v>
      </c>
      <c r="C260" s="546">
        <f>C195</f>
        <v>37981069</v>
      </c>
      <c r="D260" s="546">
        <f>D195</f>
        <v>41459477</v>
      </c>
      <c r="E260" s="546">
        <f t="shared" si="30"/>
        <v>3478408</v>
      </c>
    </row>
    <row r="261" spans="1:5" x14ac:dyDescent="0.2">
      <c r="A261" s="512">
        <v>4</v>
      </c>
      <c r="B261" s="511" t="s">
        <v>736</v>
      </c>
      <c r="C261" s="546">
        <f>C188</f>
        <v>140584500</v>
      </c>
      <c r="D261" s="546">
        <f>D188</f>
        <v>164825999</v>
      </c>
      <c r="E261" s="546">
        <f t="shared" si="30"/>
        <v>24241499</v>
      </c>
    </row>
    <row r="262" spans="1:5" x14ac:dyDescent="0.2">
      <c r="A262" s="512">
        <v>5</v>
      </c>
      <c r="B262" s="511" t="s">
        <v>737</v>
      </c>
      <c r="C262" s="546">
        <f>C191</f>
        <v>9842925</v>
      </c>
      <c r="D262" s="546">
        <f>D191</f>
        <v>10986753</v>
      </c>
      <c r="E262" s="546">
        <f t="shared" si="30"/>
        <v>1143828</v>
      </c>
    </row>
    <row r="263" spans="1:5" x14ac:dyDescent="0.2">
      <c r="A263" s="512">
        <v>6</v>
      </c>
      <c r="B263" s="511" t="s">
        <v>738</v>
      </c>
      <c r="C263" s="546">
        <f>+C259+C260+C261+C262</f>
        <v>540306980</v>
      </c>
      <c r="D263" s="546">
        <f>+D259+D260+D261+D262</f>
        <v>592971487</v>
      </c>
      <c r="E263" s="546">
        <f t="shared" si="30"/>
        <v>52664507</v>
      </c>
    </row>
    <row r="264" spans="1:5" x14ac:dyDescent="0.2">
      <c r="A264" s="512">
        <v>7</v>
      </c>
      <c r="B264" s="511" t="s">
        <v>638</v>
      </c>
      <c r="C264" s="546">
        <f>+C258-C263</f>
        <v>313651126</v>
      </c>
      <c r="D264" s="546">
        <f>+D258-D263</f>
        <v>315986875</v>
      </c>
      <c r="E264" s="546">
        <f t="shared" si="30"/>
        <v>2335749</v>
      </c>
    </row>
    <row r="265" spans="1:5" x14ac:dyDescent="0.2">
      <c r="A265" s="512">
        <v>8</v>
      </c>
      <c r="B265" s="511" t="s">
        <v>824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825</v>
      </c>
      <c r="C266" s="546">
        <f>+C264+C265</f>
        <v>313651126</v>
      </c>
      <c r="D266" s="546">
        <f>+D264+D265</f>
        <v>315986875</v>
      </c>
      <c r="E266" s="565">
        <f t="shared" si="30"/>
        <v>2335749</v>
      </c>
    </row>
    <row r="267" spans="1:5" x14ac:dyDescent="0.2">
      <c r="A267" s="512">
        <v>10</v>
      </c>
      <c r="B267" s="511" t="s">
        <v>826</v>
      </c>
      <c r="C267" s="566">
        <f>IF(C258=0,0,C266/C258)</f>
        <v>0.36729099916758678</v>
      </c>
      <c r="D267" s="566">
        <f>IF(D258=0,0,D266/D258)</f>
        <v>0.34763624849077518</v>
      </c>
      <c r="E267" s="567">
        <f t="shared" si="30"/>
        <v>-1.9654750676811605E-2</v>
      </c>
    </row>
    <row r="268" spans="1:5" x14ac:dyDescent="0.2">
      <c r="A268" s="512">
        <v>11</v>
      </c>
      <c r="B268" s="511" t="s">
        <v>700</v>
      </c>
      <c r="C268" s="546">
        <f>+C260*C267</f>
        <v>13950104.782463057</v>
      </c>
      <c r="D268" s="568">
        <f>+D260*D267</f>
        <v>14412817.048669579</v>
      </c>
      <c r="E268" s="546">
        <f t="shared" si="30"/>
        <v>462712.26620652154</v>
      </c>
    </row>
    <row r="269" spans="1:5" x14ac:dyDescent="0.2">
      <c r="A269" s="512">
        <v>12</v>
      </c>
      <c r="B269" s="511" t="s">
        <v>827</v>
      </c>
      <c r="C269" s="546">
        <f>((C17+C18+C28+C29)*C267)-(C50+C51+C61+C62)</f>
        <v>14186010.615247563</v>
      </c>
      <c r="D269" s="568">
        <f>((D17+D18+D28+D29)*D267)-(D50+D51+D61+D62)</f>
        <v>10715868.522185601</v>
      </c>
      <c r="E269" s="546">
        <f t="shared" si="30"/>
        <v>-3470142.0930619612</v>
      </c>
    </row>
    <row r="270" spans="1:5" s="569" customFormat="1" x14ac:dyDescent="0.2">
      <c r="A270" s="570">
        <v>13</v>
      </c>
      <c r="B270" s="571" t="s">
        <v>828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829</v>
      </c>
      <c r="C271" s="546">
        <f>+C268+C269+C270</f>
        <v>28136115.397710621</v>
      </c>
      <c r="D271" s="546">
        <f>+D268+D269+D270</f>
        <v>25128685.570855178</v>
      </c>
      <c r="E271" s="549">
        <f t="shared" si="30"/>
        <v>-3007429.8268554434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830</v>
      </c>
      <c r="B273" s="550" t="s">
        <v>831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832</v>
      </c>
      <c r="C275" s="340"/>
      <c r="D275" s="340"/>
      <c r="E275" s="520"/>
    </row>
    <row r="276" spans="1:5" x14ac:dyDescent="0.2">
      <c r="A276" s="512">
        <v>1</v>
      </c>
      <c r="B276" s="511" t="s">
        <v>640</v>
      </c>
      <c r="C276" s="547">
        <f t="shared" ref="C276:D284" si="31">IF(C14=0,0,+C47/C14)</f>
        <v>0.52243106330106615</v>
      </c>
      <c r="D276" s="547">
        <f t="shared" si="31"/>
        <v>0.51471484656269573</v>
      </c>
      <c r="E276" s="574">
        <f t="shared" ref="E276:E284" si="32">D276-C276</f>
        <v>-7.7162167383704183E-3</v>
      </c>
    </row>
    <row r="277" spans="1:5" x14ac:dyDescent="0.2">
      <c r="A277" s="512">
        <v>2</v>
      </c>
      <c r="B277" s="511" t="s">
        <v>619</v>
      </c>
      <c r="C277" s="547">
        <f t="shared" si="31"/>
        <v>0.30659462626297479</v>
      </c>
      <c r="D277" s="547">
        <f t="shared" si="31"/>
        <v>0.30378218197252843</v>
      </c>
      <c r="E277" s="574">
        <f t="shared" si="32"/>
        <v>-2.8124442904463587E-3</v>
      </c>
    </row>
    <row r="278" spans="1:5" x14ac:dyDescent="0.2">
      <c r="A278" s="512">
        <v>3</v>
      </c>
      <c r="B278" s="511" t="s">
        <v>765</v>
      </c>
      <c r="C278" s="547">
        <f t="shared" si="31"/>
        <v>0.2526825731376115</v>
      </c>
      <c r="D278" s="547">
        <f t="shared" si="31"/>
        <v>0.27023457229968151</v>
      </c>
      <c r="E278" s="574">
        <f t="shared" si="32"/>
        <v>1.7551999162070009E-2</v>
      </c>
    </row>
    <row r="279" spans="1:5" x14ac:dyDescent="0.2">
      <c r="A279" s="512">
        <v>4</v>
      </c>
      <c r="B279" s="511" t="s">
        <v>114</v>
      </c>
      <c r="C279" s="547">
        <f t="shared" si="31"/>
        <v>0.25138113135020462</v>
      </c>
      <c r="D279" s="547">
        <f t="shared" si="31"/>
        <v>0.26823679334671252</v>
      </c>
      <c r="E279" s="574">
        <f t="shared" si="32"/>
        <v>1.6855661996507898E-2</v>
      </c>
    </row>
    <row r="280" spans="1:5" x14ac:dyDescent="0.2">
      <c r="A280" s="512">
        <v>5</v>
      </c>
      <c r="B280" s="511" t="s">
        <v>732</v>
      </c>
      <c r="C280" s="547">
        <f t="shared" si="31"/>
        <v>0.34226814889355117</v>
      </c>
      <c r="D280" s="547">
        <f t="shared" si="31"/>
        <v>0.39442956272337953</v>
      </c>
      <c r="E280" s="574">
        <f t="shared" si="32"/>
        <v>5.2161413829828362E-2</v>
      </c>
    </row>
    <row r="281" spans="1:5" x14ac:dyDescent="0.2">
      <c r="A281" s="512">
        <v>6</v>
      </c>
      <c r="B281" s="511" t="s">
        <v>430</v>
      </c>
      <c r="C281" s="547">
        <f t="shared" si="31"/>
        <v>0.26616546318271334</v>
      </c>
      <c r="D281" s="547">
        <f t="shared" si="31"/>
        <v>0.2023109802395002</v>
      </c>
      <c r="E281" s="574">
        <f t="shared" si="32"/>
        <v>-6.3854482943213137E-2</v>
      </c>
    </row>
    <row r="282" spans="1:5" x14ac:dyDescent="0.2">
      <c r="A282" s="512">
        <v>7</v>
      </c>
      <c r="B282" s="511" t="s">
        <v>747</v>
      </c>
      <c r="C282" s="547">
        <f t="shared" si="31"/>
        <v>4.1287933825467547E-2</v>
      </c>
      <c r="D282" s="547">
        <f t="shared" si="31"/>
        <v>2.6180125448488675E-2</v>
      </c>
      <c r="E282" s="574">
        <f t="shared" si="32"/>
        <v>-1.5107808376978872E-2</v>
      </c>
    </row>
    <row r="283" spans="1:5" ht="29.25" customHeight="1" x14ac:dyDescent="0.2">
      <c r="A283" s="512"/>
      <c r="B283" s="516" t="s">
        <v>833</v>
      </c>
      <c r="C283" s="575">
        <f t="shared" si="31"/>
        <v>0.29399240510306418</v>
      </c>
      <c r="D283" s="575">
        <f t="shared" si="31"/>
        <v>0.29573024542072901</v>
      </c>
      <c r="E283" s="576">
        <f t="shared" si="32"/>
        <v>1.7378403176648294E-3</v>
      </c>
    </row>
    <row r="284" spans="1:5" x14ac:dyDescent="0.2">
      <c r="A284" s="512"/>
      <c r="B284" s="516" t="s">
        <v>834</v>
      </c>
      <c r="C284" s="575">
        <f t="shared" si="31"/>
        <v>0.36401845204934274</v>
      </c>
      <c r="D284" s="575">
        <f t="shared" si="31"/>
        <v>0.36339308402420634</v>
      </c>
      <c r="E284" s="576">
        <f t="shared" si="32"/>
        <v>-6.2536802513640799E-4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835</v>
      </c>
      <c r="C286" s="520"/>
      <c r="D286" s="520"/>
      <c r="E286" s="520"/>
    </row>
    <row r="287" spans="1:5" x14ac:dyDescent="0.2">
      <c r="A287" s="512">
        <v>1</v>
      </c>
      <c r="B287" s="511" t="s">
        <v>640</v>
      </c>
      <c r="C287" s="547">
        <f t="shared" ref="C287:D295" si="33">IF(C25=0,0,+C58/C25)</f>
        <v>0.53312441648803477</v>
      </c>
      <c r="D287" s="547">
        <f t="shared" si="33"/>
        <v>0.49883644698820412</v>
      </c>
      <c r="E287" s="574">
        <f t="shared" ref="E287:E295" si="34">D287-C287</f>
        <v>-3.4287969499830651E-2</v>
      </c>
    </row>
    <row r="288" spans="1:5" x14ac:dyDescent="0.2">
      <c r="A288" s="512">
        <v>2</v>
      </c>
      <c r="B288" s="511" t="s">
        <v>619</v>
      </c>
      <c r="C288" s="547">
        <f t="shared" si="33"/>
        <v>0.21031295094210353</v>
      </c>
      <c r="D288" s="547">
        <f t="shared" si="33"/>
        <v>0.17557713122723226</v>
      </c>
      <c r="E288" s="574">
        <f t="shared" si="34"/>
        <v>-3.4735819714871274E-2</v>
      </c>
    </row>
    <row r="289" spans="1:5" x14ac:dyDescent="0.2">
      <c r="A289" s="512">
        <v>3</v>
      </c>
      <c r="B289" s="511" t="s">
        <v>765</v>
      </c>
      <c r="C289" s="547">
        <f t="shared" si="33"/>
        <v>0.25800550584442433</v>
      </c>
      <c r="D289" s="547">
        <f t="shared" si="33"/>
        <v>0.26574213779607281</v>
      </c>
      <c r="E289" s="574">
        <f t="shared" si="34"/>
        <v>7.7366319516484761E-3</v>
      </c>
    </row>
    <row r="290" spans="1:5" x14ac:dyDescent="0.2">
      <c r="A290" s="512">
        <v>4</v>
      </c>
      <c r="B290" s="511" t="s">
        <v>114</v>
      </c>
      <c r="C290" s="547">
        <f t="shared" si="33"/>
        <v>0.25761930820472578</v>
      </c>
      <c r="D290" s="547">
        <f t="shared" si="33"/>
        <v>0.2650633701288958</v>
      </c>
      <c r="E290" s="574">
        <f t="shared" si="34"/>
        <v>7.4440619241700201E-3</v>
      </c>
    </row>
    <row r="291" spans="1:5" x14ac:dyDescent="0.2">
      <c r="A291" s="512">
        <v>5</v>
      </c>
      <c r="B291" s="511" t="s">
        <v>732</v>
      </c>
      <c r="C291" s="547">
        <f t="shared" si="33"/>
        <v>0.30063172676918393</v>
      </c>
      <c r="D291" s="547">
        <f t="shared" si="33"/>
        <v>0.33946381861620256</v>
      </c>
      <c r="E291" s="574">
        <f t="shared" si="34"/>
        <v>3.8832091847018635E-2</v>
      </c>
    </row>
    <row r="292" spans="1:5" x14ac:dyDescent="0.2">
      <c r="A292" s="512">
        <v>6</v>
      </c>
      <c r="B292" s="511" t="s">
        <v>430</v>
      </c>
      <c r="C292" s="547">
        <f t="shared" si="33"/>
        <v>0.17980630825775257</v>
      </c>
      <c r="D292" s="547">
        <f t="shared" si="33"/>
        <v>0.15179530031398764</v>
      </c>
      <c r="E292" s="574">
        <f t="shared" si="34"/>
        <v>-2.8011007943764932E-2</v>
      </c>
    </row>
    <row r="293" spans="1:5" x14ac:dyDescent="0.2">
      <c r="A293" s="512">
        <v>7</v>
      </c>
      <c r="B293" s="511" t="s">
        <v>747</v>
      </c>
      <c r="C293" s="547">
        <f t="shared" si="33"/>
        <v>5.8859923731939004E-2</v>
      </c>
      <c r="D293" s="547">
        <f t="shared" si="33"/>
        <v>7.3615642666911313E-2</v>
      </c>
      <c r="E293" s="574">
        <f t="shared" si="34"/>
        <v>1.4755718934972309E-2</v>
      </c>
    </row>
    <row r="294" spans="1:5" ht="29.25" customHeight="1" x14ac:dyDescent="0.2">
      <c r="A294" s="512"/>
      <c r="B294" s="516" t="s">
        <v>836</v>
      </c>
      <c r="C294" s="575">
        <f t="shared" si="33"/>
        <v>0.2253810936033683</v>
      </c>
      <c r="D294" s="575">
        <f t="shared" si="33"/>
        <v>0.20423612136742691</v>
      </c>
      <c r="E294" s="576">
        <f t="shared" si="34"/>
        <v>-2.1144972235941389E-2</v>
      </c>
    </row>
    <row r="295" spans="1:5" x14ac:dyDescent="0.2">
      <c r="A295" s="512"/>
      <c r="B295" s="516" t="s">
        <v>837</v>
      </c>
      <c r="C295" s="575">
        <f t="shared" si="33"/>
        <v>0.40472784574591208</v>
      </c>
      <c r="D295" s="575">
        <f t="shared" si="33"/>
        <v>0.3753975043490721</v>
      </c>
      <c r="E295" s="576">
        <f t="shared" si="34"/>
        <v>-2.9330341396839987E-2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838</v>
      </c>
      <c r="B297" s="501" t="s">
        <v>839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840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638</v>
      </c>
      <c r="C301" s="514">
        <f>+C48+C47+C50+C51+C52+C59+C58+C61+C62+C63</f>
        <v>327049213</v>
      </c>
      <c r="D301" s="514">
        <f>+D48+D47+D50+D51+D52+D59+D58+D61+D62+D63</f>
        <v>335531067</v>
      </c>
      <c r="E301" s="514">
        <f>D301-C301</f>
        <v>8481854</v>
      </c>
    </row>
    <row r="302" spans="1:5" ht="25.5" x14ac:dyDescent="0.2">
      <c r="A302" s="512">
        <v>2</v>
      </c>
      <c r="B302" s="511" t="s">
        <v>841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842</v>
      </c>
      <c r="C303" s="517">
        <f>+C301+C302</f>
        <v>327049213</v>
      </c>
      <c r="D303" s="517">
        <f>+D301+D302</f>
        <v>335531067</v>
      </c>
      <c r="E303" s="517">
        <f>D303-C303</f>
        <v>8481854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843</v>
      </c>
      <c r="C305" s="513">
        <v>23544847</v>
      </c>
      <c r="D305" s="578">
        <v>27736810</v>
      </c>
      <c r="E305" s="579">
        <f>D305-C305</f>
        <v>4191963</v>
      </c>
    </row>
    <row r="306" spans="1:5" x14ac:dyDescent="0.2">
      <c r="A306" s="512">
        <v>4</v>
      </c>
      <c r="B306" s="516" t="s">
        <v>844</v>
      </c>
      <c r="C306" s="580">
        <f>+C303+C305</f>
        <v>350594060</v>
      </c>
      <c r="D306" s="580">
        <f>+D303+D305</f>
        <v>363267877</v>
      </c>
      <c r="E306" s="580">
        <f>D306-C306</f>
        <v>12673817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845</v>
      </c>
      <c r="C308" s="513">
        <v>350594448</v>
      </c>
      <c r="D308" s="513">
        <v>363267877</v>
      </c>
      <c r="E308" s="514">
        <f>D308-C308</f>
        <v>12673429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846</v>
      </c>
      <c r="C310" s="581">
        <f>C306-C308</f>
        <v>-388</v>
      </c>
      <c r="D310" s="582">
        <f>D306-D308</f>
        <v>0</v>
      </c>
      <c r="E310" s="580">
        <f>D310-C310</f>
        <v>388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847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848</v>
      </c>
      <c r="C314" s="514">
        <f>+C14+C15+C16+C19+C25+C26+C27+C30</f>
        <v>853958106</v>
      </c>
      <c r="D314" s="514">
        <f>+D14+D15+D16+D19+D25+D26+D27+D30</f>
        <v>908958362</v>
      </c>
      <c r="E314" s="514">
        <f>D314-C314</f>
        <v>55000256</v>
      </c>
    </row>
    <row r="315" spans="1:5" x14ac:dyDescent="0.2">
      <c r="A315" s="512">
        <v>2</v>
      </c>
      <c r="B315" s="583" t="s">
        <v>849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850</v>
      </c>
      <c r="C316" s="581">
        <f>C314+C315</f>
        <v>853958106</v>
      </c>
      <c r="D316" s="581">
        <f>D314+D315</f>
        <v>908958362</v>
      </c>
      <c r="E316" s="517">
        <f>D316-C316</f>
        <v>55000256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851</v>
      </c>
      <c r="C318" s="513">
        <v>853958106</v>
      </c>
      <c r="D318" s="513">
        <v>908958362</v>
      </c>
      <c r="E318" s="514">
        <f>D318-C318</f>
        <v>55000256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846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852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853</v>
      </c>
      <c r="C324" s="513">
        <f>+C193+C194</f>
        <v>37981069</v>
      </c>
      <c r="D324" s="513">
        <f>+D193+D194</f>
        <v>41459477</v>
      </c>
      <c r="E324" s="514">
        <f>D324-C324</f>
        <v>3478408</v>
      </c>
    </row>
    <row r="325" spans="1:5" x14ac:dyDescent="0.2">
      <c r="A325" s="512">
        <v>2</v>
      </c>
      <c r="B325" s="511" t="s">
        <v>854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855</v>
      </c>
      <c r="C326" s="581">
        <f>C324+C325</f>
        <v>37981069</v>
      </c>
      <c r="D326" s="581">
        <f>D324+D325</f>
        <v>41459477</v>
      </c>
      <c r="E326" s="517">
        <f>D326-C326</f>
        <v>3478408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856</v>
      </c>
      <c r="C328" s="513">
        <v>37981069</v>
      </c>
      <c r="D328" s="513">
        <v>41459477</v>
      </c>
      <c r="E328" s="514">
        <f>D328-C328</f>
        <v>3478408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857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FILING&amp;RNORWALK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610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858</v>
      </c>
      <c r="B5" s="696"/>
      <c r="C5" s="697"/>
      <c r="D5" s="585"/>
    </row>
    <row r="6" spans="1:58" s="338" customFormat="1" ht="15.75" customHeight="1" x14ac:dyDescent="0.25">
      <c r="A6" s="695" t="s">
        <v>859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860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861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764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640</v>
      </c>
      <c r="C14" s="513">
        <v>146446753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619</v>
      </c>
      <c r="C15" s="515">
        <v>249956905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765</v>
      </c>
      <c r="C16" s="515">
        <v>77038977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75819360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732</v>
      </c>
      <c r="C18" s="515">
        <v>1219617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518914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747</v>
      </c>
      <c r="C20" s="515">
        <v>6389236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766</v>
      </c>
      <c r="C21" s="517">
        <f>SUM(C15+C16+C19)</f>
        <v>327514796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706</v>
      </c>
      <c r="C22" s="517">
        <f>SUM(C14+C21)</f>
        <v>473961549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767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640</v>
      </c>
      <c r="C25" s="513">
        <v>252731072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619</v>
      </c>
      <c r="C26" s="515">
        <v>123833405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765</v>
      </c>
      <c r="C27" s="515">
        <v>58037416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57507931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732</v>
      </c>
      <c r="C29" s="515">
        <v>529485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394920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747</v>
      </c>
      <c r="C31" s="518">
        <v>28798363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768</v>
      </c>
      <c r="C32" s="517">
        <f>SUM(C26+C27+C30)</f>
        <v>182265741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712</v>
      </c>
      <c r="C33" s="517">
        <f>SUM(C25+C32)</f>
        <v>434996813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637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862</v>
      </c>
      <c r="C36" s="514">
        <f>SUM(C14+C25)</f>
        <v>399177825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863</v>
      </c>
      <c r="C37" s="518">
        <f>SUM(C21+C32)</f>
        <v>509780537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637</v>
      </c>
      <c r="C38" s="517">
        <f>SUM(+C36+C37)</f>
        <v>908958362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777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640</v>
      </c>
      <c r="C41" s="513">
        <v>75378318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619</v>
      </c>
      <c r="C42" s="515">
        <v>75932454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765</v>
      </c>
      <c r="C43" s="515">
        <v>20818595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20337542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732</v>
      </c>
      <c r="C45" s="515">
        <v>481053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104982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747</v>
      </c>
      <c r="C47" s="515">
        <v>167271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778</v>
      </c>
      <c r="C48" s="517">
        <f>SUM(C42+C43+C46)</f>
        <v>96856031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707</v>
      </c>
      <c r="C49" s="517">
        <f>SUM(C41+C48)</f>
        <v>172234349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779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640</v>
      </c>
      <c r="C52" s="513">
        <v>126071470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619</v>
      </c>
      <c r="C53" s="515">
        <v>21742314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765</v>
      </c>
      <c r="C54" s="515">
        <v>15422987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15243246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732</v>
      </c>
      <c r="C56" s="515">
        <v>179741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59947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747</v>
      </c>
      <c r="C58" s="515">
        <v>2120010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780</v>
      </c>
      <c r="C59" s="517">
        <f>SUM(C53+C54+C57)</f>
        <v>37225248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713</v>
      </c>
      <c r="C60" s="517">
        <f>SUM(C52+C59)</f>
        <v>163296718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638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864</v>
      </c>
      <c r="C63" s="514">
        <f>SUM(C41+C52)</f>
        <v>201449788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865</v>
      </c>
      <c r="C64" s="518">
        <f>SUM(C48+C59)</f>
        <v>134081279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638</v>
      </c>
      <c r="C65" s="517">
        <f>SUM(+C63+C64)</f>
        <v>335531067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866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867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640</v>
      </c>
      <c r="C70" s="530">
        <v>5799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619</v>
      </c>
      <c r="C71" s="530">
        <v>6147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765</v>
      </c>
      <c r="C72" s="530">
        <v>3042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3002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732</v>
      </c>
      <c r="C74" s="530">
        <v>40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15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747</v>
      </c>
      <c r="C76" s="545">
        <v>267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795</v>
      </c>
      <c r="C77" s="532">
        <f>SUM(C71+C72+C75)</f>
        <v>9204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709</v>
      </c>
      <c r="C78" s="596">
        <f>SUM(C70+C77)</f>
        <v>15003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800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640</v>
      </c>
      <c r="C81" s="541">
        <v>1.0031000000000001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619</v>
      </c>
      <c r="C82" s="541">
        <v>1.3455999999999999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765</v>
      </c>
      <c r="C83" s="541">
        <f>((C73*C84)+(C74*C85))/(C73+C74)</f>
        <v>0.93919921104536486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0.93799999999999994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732</v>
      </c>
      <c r="C85" s="541">
        <v>1.0291999999999999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0.84589999999999999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747</v>
      </c>
      <c r="C87" s="541">
        <v>0.96430000000000005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801</v>
      </c>
      <c r="C88" s="543">
        <f>((C71*C82)+(C73*C84)+(C74*C85)+(C75*C86))/(C71+C73+C74+C75)</f>
        <v>1.2104667209908735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710</v>
      </c>
      <c r="C89" s="543">
        <f>((C70*C81)+(C71*C82)+(C73*C84)+(C74*C85)+(C75*C86))/(C70+C71+C73+C74+C75)</f>
        <v>1.1303147770445912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802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803</v>
      </c>
      <c r="C92" s="513">
        <v>363988504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804</v>
      </c>
      <c r="C93" s="546">
        <v>199162505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652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736</v>
      </c>
      <c r="C95" s="513">
        <f>+C92-C93</f>
        <v>164825999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654</v>
      </c>
      <c r="C96" s="597">
        <f>(+C92-C93)/C92</f>
        <v>0.4528329801317022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751</v>
      </c>
      <c r="C98" s="513">
        <v>15544363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737</v>
      </c>
      <c r="C99" s="513">
        <v>10986753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868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806</v>
      </c>
      <c r="C103" s="513">
        <v>17929000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807</v>
      </c>
      <c r="C104" s="513">
        <v>23530477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808</v>
      </c>
      <c r="C105" s="578">
        <f>+C103+C104</f>
        <v>41459477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809</v>
      </c>
      <c r="C107" s="513">
        <v>20310592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694</v>
      </c>
      <c r="C108" s="513">
        <v>361951445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839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840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638</v>
      </c>
      <c r="C114" s="514">
        <f>+C65</f>
        <v>335531067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841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842</v>
      </c>
      <c r="C116" s="517">
        <f>+C114+C115</f>
        <v>335531067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843</v>
      </c>
      <c r="C118" s="578">
        <v>27736810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844</v>
      </c>
      <c r="C119" s="580">
        <f>+C116+C118</f>
        <v>363267877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845</v>
      </c>
      <c r="C121" s="513">
        <v>363267877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846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847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848</v>
      </c>
      <c r="C127" s="514">
        <f>+C38</f>
        <v>908958362</v>
      </c>
      <c r="D127" s="588"/>
      <c r="AR127" s="507"/>
    </row>
    <row r="128" spans="1:58" s="506" customFormat="1" x14ac:dyDescent="0.2">
      <c r="A128" s="512">
        <v>2</v>
      </c>
      <c r="B128" s="583" t="s">
        <v>849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850</v>
      </c>
      <c r="C129" s="581">
        <f>C127+C128</f>
        <v>908958362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851</v>
      </c>
      <c r="C131" s="513">
        <v>908958362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846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852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853</v>
      </c>
      <c r="C137" s="513">
        <f>C105</f>
        <v>41459477</v>
      </c>
      <c r="D137" s="588"/>
      <c r="AR137" s="507"/>
    </row>
    <row r="138" spans="1:44" s="506" customFormat="1" x14ac:dyDescent="0.2">
      <c r="A138" s="512">
        <v>2</v>
      </c>
      <c r="B138" s="511" t="s">
        <v>869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855</v>
      </c>
      <c r="C139" s="581">
        <f>C137+C138</f>
        <v>41459477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870</v>
      </c>
      <c r="C141" s="513">
        <v>41459477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857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FILING&amp;RNORWALK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871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614</v>
      </c>
      <c r="D8" s="35" t="s">
        <v>614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616</v>
      </c>
      <c r="D9" s="607" t="s">
        <v>617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872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873</v>
      </c>
      <c r="C12" s="49">
        <v>4595</v>
      </c>
      <c r="D12" s="49">
        <v>5008</v>
      </c>
      <c r="E12" s="49">
        <f>+D12-C12</f>
        <v>413</v>
      </c>
      <c r="F12" s="70">
        <f>IF(C12=0,0,+E12/C12)</f>
        <v>8.9880304678998907E-2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874</v>
      </c>
      <c r="C13" s="49">
        <v>3879</v>
      </c>
      <c r="D13" s="49">
        <v>4318</v>
      </c>
      <c r="E13" s="49">
        <f>+D13-C13</f>
        <v>439</v>
      </c>
      <c r="F13" s="70">
        <f>IF(C13=0,0,+E13/C13)</f>
        <v>0.1131734983243104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875</v>
      </c>
      <c r="C15" s="51">
        <v>17327000</v>
      </c>
      <c r="D15" s="51">
        <v>17929000</v>
      </c>
      <c r="E15" s="51">
        <f>+D15-C15</f>
        <v>602000</v>
      </c>
      <c r="F15" s="70">
        <f>IF(C15=0,0,+E15/C15)</f>
        <v>3.4743463957984645E-2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876</v>
      </c>
      <c r="C16" s="27">
        <f>IF(C13=0,0,+C15/+C13)</f>
        <v>4466.872905387987</v>
      </c>
      <c r="D16" s="27">
        <f>IF(D13=0,0,+D15/+D13)</f>
        <v>4152.1537748957853</v>
      </c>
      <c r="E16" s="27">
        <f>+D16-C16</f>
        <v>-314.71913049220166</v>
      </c>
      <c r="F16" s="28">
        <f>IF(C16=0,0,+E16/C16)</f>
        <v>-7.045625366071738E-2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877</v>
      </c>
      <c r="C18" s="210">
        <v>0.447071</v>
      </c>
      <c r="D18" s="210">
        <v>0.39072200000000001</v>
      </c>
      <c r="E18" s="210">
        <f>+D18-C18</f>
        <v>-5.6348999999999982E-2</v>
      </c>
      <c r="F18" s="70">
        <f>IF(C18=0,0,+E18/C18)</f>
        <v>-0.12604038284746713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878</v>
      </c>
      <c r="C19" s="27">
        <f>+C15*C18</f>
        <v>7746399.2170000002</v>
      </c>
      <c r="D19" s="27">
        <f>+D15*D18</f>
        <v>7005254.7379999999</v>
      </c>
      <c r="E19" s="27">
        <f>+D19-C19</f>
        <v>-741144.47900000028</v>
      </c>
      <c r="F19" s="28">
        <f>IF(C19=0,0,+E19/C19)</f>
        <v>-9.5675998388194128E-2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879</v>
      </c>
      <c r="C20" s="27">
        <f>IF(C13=0,0,+C19/C13)</f>
        <v>1997.0093366847127</v>
      </c>
      <c r="D20" s="27">
        <f>IF(D13=0,0,+D19/D13)</f>
        <v>1622.3378272348309</v>
      </c>
      <c r="E20" s="27">
        <f>+D20-C20</f>
        <v>-374.6715094498818</v>
      </c>
      <c r="F20" s="28">
        <f>IF(C20=0,0,+E20/C20)</f>
        <v>-0.18761630332278953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880</v>
      </c>
      <c r="C22" s="51">
        <v>3461740</v>
      </c>
      <c r="D22" s="51">
        <v>2742745</v>
      </c>
      <c r="E22" s="51">
        <f>+D22-C22</f>
        <v>-718995</v>
      </c>
      <c r="F22" s="70">
        <f>IF(C22=0,0,+E22/C22)</f>
        <v>-0.20769757405235517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881</v>
      </c>
      <c r="C23" s="49">
        <v>8929795</v>
      </c>
      <c r="D23" s="49">
        <v>10121147</v>
      </c>
      <c r="E23" s="49">
        <f>+D23-C23</f>
        <v>1191352</v>
      </c>
      <c r="F23" s="70">
        <f>IF(C23=0,0,+E23/C23)</f>
        <v>0.13341314106314869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882</v>
      </c>
      <c r="C24" s="49">
        <v>4935465</v>
      </c>
      <c r="D24" s="49">
        <v>5065108</v>
      </c>
      <c r="E24" s="49">
        <f>+D24-C24</f>
        <v>129643</v>
      </c>
      <c r="F24" s="70">
        <f>IF(C24=0,0,+E24/C24)</f>
        <v>2.6267636382792704E-2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875</v>
      </c>
      <c r="C25" s="27">
        <f>+C22+C23+C24</f>
        <v>17327000</v>
      </c>
      <c r="D25" s="27">
        <f>+D22+D23+D24</f>
        <v>17929000</v>
      </c>
      <c r="E25" s="27">
        <f>+E22+E23+E24</f>
        <v>602000</v>
      </c>
      <c r="F25" s="28">
        <f>IF(C25=0,0,+E25/C25)</f>
        <v>3.4743463957984645E-2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883</v>
      </c>
      <c r="C27" s="49">
        <v>1946</v>
      </c>
      <c r="D27" s="49">
        <v>1366</v>
      </c>
      <c r="E27" s="49">
        <f>+D27-C27</f>
        <v>-580</v>
      </c>
      <c r="F27" s="70">
        <f>IF(C27=0,0,+E27/C27)</f>
        <v>-0.29804727646454265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884</v>
      </c>
      <c r="C28" s="49">
        <v>401</v>
      </c>
      <c r="D28" s="49">
        <v>330</v>
      </c>
      <c r="E28" s="49">
        <f>+D28-C28</f>
        <v>-71</v>
      </c>
      <c r="F28" s="70">
        <f>IF(C28=0,0,+E28/C28)</f>
        <v>-0.17705735660847879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885</v>
      </c>
      <c r="C29" s="49">
        <v>2346</v>
      </c>
      <c r="D29" s="49">
        <v>2289</v>
      </c>
      <c r="E29" s="49">
        <f>+D29-C29</f>
        <v>-57</v>
      </c>
      <c r="F29" s="70">
        <f>IF(C29=0,0,+E29/C29)</f>
        <v>-2.4296675191815855E-2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886</v>
      </c>
      <c r="C30" s="49">
        <v>13333</v>
      </c>
      <c r="D30" s="49">
        <v>14697</v>
      </c>
      <c r="E30" s="49">
        <f>+D30-C30</f>
        <v>1364</v>
      </c>
      <c r="F30" s="70">
        <f>IF(C30=0,0,+E30/C30)</f>
        <v>0.10230255756393909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887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888</v>
      </c>
      <c r="C33" s="51">
        <v>6161125</v>
      </c>
      <c r="D33" s="51">
        <v>7434470</v>
      </c>
      <c r="E33" s="51">
        <f>+D33-C33</f>
        <v>1273345</v>
      </c>
      <c r="F33" s="70">
        <f>IF(C33=0,0,+E33/C33)</f>
        <v>0.20667410578425208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889</v>
      </c>
      <c r="C34" s="49">
        <v>4521712</v>
      </c>
      <c r="D34" s="49">
        <v>6223202</v>
      </c>
      <c r="E34" s="49">
        <f>+D34-C34</f>
        <v>1701490</v>
      </c>
      <c r="F34" s="70">
        <f>IF(C34=0,0,+E34/C34)</f>
        <v>0.37629331545220041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890</v>
      </c>
      <c r="C35" s="49">
        <v>9971232</v>
      </c>
      <c r="D35" s="49">
        <v>9872805</v>
      </c>
      <c r="E35" s="49">
        <f>+D35-C35</f>
        <v>-98427</v>
      </c>
      <c r="F35" s="70">
        <f>IF(C35=0,0,+E35/C35)</f>
        <v>-9.8710971723454024E-3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891</v>
      </c>
      <c r="C36" s="27">
        <f>+C33+C34+C35</f>
        <v>20654069</v>
      </c>
      <c r="D36" s="27">
        <f>+D33+D34+D35</f>
        <v>23530477</v>
      </c>
      <c r="E36" s="27">
        <f>+E33+E34+E35</f>
        <v>2876408</v>
      </c>
      <c r="F36" s="28">
        <f>IF(C36=0,0,+E36/C36)</f>
        <v>0.13926592382353328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892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893</v>
      </c>
      <c r="C39" s="51">
        <f>+C25</f>
        <v>17327000</v>
      </c>
      <c r="D39" s="51">
        <f>+D25</f>
        <v>17929000</v>
      </c>
      <c r="E39" s="51">
        <f>+D39-C39</f>
        <v>602000</v>
      </c>
      <c r="F39" s="70">
        <f>IF(C39=0,0,+E39/C39)</f>
        <v>3.4743463957984645E-2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894</v>
      </c>
      <c r="C40" s="49">
        <f>+C36</f>
        <v>20654069</v>
      </c>
      <c r="D40" s="49">
        <f>+D36</f>
        <v>23530477</v>
      </c>
      <c r="E40" s="49">
        <f>+D40-C40</f>
        <v>2876408</v>
      </c>
      <c r="F40" s="70">
        <f>IF(C40=0,0,+E40/C40)</f>
        <v>0.13926592382353328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895</v>
      </c>
      <c r="C41" s="27">
        <f>+C39+C40</f>
        <v>37981069</v>
      </c>
      <c r="D41" s="27">
        <f>+D39+D40</f>
        <v>41459477</v>
      </c>
      <c r="E41" s="27">
        <f>+E39+E40</f>
        <v>3478408</v>
      </c>
      <c r="F41" s="28">
        <f>IF(C41=0,0,+E41/C41)</f>
        <v>9.1582677675554627E-2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896</v>
      </c>
      <c r="C43" s="51">
        <f t="shared" ref="C43:D45" si="0">+C22+C33</f>
        <v>9622865</v>
      </c>
      <c r="D43" s="51">
        <f t="shared" si="0"/>
        <v>10177215</v>
      </c>
      <c r="E43" s="51">
        <f>+D43-C43</f>
        <v>554350</v>
      </c>
      <c r="F43" s="70">
        <f>IF(C43=0,0,+E43/C43)</f>
        <v>5.760758360425923E-2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897</v>
      </c>
      <c r="C44" s="49">
        <f t="shared" si="0"/>
        <v>13451507</v>
      </c>
      <c r="D44" s="49">
        <f t="shared" si="0"/>
        <v>16344349</v>
      </c>
      <c r="E44" s="49">
        <f>+D44-C44</f>
        <v>2892842</v>
      </c>
      <c r="F44" s="70">
        <f>IF(C44=0,0,+E44/C44)</f>
        <v>0.21505709360296954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898</v>
      </c>
      <c r="C45" s="49">
        <f t="shared" si="0"/>
        <v>14906697</v>
      </c>
      <c r="D45" s="49">
        <f t="shared" si="0"/>
        <v>14937913</v>
      </c>
      <c r="E45" s="49">
        <f>+D45-C45</f>
        <v>31216</v>
      </c>
      <c r="F45" s="70">
        <f>IF(C45=0,0,+E45/C45)</f>
        <v>2.0940923398389327E-3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895</v>
      </c>
      <c r="C46" s="27">
        <f>+C43+C44+C45</f>
        <v>37981069</v>
      </c>
      <c r="D46" s="27">
        <f>+D43+D44+D45</f>
        <v>41459477</v>
      </c>
      <c r="E46" s="27">
        <f>+E43+E44+E45</f>
        <v>3478408</v>
      </c>
      <c r="F46" s="28">
        <f>IF(C46=0,0,+E46/C46)</f>
        <v>9.1582677675554627E-2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899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FILING&amp;RNORWALK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900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901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616</v>
      </c>
      <c r="D9" s="35" t="s">
        <v>617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902</v>
      </c>
      <c r="D10" s="35" t="s">
        <v>902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903</v>
      </c>
      <c r="D11" s="605" t="s">
        <v>903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904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327394936</v>
      </c>
      <c r="D15" s="51">
        <v>363988504</v>
      </c>
      <c r="E15" s="51">
        <f>+D15-C15</f>
        <v>36593568</v>
      </c>
      <c r="F15" s="70">
        <f>+E15/C15</f>
        <v>0.1117719426179518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905</v>
      </c>
      <c r="C17" s="51">
        <v>140584500</v>
      </c>
      <c r="D17" s="51">
        <v>164825999</v>
      </c>
      <c r="E17" s="51">
        <f>+D17-C17</f>
        <v>24241499</v>
      </c>
      <c r="F17" s="70">
        <f>+E17/C17</f>
        <v>0.17243365378117786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906</v>
      </c>
      <c r="C19" s="27">
        <f>+C15-C17</f>
        <v>186810436</v>
      </c>
      <c r="D19" s="27">
        <f>+D15-D17</f>
        <v>199162505</v>
      </c>
      <c r="E19" s="27">
        <f>+D19-C19</f>
        <v>12352069</v>
      </c>
      <c r="F19" s="28">
        <f>+E19/C19</f>
        <v>6.6120872390662375E-2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907</v>
      </c>
      <c r="C21" s="628">
        <f>+C17/C15</f>
        <v>0.42940340408930455</v>
      </c>
      <c r="D21" s="628">
        <f>+D17/D15</f>
        <v>0.4528329801317022</v>
      </c>
      <c r="E21" s="628">
        <f>+D21-C21</f>
        <v>2.3429576042397648E-2</v>
      </c>
      <c r="F21" s="28">
        <f>+E21/C21</f>
        <v>5.4563088739568812E-2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908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FILING&amp;R&amp;12NORWALK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909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910</v>
      </c>
      <c r="B6" s="632" t="s">
        <v>911</v>
      </c>
      <c r="C6" s="632" t="s">
        <v>912</v>
      </c>
      <c r="D6" s="632" t="s">
        <v>913</v>
      </c>
      <c r="E6" s="632" t="s">
        <v>914</v>
      </c>
    </row>
    <row r="7" spans="1:6" ht="37.5" customHeight="1" x14ac:dyDescent="0.25">
      <c r="A7" s="633" t="s">
        <v>8</v>
      </c>
      <c r="B7" s="634" t="s">
        <v>915</v>
      </c>
      <c r="C7" s="631" t="s">
        <v>916</v>
      </c>
      <c r="D7" s="631" t="s">
        <v>917</v>
      </c>
      <c r="E7" s="631" t="s">
        <v>918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919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920</v>
      </c>
      <c r="C10" s="641">
        <v>408782538</v>
      </c>
      <c r="D10" s="641">
        <v>456194748</v>
      </c>
      <c r="E10" s="641">
        <v>473961549</v>
      </c>
    </row>
    <row r="11" spans="1:6" ht="26.1" customHeight="1" x14ac:dyDescent="0.25">
      <c r="A11" s="639">
        <v>2</v>
      </c>
      <c r="B11" s="640" t="s">
        <v>921</v>
      </c>
      <c r="C11" s="641">
        <v>332249978</v>
      </c>
      <c r="D11" s="641">
        <v>397763358</v>
      </c>
      <c r="E11" s="641">
        <v>434996813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741032516</v>
      </c>
      <c r="D12" s="641">
        <f>+D11+D10</f>
        <v>853958106</v>
      </c>
      <c r="E12" s="641">
        <f>+E11+E10</f>
        <v>908958362</v>
      </c>
    </row>
    <row r="13" spans="1:6" ht="26.1" customHeight="1" x14ac:dyDescent="0.25">
      <c r="A13" s="639">
        <v>4</v>
      </c>
      <c r="B13" s="640" t="s">
        <v>496</v>
      </c>
      <c r="C13" s="641">
        <v>326580262</v>
      </c>
      <c r="D13" s="641">
        <v>350594448</v>
      </c>
      <c r="E13" s="641">
        <v>363267877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922</v>
      </c>
      <c r="C16" s="641">
        <v>337444501</v>
      </c>
      <c r="D16" s="641">
        <v>338475864</v>
      </c>
      <c r="E16" s="641">
        <v>361951445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923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69417</v>
      </c>
      <c r="D19" s="644">
        <v>70355</v>
      </c>
      <c r="E19" s="644">
        <v>67341</v>
      </c>
    </row>
    <row r="20" spans="1:5" ht="26.1" customHeight="1" x14ac:dyDescent="0.25">
      <c r="A20" s="639">
        <v>2</v>
      </c>
      <c r="B20" s="640" t="s">
        <v>385</v>
      </c>
      <c r="C20" s="645">
        <v>14483</v>
      </c>
      <c r="D20" s="645">
        <v>14878</v>
      </c>
      <c r="E20" s="645">
        <v>15003</v>
      </c>
    </row>
    <row r="21" spans="1:5" ht="26.1" customHeight="1" x14ac:dyDescent="0.25">
      <c r="A21" s="639">
        <v>3</v>
      </c>
      <c r="B21" s="640" t="s">
        <v>924</v>
      </c>
      <c r="C21" s="646">
        <f>IF(C20=0,0,+C19/C20)</f>
        <v>4.7929986881171027</v>
      </c>
      <c r="D21" s="646">
        <f>IF(D20=0,0,+D19/D20)</f>
        <v>4.728794192767845</v>
      </c>
      <c r="E21" s="646">
        <f>IF(E20=0,0,+E19/E20)</f>
        <v>4.4885022995400918</v>
      </c>
    </row>
    <row r="22" spans="1:5" ht="26.1" customHeight="1" x14ac:dyDescent="0.25">
      <c r="A22" s="639">
        <v>4</v>
      </c>
      <c r="B22" s="640" t="s">
        <v>925</v>
      </c>
      <c r="C22" s="645">
        <f>IF(C10=0,0,C19*(C12/C10))</f>
        <v>125837.69946448153</v>
      </c>
      <c r="D22" s="645">
        <f>IF(D10=0,0,D19*(D12/D10))</f>
        <v>131698.62829641782</v>
      </c>
      <c r="E22" s="645">
        <f>IF(E10=0,0,E19*(E12/E10))</f>
        <v>129145.84565897349</v>
      </c>
    </row>
    <row r="23" spans="1:5" ht="26.1" customHeight="1" x14ac:dyDescent="0.25">
      <c r="A23" s="639">
        <v>0</v>
      </c>
      <c r="B23" s="640" t="s">
        <v>926</v>
      </c>
      <c r="C23" s="645">
        <f>IF(C10=0,0,C20*(C12/C10))</f>
        <v>26254.482350779865</v>
      </c>
      <c r="D23" s="645">
        <f>IF(D10=0,0,D20*(D12/D10))</f>
        <v>27850.36162027012</v>
      </c>
      <c r="E23" s="645">
        <f>IF(E10=0,0,E20*(E12/E10))</f>
        <v>28772.592067560316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927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1.1723366450321067</v>
      </c>
      <c r="D26" s="647">
        <v>1.1728776240086036</v>
      </c>
      <c r="E26" s="647">
        <v>1.1303147770445909</v>
      </c>
    </row>
    <row r="27" spans="1:5" ht="26.1" customHeight="1" x14ac:dyDescent="0.25">
      <c r="A27" s="639">
        <v>2</v>
      </c>
      <c r="B27" s="640" t="s">
        <v>928</v>
      </c>
      <c r="C27" s="645">
        <f>C19*C26</f>
        <v>81380.092888193743</v>
      </c>
      <c r="D27" s="645">
        <f>D19*D26</f>
        <v>82517.805237125314</v>
      </c>
      <c r="E27" s="645">
        <f>E19*E26</f>
        <v>76116.527400959792</v>
      </c>
    </row>
    <row r="28" spans="1:5" ht="26.1" customHeight="1" x14ac:dyDescent="0.25">
      <c r="A28" s="639">
        <v>3</v>
      </c>
      <c r="B28" s="640" t="s">
        <v>929</v>
      </c>
      <c r="C28" s="645">
        <f>C20*C26</f>
        <v>16978.95163</v>
      </c>
      <c r="D28" s="645">
        <f>D20*D26</f>
        <v>17450.073290000004</v>
      </c>
      <c r="E28" s="645">
        <f>E20*E26</f>
        <v>16958.112599999997</v>
      </c>
    </row>
    <row r="29" spans="1:5" ht="26.1" customHeight="1" x14ac:dyDescent="0.25">
      <c r="A29" s="639">
        <v>4</v>
      </c>
      <c r="B29" s="640" t="s">
        <v>930</v>
      </c>
      <c r="C29" s="645">
        <f>C22*C26</f>
        <v>147524.14640874881</v>
      </c>
      <c r="D29" s="645">
        <f>D22*D26</f>
        <v>154466.37424149478</v>
      </c>
      <c r="E29" s="645">
        <f>E22*E26</f>
        <v>145975.45774225777</v>
      </c>
    </row>
    <row r="30" spans="1:5" ht="26.1" customHeight="1" x14ac:dyDescent="0.25">
      <c r="A30" s="639">
        <v>5</v>
      </c>
      <c r="B30" s="640" t="s">
        <v>931</v>
      </c>
      <c r="C30" s="645">
        <f>C23*C26</f>
        <v>30779.091756167923</v>
      </c>
      <c r="D30" s="645">
        <f>D23*D26</f>
        <v>32665.065964962821</v>
      </c>
      <c r="E30" s="645">
        <f>E23*E26</f>
        <v>32522.085987839404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932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933</v>
      </c>
      <c r="C33" s="641">
        <f>IF(C19=0,0,C12/C19)</f>
        <v>10675.087024792198</v>
      </c>
      <c r="D33" s="641">
        <f>IF(D19=0,0,D12/D19)</f>
        <v>12137.845298841588</v>
      </c>
      <c r="E33" s="641">
        <f>IF(E19=0,0,E12/E19)</f>
        <v>13497.844730550481</v>
      </c>
    </row>
    <row r="34" spans="1:5" ht="26.1" customHeight="1" x14ac:dyDescent="0.25">
      <c r="A34" s="639">
        <v>2</v>
      </c>
      <c r="B34" s="640" t="s">
        <v>934</v>
      </c>
      <c r="C34" s="641">
        <f>IF(C20=0,0,C12/C20)</f>
        <v>51165.67810536491</v>
      </c>
      <c r="D34" s="641">
        <f>IF(D20=0,0,D12/D20)</f>
        <v>57397.372361876594</v>
      </c>
      <c r="E34" s="641">
        <f>IF(E20=0,0,E12/E20)</f>
        <v>60585.107111910955</v>
      </c>
    </row>
    <row r="35" spans="1:5" ht="26.1" customHeight="1" x14ac:dyDescent="0.25">
      <c r="A35" s="639">
        <v>3</v>
      </c>
      <c r="B35" s="640" t="s">
        <v>935</v>
      </c>
      <c r="C35" s="641">
        <f>IF(C22=0,0,C12/C22)</f>
        <v>5888.7957992998836</v>
      </c>
      <c r="D35" s="641">
        <f>IF(D22=0,0,D12/D22)</f>
        <v>6484.1837538199134</v>
      </c>
      <c r="E35" s="641">
        <f>IF(E22=0,0,E12/E22)</f>
        <v>7038.231523143405</v>
      </c>
    </row>
    <row r="36" spans="1:5" ht="26.1" customHeight="1" x14ac:dyDescent="0.25">
      <c r="A36" s="639">
        <v>4</v>
      </c>
      <c r="B36" s="640" t="s">
        <v>936</v>
      </c>
      <c r="C36" s="641">
        <f>IF(C23=0,0,C12/C23)</f>
        <v>28224.990540633848</v>
      </c>
      <c r="D36" s="641">
        <f>IF(D23=0,0,D12/D23)</f>
        <v>30662.370479903217</v>
      </c>
      <c r="E36" s="641">
        <f>IF(E23=0,0,E12/E23)</f>
        <v>31591.118376324735</v>
      </c>
    </row>
    <row r="37" spans="1:5" ht="26.1" customHeight="1" x14ac:dyDescent="0.25">
      <c r="A37" s="639">
        <v>5</v>
      </c>
      <c r="B37" s="640" t="s">
        <v>937</v>
      </c>
      <c r="C37" s="641">
        <f>IF(C29=0,0,C12/C29)</f>
        <v>5023.1269527010363</v>
      </c>
      <c r="D37" s="641">
        <f>IF(D29=0,0,D12/D29)</f>
        <v>5528.4401552982044</v>
      </c>
      <c r="E37" s="641">
        <f>IF(E29=0,0,E12/E29)</f>
        <v>6226.7889140988782</v>
      </c>
    </row>
    <row r="38" spans="1:5" ht="26.1" customHeight="1" x14ac:dyDescent="0.25">
      <c r="A38" s="639">
        <v>6</v>
      </c>
      <c r="B38" s="640" t="s">
        <v>938</v>
      </c>
      <c r="C38" s="641">
        <f>IF(C30=0,0,C12/C30)</f>
        <v>24075.840894541732</v>
      </c>
      <c r="D38" s="641">
        <f>IF(D30=0,0,D12/D30)</f>
        <v>26142.855701438715</v>
      </c>
      <c r="E38" s="641">
        <f>IF(E30=0,0,E12/E30)</f>
        <v>27948.956359683569</v>
      </c>
    </row>
    <row r="39" spans="1:5" ht="26.1" customHeight="1" x14ac:dyDescent="0.25">
      <c r="A39" s="639">
        <v>7</v>
      </c>
      <c r="B39" s="640" t="s">
        <v>939</v>
      </c>
      <c r="C39" s="641">
        <f>IF(C22=0,0,C10/C22)</f>
        <v>3248.4902357530891</v>
      </c>
      <c r="D39" s="641">
        <f>IF(D22=0,0,D10/D22)</f>
        <v>3463.9293810504205</v>
      </c>
      <c r="E39" s="641">
        <f>IF(E22=0,0,E10/E22)</f>
        <v>3669.9713148462979</v>
      </c>
    </row>
    <row r="40" spans="1:5" ht="26.1" customHeight="1" x14ac:dyDescent="0.25">
      <c r="A40" s="639">
        <v>8</v>
      </c>
      <c r="B40" s="640" t="s">
        <v>940</v>
      </c>
      <c r="C40" s="641">
        <f>IF(C23=0,0,C10/C23)</f>
        <v>15570.009438325777</v>
      </c>
      <c r="D40" s="641">
        <f>IF(D23=0,0,D10/D23)</f>
        <v>16380.209141269146</v>
      </c>
      <c r="E40" s="641">
        <f>IF(E23=0,0,E10/E23)</f>
        <v>16472.674685933784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941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942</v>
      </c>
      <c r="C43" s="641">
        <f>IF(C19=0,0,C13/C19)</f>
        <v>4704.6150366624888</v>
      </c>
      <c r="D43" s="641">
        <f>IF(D19=0,0,D13/D19)</f>
        <v>4983.2200696467917</v>
      </c>
      <c r="E43" s="641">
        <f>IF(E19=0,0,E13/E19)</f>
        <v>5394.4532602723448</v>
      </c>
    </row>
    <row r="44" spans="1:5" ht="26.1" customHeight="1" x14ac:dyDescent="0.25">
      <c r="A44" s="639">
        <v>2</v>
      </c>
      <c r="B44" s="640" t="s">
        <v>943</v>
      </c>
      <c r="C44" s="641">
        <f>IF(C20=0,0,C13/C20)</f>
        <v>22549.213698819305</v>
      </c>
      <c r="D44" s="641">
        <f>IF(D20=0,0,D13/D20)</f>
        <v>23564.622126629922</v>
      </c>
      <c r="E44" s="641">
        <f>IF(E20=0,0,E13/E20)</f>
        <v>24213.015863493969</v>
      </c>
    </row>
    <row r="45" spans="1:5" ht="26.1" customHeight="1" x14ac:dyDescent="0.25">
      <c r="A45" s="639">
        <v>3</v>
      </c>
      <c r="B45" s="640" t="s">
        <v>944</v>
      </c>
      <c r="C45" s="641">
        <f>IF(C22=0,0,C13/C22)</f>
        <v>2595.2497811848452</v>
      </c>
      <c r="D45" s="641">
        <f>IF(D22=0,0,D13/D22)</f>
        <v>2662.0964283007352</v>
      </c>
      <c r="E45" s="641">
        <f>IF(E22=0,0,E13/E22)</f>
        <v>2812.8498841476976</v>
      </c>
    </row>
    <row r="46" spans="1:5" ht="26.1" customHeight="1" x14ac:dyDescent="0.25">
      <c r="A46" s="639">
        <v>4</v>
      </c>
      <c r="B46" s="640" t="s">
        <v>945</v>
      </c>
      <c r="C46" s="641">
        <f>IF(C23=0,0,C13/C23)</f>
        <v>12439.028796555162</v>
      </c>
      <c r="D46" s="641">
        <f>IF(D23=0,0,D13/D23)</f>
        <v>12588.506130736539</v>
      </c>
      <c r="E46" s="641">
        <f>IF(E23=0,0,E13/E23)</f>
        <v>12625.483173258022</v>
      </c>
    </row>
    <row r="47" spans="1:5" ht="26.1" customHeight="1" x14ac:dyDescent="0.25">
      <c r="A47" s="639">
        <v>5</v>
      </c>
      <c r="B47" s="640" t="s">
        <v>946</v>
      </c>
      <c r="C47" s="641">
        <f>IF(C29=0,0,C13/C29)</f>
        <v>2213.7410718861979</v>
      </c>
      <c r="D47" s="641">
        <f>IF(D29=0,0,D13/D29)</f>
        <v>2269.7137142086081</v>
      </c>
      <c r="E47" s="641">
        <f>IF(E29=0,0,E13/E29)</f>
        <v>2488.554464007269</v>
      </c>
    </row>
    <row r="48" spans="1:5" ht="26.1" customHeight="1" x14ac:dyDescent="0.25">
      <c r="A48" s="639">
        <v>6</v>
      </c>
      <c r="B48" s="640" t="s">
        <v>947</v>
      </c>
      <c r="C48" s="641">
        <f>IF(C30=0,0,C13/C30)</f>
        <v>10610.458053381497</v>
      </c>
      <c r="D48" s="641">
        <f>IF(D30=0,0,D13/D30)</f>
        <v>10733.009030995203</v>
      </c>
      <c r="E48" s="641">
        <f>IF(E30=0,0,E13/E30)</f>
        <v>11169.882434227387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948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949</v>
      </c>
      <c r="C51" s="641">
        <f>IF(C19=0,0,C16/C19)</f>
        <v>4861.1219297866519</v>
      </c>
      <c r="D51" s="641">
        <f>IF(D19=0,0,D16/D19)</f>
        <v>4810.9709899793907</v>
      </c>
      <c r="E51" s="641">
        <f>IF(E19=0,0,E16/E19)</f>
        <v>5374.9045158224562</v>
      </c>
    </row>
    <row r="52" spans="1:6" ht="26.1" customHeight="1" x14ac:dyDescent="0.25">
      <c r="A52" s="639">
        <v>2</v>
      </c>
      <c r="B52" s="640" t="s">
        <v>950</v>
      </c>
      <c r="C52" s="641">
        <f>IF(C20=0,0,C16/C20)</f>
        <v>23299.3510322447</v>
      </c>
      <c r="D52" s="641">
        <f>IF(D20=0,0,D16/D20)</f>
        <v>22750.091678989113</v>
      </c>
      <c r="E52" s="641">
        <f>IF(E20=0,0,E16/E20)</f>
        <v>24125.271279077519</v>
      </c>
    </row>
    <row r="53" spans="1:6" ht="26.1" customHeight="1" x14ac:dyDescent="0.25">
      <c r="A53" s="639">
        <v>3</v>
      </c>
      <c r="B53" s="640" t="s">
        <v>951</v>
      </c>
      <c r="C53" s="641">
        <f>IF(C22=0,0,C16/C22)</f>
        <v>2681.5851087236842</v>
      </c>
      <c r="D53" s="641">
        <f>IF(D22=0,0,D16/D22)</f>
        <v>2570.0788867609372</v>
      </c>
      <c r="E53" s="641">
        <f>IF(E22=0,0,E16/E22)</f>
        <v>2802.6565094147913</v>
      </c>
    </row>
    <row r="54" spans="1:6" ht="26.1" customHeight="1" x14ac:dyDescent="0.25">
      <c r="A54" s="639">
        <v>4</v>
      </c>
      <c r="B54" s="640" t="s">
        <v>952</v>
      </c>
      <c r="C54" s="641">
        <f>IF(C23=0,0,C16/C23)</f>
        <v>12852.833908186978</v>
      </c>
      <c r="D54" s="641">
        <f>IF(D23=0,0,D16/D23)</f>
        <v>12153.374114670369</v>
      </c>
      <c r="E54" s="641">
        <f>IF(E23=0,0,E16/E23)</f>
        <v>12579.730187329298</v>
      </c>
    </row>
    <row r="55" spans="1:6" ht="26.1" customHeight="1" x14ac:dyDescent="0.25">
      <c r="A55" s="639">
        <v>5</v>
      </c>
      <c r="B55" s="640" t="s">
        <v>953</v>
      </c>
      <c r="C55" s="641">
        <f>IF(C29=0,0,C16/C29)</f>
        <v>2287.3848736940604</v>
      </c>
      <c r="D55" s="641">
        <f>IF(D29=0,0,D16/D29)</f>
        <v>2191.2592022832255</v>
      </c>
      <c r="E55" s="641">
        <f>IF(E29=0,0,E16/E29)</f>
        <v>2479.536290539203</v>
      </c>
    </row>
    <row r="56" spans="1:6" ht="26.1" customHeight="1" x14ac:dyDescent="0.25">
      <c r="A56" s="639">
        <v>6</v>
      </c>
      <c r="B56" s="640" t="s">
        <v>954</v>
      </c>
      <c r="C56" s="641">
        <f>IF(C30=0,0,C16/C30)</f>
        <v>10963.432698834538</v>
      </c>
      <c r="D56" s="641">
        <f>IF(D30=0,0,D16/D30)</f>
        <v>10362.013790606017</v>
      </c>
      <c r="E56" s="641">
        <f>IF(E30=0,0,E16/E30)</f>
        <v>11129.404341878322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955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956</v>
      </c>
      <c r="C59" s="649">
        <v>45786858</v>
      </c>
      <c r="D59" s="649">
        <v>45217418</v>
      </c>
      <c r="E59" s="649">
        <v>46217962</v>
      </c>
    </row>
    <row r="60" spans="1:6" ht="26.1" customHeight="1" x14ac:dyDescent="0.25">
      <c r="A60" s="639">
        <v>2</v>
      </c>
      <c r="B60" s="640" t="s">
        <v>957</v>
      </c>
      <c r="C60" s="649">
        <v>13413788</v>
      </c>
      <c r="D60" s="649">
        <v>12997496</v>
      </c>
      <c r="E60" s="649">
        <v>14427766</v>
      </c>
    </row>
    <row r="61" spans="1:6" ht="26.1" customHeight="1" x14ac:dyDescent="0.25">
      <c r="A61" s="650">
        <v>3</v>
      </c>
      <c r="B61" s="651" t="s">
        <v>958</v>
      </c>
      <c r="C61" s="652">
        <f>C59+C60</f>
        <v>59200646</v>
      </c>
      <c r="D61" s="652">
        <f>D59+D60</f>
        <v>58214914</v>
      </c>
      <c r="E61" s="652">
        <f>E59+E60</f>
        <v>60645728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959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960</v>
      </c>
      <c r="C64" s="641">
        <v>16914558</v>
      </c>
      <c r="D64" s="641">
        <v>15263892</v>
      </c>
      <c r="E64" s="649">
        <v>9930604</v>
      </c>
      <c r="F64" s="653"/>
    </row>
    <row r="65" spans="1:6" ht="26.1" customHeight="1" x14ac:dyDescent="0.25">
      <c r="A65" s="639">
        <v>2</v>
      </c>
      <c r="B65" s="640" t="s">
        <v>961</v>
      </c>
      <c r="C65" s="649">
        <v>2509283</v>
      </c>
      <c r="D65" s="649">
        <v>3697361</v>
      </c>
      <c r="E65" s="649">
        <v>2996514</v>
      </c>
      <c r="F65" s="653"/>
    </row>
    <row r="66" spans="1:6" ht="26.1" customHeight="1" x14ac:dyDescent="0.25">
      <c r="A66" s="650">
        <v>3</v>
      </c>
      <c r="B66" s="651" t="s">
        <v>962</v>
      </c>
      <c r="C66" s="654">
        <f>C64+C65</f>
        <v>19423841</v>
      </c>
      <c r="D66" s="654">
        <f>D64+D65</f>
        <v>18961253</v>
      </c>
      <c r="E66" s="654">
        <f>E64+E65</f>
        <v>12927118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963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964</v>
      </c>
      <c r="C69" s="649">
        <v>67563362</v>
      </c>
      <c r="D69" s="649">
        <v>71810399</v>
      </c>
      <c r="E69" s="649">
        <v>77433917</v>
      </c>
    </row>
    <row r="70" spans="1:6" ht="26.1" customHeight="1" x14ac:dyDescent="0.25">
      <c r="A70" s="639">
        <v>2</v>
      </c>
      <c r="B70" s="640" t="s">
        <v>965</v>
      </c>
      <c r="C70" s="649">
        <v>30756962</v>
      </c>
      <c r="D70" s="649">
        <v>25879074</v>
      </c>
      <c r="E70" s="649">
        <v>30346364</v>
      </c>
    </row>
    <row r="71" spans="1:6" ht="26.1" customHeight="1" x14ac:dyDescent="0.25">
      <c r="A71" s="650">
        <v>3</v>
      </c>
      <c r="B71" s="651" t="s">
        <v>966</v>
      </c>
      <c r="C71" s="652">
        <f>C69+C70</f>
        <v>98320324</v>
      </c>
      <c r="D71" s="652">
        <f>D69+D70</f>
        <v>97689473</v>
      </c>
      <c r="E71" s="652">
        <f>E69+E70</f>
        <v>107780281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967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968</v>
      </c>
      <c r="C75" s="641">
        <f t="shared" ref="C75:E76" si="0">+C59+C64+C69</f>
        <v>130264778</v>
      </c>
      <c r="D75" s="641">
        <f t="shared" si="0"/>
        <v>132291709</v>
      </c>
      <c r="E75" s="641">
        <f t="shared" si="0"/>
        <v>133582483</v>
      </c>
    </row>
    <row r="76" spans="1:6" ht="26.1" customHeight="1" x14ac:dyDescent="0.25">
      <c r="A76" s="639">
        <v>2</v>
      </c>
      <c r="B76" s="640" t="s">
        <v>969</v>
      </c>
      <c r="C76" s="641">
        <f t="shared" si="0"/>
        <v>46680033</v>
      </c>
      <c r="D76" s="641">
        <f t="shared" si="0"/>
        <v>42573931</v>
      </c>
      <c r="E76" s="641">
        <f t="shared" si="0"/>
        <v>47770644</v>
      </c>
    </row>
    <row r="77" spans="1:6" ht="26.1" customHeight="1" x14ac:dyDescent="0.25">
      <c r="A77" s="650">
        <v>3</v>
      </c>
      <c r="B77" s="651" t="s">
        <v>967</v>
      </c>
      <c r="C77" s="654">
        <f>C75+C76</f>
        <v>176944811</v>
      </c>
      <c r="D77" s="654">
        <f>D75+D76</f>
        <v>174865640</v>
      </c>
      <c r="E77" s="654">
        <f>E75+E76</f>
        <v>181353127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970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488.6</v>
      </c>
      <c r="D80" s="646">
        <v>462.7</v>
      </c>
      <c r="E80" s="646">
        <v>453.2</v>
      </c>
    </row>
    <row r="81" spans="1:5" ht="26.1" customHeight="1" x14ac:dyDescent="0.25">
      <c r="A81" s="639">
        <v>2</v>
      </c>
      <c r="B81" s="640" t="s">
        <v>597</v>
      </c>
      <c r="C81" s="646">
        <v>105.8</v>
      </c>
      <c r="D81" s="646">
        <v>103.9</v>
      </c>
      <c r="E81" s="646">
        <v>90.7</v>
      </c>
    </row>
    <row r="82" spans="1:5" ht="26.1" customHeight="1" x14ac:dyDescent="0.25">
      <c r="A82" s="639">
        <v>3</v>
      </c>
      <c r="B82" s="640" t="s">
        <v>971</v>
      </c>
      <c r="C82" s="646">
        <v>1132.2</v>
      </c>
      <c r="D82" s="646">
        <v>1131.8</v>
      </c>
      <c r="E82" s="646">
        <v>1154.9000000000001</v>
      </c>
    </row>
    <row r="83" spans="1:5" ht="26.1" customHeight="1" x14ac:dyDescent="0.25">
      <c r="A83" s="650">
        <v>4</v>
      </c>
      <c r="B83" s="651" t="s">
        <v>970</v>
      </c>
      <c r="C83" s="656">
        <f>C80+C81+C82</f>
        <v>1726.6</v>
      </c>
      <c r="D83" s="656">
        <f>D80+D81+D82</f>
        <v>1698.4</v>
      </c>
      <c r="E83" s="656">
        <f>E80+E81+E82</f>
        <v>1698.8000000000002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972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973</v>
      </c>
      <c r="C86" s="649">
        <f>IF(C80=0,0,C59/C80)</f>
        <v>93710.311092918535</v>
      </c>
      <c r="D86" s="649">
        <f>IF(D80=0,0,D59/D80)</f>
        <v>97725.130754268423</v>
      </c>
      <c r="E86" s="649">
        <f>IF(E80=0,0,E59/E80)</f>
        <v>101981.3812886143</v>
      </c>
    </row>
    <row r="87" spans="1:5" ht="26.1" customHeight="1" x14ac:dyDescent="0.25">
      <c r="A87" s="639">
        <v>2</v>
      </c>
      <c r="B87" s="640" t="s">
        <v>974</v>
      </c>
      <c r="C87" s="649">
        <f>IF(C80=0,0,C60/C80)</f>
        <v>27453.516168645107</v>
      </c>
      <c r="D87" s="649">
        <f>IF(D80=0,0,D60/D80)</f>
        <v>28090.546790577049</v>
      </c>
      <c r="E87" s="649">
        <f>IF(E80=0,0,E60/E80)</f>
        <v>31835.317740511917</v>
      </c>
    </row>
    <row r="88" spans="1:5" ht="26.1" customHeight="1" x14ac:dyDescent="0.25">
      <c r="A88" s="650">
        <v>3</v>
      </c>
      <c r="B88" s="651" t="s">
        <v>975</v>
      </c>
      <c r="C88" s="652">
        <f>+C86+C87</f>
        <v>121163.82726156364</v>
      </c>
      <c r="D88" s="652">
        <f>+D86+D87</f>
        <v>125815.67754484547</v>
      </c>
      <c r="E88" s="652">
        <f>+E86+E87</f>
        <v>133816.6990291262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976</v>
      </c>
    </row>
    <row r="91" spans="1:5" ht="26.1" customHeight="1" x14ac:dyDescent="0.25">
      <c r="A91" s="639">
        <v>1</v>
      </c>
      <c r="B91" s="640" t="s">
        <v>977</v>
      </c>
      <c r="C91" s="641">
        <f>IF(C81=0,0,C64/C81)</f>
        <v>159872.94896030246</v>
      </c>
      <c r="D91" s="641">
        <f>IF(D81=0,0,D64/D81)</f>
        <v>146909.45139557266</v>
      </c>
      <c r="E91" s="641">
        <f>IF(E81=0,0,E64/E81)</f>
        <v>109488.46747519294</v>
      </c>
    </row>
    <row r="92" spans="1:5" ht="26.1" customHeight="1" x14ac:dyDescent="0.25">
      <c r="A92" s="639">
        <v>2</v>
      </c>
      <c r="B92" s="640" t="s">
        <v>978</v>
      </c>
      <c r="C92" s="641">
        <f>IF(C81=0,0,C65/C81)</f>
        <v>23717.230623818527</v>
      </c>
      <c r="D92" s="641">
        <f>IF(D81=0,0,D65/D81)</f>
        <v>35585.765158806542</v>
      </c>
      <c r="E92" s="641">
        <f>IF(E81=0,0,E65/E81)</f>
        <v>33037.640573318633</v>
      </c>
    </row>
    <row r="93" spans="1:5" ht="26.1" customHeight="1" x14ac:dyDescent="0.25">
      <c r="A93" s="650">
        <v>3</v>
      </c>
      <c r="B93" s="651" t="s">
        <v>979</v>
      </c>
      <c r="C93" s="654">
        <f>+C91+C92</f>
        <v>183590.17958412098</v>
      </c>
      <c r="D93" s="654">
        <f>+D91+D92</f>
        <v>182495.21655437921</v>
      </c>
      <c r="E93" s="654">
        <f>+E91+E92</f>
        <v>142526.10804851158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980</v>
      </c>
      <c r="B95" s="642" t="s">
        <v>981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982</v>
      </c>
      <c r="C96" s="649">
        <f>IF(C82=0,0,C69/C82)</f>
        <v>59674.405582052641</v>
      </c>
      <c r="D96" s="649">
        <f>IF(D82=0,0,D69/D82)</f>
        <v>63447.958119809155</v>
      </c>
      <c r="E96" s="649">
        <f>IF(E82=0,0,E69/E82)</f>
        <v>67048.157416226502</v>
      </c>
    </row>
    <row r="97" spans="1:5" ht="26.1" customHeight="1" x14ac:dyDescent="0.25">
      <c r="A97" s="639">
        <v>2</v>
      </c>
      <c r="B97" s="640" t="s">
        <v>983</v>
      </c>
      <c r="C97" s="649">
        <f>IF(C82=0,0,C70/C82)</f>
        <v>27165.661543896837</v>
      </c>
      <c r="D97" s="649">
        <f>IF(D82=0,0,D70/D82)</f>
        <v>22865.412617070153</v>
      </c>
      <c r="E97" s="649">
        <f>IF(E82=0,0,E70/E82)</f>
        <v>26276.183219326347</v>
      </c>
    </row>
    <row r="98" spans="1:5" ht="26.1" customHeight="1" x14ac:dyDescent="0.25">
      <c r="A98" s="650">
        <v>3</v>
      </c>
      <c r="B98" s="651" t="s">
        <v>984</v>
      </c>
      <c r="C98" s="654">
        <f>+C96+C97</f>
        <v>86840.067125949485</v>
      </c>
      <c r="D98" s="654">
        <f>+D96+D97</f>
        <v>86313.370736879311</v>
      </c>
      <c r="E98" s="654">
        <f>+E96+E97</f>
        <v>93324.340635552857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985</v>
      </c>
      <c r="B100" s="642" t="s">
        <v>986</v>
      </c>
    </row>
    <row r="101" spans="1:5" ht="26.1" customHeight="1" x14ac:dyDescent="0.25">
      <c r="A101" s="639">
        <v>1</v>
      </c>
      <c r="B101" s="640" t="s">
        <v>987</v>
      </c>
      <c r="C101" s="641">
        <f>IF(C83=0,0,C75/C83)</f>
        <v>75445.834588208047</v>
      </c>
      <c r="D101" s="641">
        <f>IF(D83=0,0,D75/D83)</f>
        <v>77891.962435233159</v>
      </c>
      <c r="E101" s="641">
        <f>IF(E83=0,0,E75/E83)</f>
        <v>78633.437132093241</v>
      </c>
    </row>
    <row r="102" spans="1:5" ht="26.1" customHeight="1" x14ac:dyDescent="0.25">
      <c r="A102" s="639">
        <v>2</v>
      </c>
      <c r="B102" s="640" t="s">
        <v>988</v>
      </c>
      <c r="C102" s="658">
        <f>IF(C83=0,0,C76/C83)</f>
        <v>27035.812000463338</v>
      </c>
      <c r="D102" s="658">
        <f>IF(D83=0,0,D76/D83)</f>
        <v>25067.081370701835</v>
      </c>
      <c r="E102" s="658">
        <f>IF(E83=0,0,E76/E83)</f>
        <v>28120.228396515184</v>
      </c>
    </row>
    <row r="103" spans="1:5" ht="26.1" customHeight="1" x14ac:dyDescent="0.25">
      <c r="A103" s="650">
        <v>3</v>
      </c>
      <c r="B103" s="651" t="s">
        <v>986</v>
      </c>
      <c r="C103" s="654">
        <f>+C101+C102</f>
        <v>102481.64658867138</v>
      </c>
      <c r="D103" s="654">
        <f>+D101+D102</f>
        <v>102959.043805935</v>
      </c>
      <c r="E103" s="654">
        <f>+E101+E102</f>
        <v>106753.66552860843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989</v>
      </c>
      <c r="B107" s="634" t="s">
        <v>990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991</v>
      </c>
      <c r="C108" s="641">
        <f>IF(C19=0,0,C77/C19)</f>
        <v>2549.0126481985681</v>
      </c>
      <c r="D108" s="641">
        <f>IF(D19=0,0,D77/D19)</f>
        <v>2485.4756591571318</v>
      </c>
      <c r="E108" s="641">
        <f>IF(E19=0,0,E77/E19)</f>
        <v>2693.056637115576</v>
      </c>
    </row>
    <row r="109" spans="1:5" ht="26.1" customHeight="1" x14ac:dyDescent="0.25">
      <c r="A109" s="639">
        <v>2</v>
      </c>
      <c r="B109" s="640" t="s">
        <v>992</v>
      </c>
      <c r="C109" s="641">
        <f>IF(C20=0,0,C77/C20)</f>
        <v>12217.41427880964</v>
      </c>
      <c r="D109" s="641">
        <f>IF(D20=0,0,D77/D20)</f>
        <v>11753.302863288076</v>
      </c>
      <c r="E109" s="641">
        <f>IF(E20=0,0,E77/E20)</f>
        <v>12087.790908484969</v>
      </c>
    </row>
    <row r="110" spans="1:5" ht="26.1" customHeight="1" x14ac:dyDescent="0.25">
      <c r="A110" s="639">
        <v>3</v>
      </c>
      <c r="B110" s="640" t="s">
        <v>993</v>
      </c>
      <c r="C110" s="641">
        <f>IF(C22=0,0,C77/C22)</f>
        <v>1406.1351387780558</v>
      </c>
      <c r="D110" s="641">
        <f>IF(D22=0,0,D77/D22)</f>
        <v>1327.7711564802707</v>
      </c>
      <c r="E110" s="641">
        <f>IF(E22=0,0,E77/E22)</f>
        <v>1404.2505670595606</v>
      </c>
    </row>
    <row r="111" spans="1:5" ht="26.1" customHeight="1" x14ac:dyDescent="0.25">
      <c r="A111" s="639">
        <v>4</v>
      </c>
      <c r="B111" s="640" t="s">
        <v>994</v>
      </c>
      <c r="C111" s="641">
        <f>IF(C23=0,0,C77/C23)</f>
        <v>6739.6038754785814</v>
      </c>
      <c r="D111" s="641">
        <f>IF(D23=0,0,D77/D23)</f>
        <v>6278.7565340885503</v>
      </c>
      <c r="E111" s="641">
        <f>IF(E23=0,0,E77/E23)</f>
        <v>6302.9818993773151</v>
      </c>
    </row>
    <row r="112" spans="1:5" ht="26.1" customHeight="1" x14ac:dyDescent="0.25">
      <c r="A112" s="639">
        <v>5</v>
      </c>
      <c r="B112" s="640" t="s">
        <v>995</v>
      </c>
      <c r="C112" s="641">
        <f>IF(C29=0,0,C77/C29)</f>
        <v>1199.4294853246236</v>
      </c>
      <c r="D112" s="641">
        <f>IF(D29=0,0,D77/D29)</f>
        <v>1132.062825056104</v>
      </c>
      <c r="E112" s="641">
        <f>IF(E29=0,0,E77/E29)</f>
        <v>1242.3535421975314</v>
      </c>
    </row>
    <row r="113" spans="1:7" ht="25.5" customHeight="1" x14ac:dyDescent="0.25">
      <c r="A113" s="639">
        <v>6</v>
      </c>
      <c r="B113" s="640" t="s">
        <v>996</v>
      </c>
      <c r="C113" s="641">
        <f>IF(C30=0,0,C77/C30)</f>
        <v>5748.8639496498936</v>
      </c>
      <c r="D113" s="641">
        <f>IF(D30=0,0,D77/D30)</f>
        <v>5353.292112973666</v>
      </c>
      <c r="E113" s="641">
        <f>IF(E30=0,0,E77/E30)</f>
        <v>5576.3067309953985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FILING&amp;R&amp;12NORWALK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853958106</v>
      </c>
      <c r="D12" s="51">
        <v>908958362</v>
      </c>
      <c r="E12" s="51">
        <f t="shared" ref="E12:E19" si="0">D12-C12</f>
        <v>55000256</v>
      </c>
      <c r="F12" s="70">
        <f t="shared" ref="F12:F19" si="1">IF(C12=0,0,E12/C12)</f>
        <v>6.4406269597492405E-2</v>
      </c>
    </row>
    <row r="13" spans="1:8" ht="23.1" customHeight="1" x14ac:dyDescent="0.2">
      <c r="A13" s="25">
        <v>2</v>
      </c>
      <c r="B13" s="48" t="s">
        <v>72</v>
      </c>
      <c r="C13" s="51">
        <v>486036658</v>
      </c>
      <c r="D13" s="51">
        <v>527761485</v>
      </c>
      <c r="E13" s="51">
        <f t="shared" si="0"/>
        <v>41724827</v>
      </c>
      <c r="F13" s="70">
        <f t="shared" si="1"/>
        <v>8.584707822593908E-2</v>
      </c>
    </row>
    <row r="14" spans="1:8" ht="23.1" customHeight="1" x14ac:dyDescent="0.2">
      <c r="A14" s="25">
        <v>3</v>
      </c>
      <c r="B14" s="48" t="s">
        <v>73</v>
      </c>
      <c r="C14" s="51">
        <v>17327000</v>
      </c>
      <c r="D14" s="51">
        <v>17929000</v>
      </c>
      <c r="E14" s="51">
        <f t="shared" si="0"/>
        <v>602000</v>
      </c>
      <c r="F14" s="70">
        <f t="shared" si="1"/>
        <v>3.4743463957984645E-2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350594448</v>
      </c>
      <c r="D16" s="27">
        <f>D12-D13-D14-D15</f>
        <v>363267877</v>
      </c>
      <c r="E16" s="27">
        <f t="shared" si="0"/>
        <v>12673429</v>
      </c>
      <c r="F16" s="28">
        <f t="shared" si="1"/>
        <v>3.614840187087047E-2</v>
      </c>
    </row>
    <row r="17" spans="1:7" ht="23.1" customHeight="1" x14ac:dyDescent="0.2">
      <c r="A17" s="25">
        <v>5</v>
      </c>
      <c r="B17" s="48" t="s">
        <v>76</v>
      </c>
      <c r="C17" s="51">
        <v>12324861</v>
      </c>
      <c r="D17" s="51">
        <v>20310592</v>
      </c>
      <c r="E17" s="51">
        <f t="shared" si="0"/>
        <v>7985731</v>
      </c>
      <c r="F17" s="70">
        <f t="shared" si="1"/>
        <v>0.64793680026087108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362919309</v>
      </c>
      <c r="D19" s="27">
        <f>SUM(D16:D18)</f>
        <v>383578469</v>
      </c>
      <c r="E19" s="27">
        <f t="shared" si="0"/>
        <v>20659160</v>
      </c>
      <c r="F19" s="28">
        <f t="shared" si="1"/>
        <v>5.6924940304016729E-2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132291709</v>
      </c>
      <c r="D22" s="51">
        <v>133582483</v>
      </c>
      <c r="E22" s="51">
        <f t="shared" ref="E22:E31" si="2">D22-C22</f>
        <v>1290774</v>
      </c>
      <c r="F22" s="70">
        <f t="shared" ref="F22:F31" si="3">IF(C22=0,0,E22/C22)</f>
        <v>9.7570286887744412E-3</v>
      </c>
    </row>
    <row r="23" spans="1:7" ht="23.1" customHeight="1" x14ac:dyDescent="0.2">
      <c r="A23" s="25">
        <v>2</v>
      </c>
      <c r="B23" s="48" t="s">
        <v>81</v>
      </c>
      <c r="C23" s="51">
        <v>42573931</v>
      </c>
      <c r="D23" s="51">
        <v>47770644</v>
      </c>
      <c r="E23" s="51">
        <f t="shared" si="2"/>
        <v>5196713</v>
      </c>
      <c r="F23" s="70">
        <f t="shared" si="3"/>
        <v>0.12206326448924813</v>
      </c>
    </row>
    <row r="24" spans="1:7" ht="23.1" customHeight="1" x14ac:dyDescent="0.2">
      <c r="A24" s="25">
        <v>3</v>
      </c>
      <c r="B24" s="48" t="s">
        <v>82</v>
      </c>
      <c r="C24" s="51">
        <v>6121281</v>
      </c>
      <c r="D24" s="51">
        <v>7854008</v>
      </c>
      <c r="E24" s="51">
        <f t="shared" si="2"/>
        <v>1732727</v>
      </c>
      <c r="F24" s="70">
        <f t="shared" si="3"/>
        <v>0.28306607718221072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30741997</v>
      </c>
      <c r="D25" s="51">
        <v>31420219</v>
      </c>
      <c r="E25" s="51">
        <f t="shared" si="2"/>
        <v>678222</v>
      </c>
      <c r="F25" s="70">
        <f t="shared" si="3"/>
        <v>2.2061741792506192E-2</v>
      </c>
    </row>
    <row r="26" spans="1:7" ht="23.1" customHeight="1" x14ac:dyDescent="0.2">
      <c r="A26" s="25">
        <v>5</v>
      </c>
      <c r="B26" s="48" t="s">
        <v>84</v>
      </c>
      <c r="C26" s="51">
        <v>19041348</v>
      </c>
      <c r="D26" s="51">
        <v>20380372</v>
      </c>
      <c r="E26" s="51">
        <f t="shared" si="2"/>
        <v>1339024</v>
      </c>
      <c r="F26" s="70">
        <f t="shared" si="3"/>
        <v>7.0321912083115126E-2</v>
      </c>
    </row>
    <row r="27" spans="1:7" ht="23.1" customHeight="1" x14ac:dyDescent="0.2">
      <c r="A27" s="25">
        <v>6</v>
      </c>
      <c r="B27" s="48" t="s">
        <v>85</v>
      </c>
      <c r="C27" s="51">
        <v>20654069</v>
      </c>
      <c r="D27" s="51">
        <v>23530477</v>
      </c>
      <c r="E27" s="51">
        <f t="shared" si="2"/>
        <v>2876408</v>
      </c>
      <c r="F27" s="70">
        <f t="shared" si="3"/>
        <v>0.13926592382353328</v>
      </c>
    </row>
    <row r="28" spans="1:7" ht="23.1" customHeight="1" x14ac:dyDescent="0.2">
      <c r="A28" s="25">
        <v>7</v>
      </c>
      <c r="B28" s="48" t="s">
        <v>86</v>
      </c>
      <c r="C28" s="51">
        <v>1450895</v>
      </c>
      <c r="D28" s="51">
        <v>2025836</v>
      </c>
      <c r="E28" s="51">
        <f t="shared" si="2"/>
        <v>574941</v>
      </c>
      <c r="F28" s="70">
        <f t="shared" si="3"/>
        <v>0.39626644243725423</v>
      </c>
    </row>
    <row r="29" spans="1:7" ht="23.1" customHeight="1" x14ac:dyDescent="0.2">
      <c r="A29" s="25">
        <v>8</v>
      </c>
      <c r="B29" s="48" t="s">
        <v>87</v>
      </c>
      <c r="C29" s="51">
        <v>7934455</v>
      </c>
      <c r="D29" s="51">
        <v>7605175</v>
      </c>
      <c r="E29" s="51">
        <f t="shared" si="2"/>
        <v>-329280</v>
      </c>
      <c r="F29" s="70">
        <f t="shared" si="3"/>
        <v>-4.1500014808830601E-2</v>
      </c>
    </row>
    <row r="30" spans="1:7" ht="23.1" customHeight="1" x14ac:dyDescent="0.2">
      <c r="A30" s="25">
        <v>9</v>
      </c>
      <c r="B30" s="48" t="s">
        <v>88</v>
      </c>
      <c r="C30" s="51">
        <v>77666179</v>
      </c>
      <c r="D30" s="51">
        <v>87782231</v>
      </c>
      <c r="E30" s="51">
        <f t="shared" si="2"/>
        <v>10116052</v>
      </c>
      <c r="F30" s="70">
        <f t="shared" si="3"/>
        <v>0.13025041440496254</v>
      </c>
    </row>
    <row r="31" spans="1:7" ht="23.1" customHeight="1" x14ac:dyDescent="0.25">
      <c r="A31" s="29"/>
      <c r="B31" s="71" t="s">
        <v>89</v>
      </c>
      <c r="C31" s="27">
        <f>SUM(C22:C30)</f>
        <v>338475864</v>
      </c>
      <c r="D31" s="27">
        <f>SUM(D22:D30)</f>
        <v>361951445</v>
      </c>
      <c r="E31" s="27">
        <f t="shared" si="2"/>
        <v>23475581</v>
      </c>
      <c r="F31" s="28">
        <f t="shared" si="3"/>
        <v>6.9356735581004386E-2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24443445</v>
      </c>
      <c r="D33" s="27">
        <f>+D19-D31</f>
        <v>21627024</v>
      </c>
      <c r="E33" s="27">
        <f>D33-C33</f>
        <v>-2816421</v>
      </c>
      <c r="F33" s="28">
        <f>IF(C33=0,0,E33/C33)</f>
        <v>-0.11522193373315423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796825</v>
      </c>
      <c r="D36" s="51">
        <v>1273038</v>
      </c>
      <c r="E36" s="51">
        <f>D36-C36</f>
        <v>476213</v>
      </c>
      <c r="F36" s="70">
        <f>IF(C36=0,0,E36/C36)</f>
        <v>0.59763812631380797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796825</v>
      </c>
      <c r="D39" s="27">
        <f>SUM(D36:D38)</f>
        <v>1273038</v>
      </c>
      <c r="E39" s="27">
        <f>D39-C39</f>
        <v>476213</v>
      </c>
      <c r="F39" s="28">
        <f>IF(C39=0,0,E39/C39)</f>
        <v>0.59763812631380797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25240270</v>
      </c>
      <c r="D41" s="27">
        <f>D33+D39</f>
        <v>22900062</v>
      </c>
      <c r="E41" s="27">
        <f>D41-C41</f>
        <v>-2340208</v>
      </c>
      <c r="F41" s="28">
        <f>IF(C41=0,0,E41/C41)</f>
        <v>-9.2717233215017111E-2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-1455301</v>
      </c>
      <c r="D44" s="51">
        <v>6656576</v>
      </c>
      <c r="E44" s="51">
        <f>D44-C44</f>
        <v>8111877</v>
      </c>
      <c r="F44" s="70">
        <f>IF(C44=0,0,E44/C44)</f>
        <v>-5.5740200824434254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-1455301</v>
      </c>
      <c r="D46" s="27">
        <f>SUM(D44:D45)</f>
        <v>6656576</v>
      </c>
      <c r="E46" s="27">
        <f>D46-C46</f>
        <v>8111877</v>
      </c>
      <c r="F46" s="28">
        <f>IF(C46=0,0,E46/C46)</f>
        <v>-5.5740200824434254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23784969</v>
      </c>
      <c r="D48" s="27">
        <f>D41+D46</f>
        <v>29556638</v>
      </c>
      <c r="E48" s="27">
        <f>D48-C48</f>
        <v>5771669</v>
      </c>
      <c r="F48" s="28">
        <f>IF(C48=0,0,E48/C48)</f>
        <v>0.2426603541085128</v>
      </c>
    </row>
    <row r="49" spans="1:6" ht="23.1" customHeight="1" x14ac:dyDescent="0.2">
      <c r="A49" s="44"/>
      <c r="B49" s="48" t="s">
        <v>102</v>
      </c>
      <c r="C49" s="51">
        <v>1645142</v>
      </c>
      <c r="D49" s="51">
        <v>4834597</v>
      </c>
      <c r="E49" s="51">
        <f>D49-C49</f>
        <v>3189455</v>
      </c>
      <c r="F49" s="70">
        <f>IF(C49=0,0,E49/C49)</f>
        <v>1.938711065670927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FILING&amp;RNORWALK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219225208</v>
      </c>
      <c r="D14" s="97">
        <v>222980504</v>
      </c>
      <c r="E14" s="97">
        <f t="shared" ref="E14:E25" si="0">D14-C14</f>
        <v>3755296</v>
      </c>
      <c r="F14" s="98">
        <f t="shared" ref="F14:F25" si="1">IF(C14=0,0,E14/C14)</f>
        <v>1.7129854884206566E-2</v>
      </c>
    </row>
    <row r="15" spans="1:6" ht="18" customHeight="1" x14ac:dyDescent="0.25">
      <c r="A15" s="99">
        <v>2</v>
      </c>
      <c r="B15" s="100" t="s">
        <v>113</v>
      </c>
      <c r="C15" s="97">
        <v>23049022</v>
      </c>
      <c r="D15" s="97">
        <v>26976401</v>
      </c>
      <c r="E15" s="97">
        <f t="shared" si="0"/>
        <v>3927379</v>
      </c>
      <c r="F15" s="98">
        <f t="shared" si="1"/>
        <v>0.17039243573978974</v>
      </c>
    </row>
    <row r="16" spans="1:6" ht="18" customHeight="1" x14ac:dyDescent="0.25">
      <c r="A16" s="99">
        <v>3</v>
      </c>
      <c r="B16" s="100" t="s">
        <v>114</v>
      </c>
      <c r="C16" s="97">
        <v>49402254</v>
      </c>
      <c r="D16" s="97">
        <v>70589407</v>
      </c>
      <c r="E16" s="97">
        <f t="shared" si="0"/>
        <v>21187153</v>
      </c>
      <c r="F16" s="98">
        <f t="shared" si="1"/>
        <v>0.42887016855546711</v>
      </c>
    </row>
    <row r="17" spans="1:6" ht="18" customHeight="1" x14ac:dyDescent="0.25">
      <c r="A17" s="99">
        <v>4</v>
      </c>
      <c r="B17" s="100" t="s">
        <v>115</v>
      </c>
      <c r="C17" s="97">
        <v>23107142</v>
      </c>
      <c r="D17" s="97">
        <v>5229953</v>
      </c>
      <c r="E17" s="97">
        <f t="shared" si="0"/>
        <v>-17877189</v>
      </c>
      <c r="F17" s="98">
        <f t="shared" si="1"/>
        <v>-0.77366508588556737</v>
      </c>
    </row>
    <row r="18" spans="1:6" ht="18" customHeight="1" x14ac:dyDescent="0.25">
      <c r="A18" s="99">
        <v>5</v>
      </c>
      <c r="B18" s="100" t="s">
        <v>116</v>
      </c>
      <c r="C18" s="97">
        <v>514894</v>
      </c>
      <c r="D18" s="97">
        <v>518914</v>
      </c>
      <c r="E18" s="97">
        <f t="shared" si="0"/>
        <v>4020</v>
      </c>
      <c r="F18" s="98">
        <f t="shared" si="1"/>
        <v>7.8074322093479431E-3</v>
      </c>
    </row>
    <row r="19" spans="1:6" ht="18" customHeight="1" x14ac:dyDescent="0.25">
      <c r="A19" s="99">
        <v>6</v>
      </c>
      <c r="B19" s="100" t="s">
        <v>117</v>
      </c>
      <c r="C19" s="97">
        <v>12731357</v>
      </c>
      <c r="D19" s="97">
        <v>11655546</v>
      </c>
      <c r="E19" s="97">
        <f t="shared" si="0"/>
        <v>-1075811</v>
      </c>
      <c r="F19" s="98">
        <f t="shared" si="1"/>
        <v>-8.4500890203613011E-2</v>
      </c>
    </row>
    <row r="20" spans="1:6" ht="18" customHeight="1" x14ac:dyDescent="0.25">
      <c r="A20" s="99">
        <v>7</v>
      </c>
      <c r="B20" s="100" t="s">
        <v>118</v>
      </c>
      <c r="C20" s="97">
        <v>118986028</v>
      </c>
      <c r="D20" s="97">
        <v>126465042</v>
      </c>
      <c r="E20" s="97">
        <f t="shared" si="0"/>
        <v>7479014</v>
      </c>
      <c r="F20" s="98">
        <f t="shared" si="1"/>
        <v>6.2856237204590104E-2</v>
      </c>
    </row>
    <row r="21" spans="1:6" ht="18" customHeight="1" x14ac:dyDescent="0.25">
      <c r="A21" s="99">
        <v>8</v>
      </c>
      <c r="B21" s="100" t="s">
        <v>119</v>
      </c>
      <c r="C21" s="97">
        <v>2461300</v>
      </c>
      <c r="D21" s="97">
        <v>1936929</v>
      </c>
      <c r="E21" s="97">
        <f t="shared" si="0"/>
        <v>-524371</v>
      </c>
      <c r="F21" s="98">
        <f t="shared" si="1"/>
        <v>-0.21304635761589405</v>
      </c>
    </row>
    <row r="22" spans="1:6" ht="18" customHeight="1" x14ac:dyDescent="0.25">
      <c r="A22" s="99">
        <v>9</v>
      </c>
      <c r="B22" s="100" t="s">
        <v>120</v>
      </c>
      <c r="C22" s="97">
        <v>5664173</v>
      </c>
      <c r="D22" s="97">
        <v>6389236</v>
      </c>
      <c r="E22" s="97">
        <f t="shared" si="0"/>
        <v>725063</v>
      </c>
      <c r="F22" s="98">
        <f t="shared" si="1"/>
        <v>0.12800862544276101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1053369</v>
      </c>
      <c r="D24" s="97">
        <v>1219617</v>
      </c>
      <c r="E24" s="97">
        <f t="shared" si="0"/>
        <v>166248</v>
      </c>
      <c r="F24" s="98">
        <f t="shared" si="1"/>
        <v>0.15782503567126049</v>
      </c>
    </row>
    <row r="25" spans="1:6" ht="18" customHeight="1" x14ac:dyDescent="0.25">
      <c r="A25" s="101"/>
      <c r="B25" s="102" t="s">
        <v>123</v>
      </c>
      <c r="C25" s="103">
        <f>SUM(C14:C24)</f>
        <v>456194747</v>
      </c>
      <c r="D25" s="103">
        <f>SUM(D14:D24)</f>
        <v>473961549</v>
      </c>
      <c r="E25" s="103">
        <f t="shared" si="0"/>
        <v>17766802</v>
      </c>
      <c r="F25" s="104">
        <f t="shared" si="1"/>
        <v>3.8945652304935463E-2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102829849</v>
      </c>
      <c r="D27" s="97">
        <v>109039819</v>
      </c>
      <c r="E27" s="97">
        <f t="shared" ref="E27:E38" si="2">D27-C27</f>
        <v>6209970</v>
      </c>
      <c r="F27" s="98">
        <f t="shared" ref="F27:F38" si="3">IF(C27=0,0,E27/C27)</f>
        <v>6.0390733433830092E-2</v>
      </c>
    </row>
    <row r="28" spans="1:6" ht="18" customHeight="1" x14ac:dyDescent="0.25">
      <c r="A28" s="99">
        <v>2</v>
      </c>
      <c r="B28" s="100" t="s">
        <v>113</v>
      </c>
      <c r="C28" s="97">
        <v>10105935</v>
      </c>
      <c r="D28" s="97">
        <v>14793586</v>
      </c>
      <c r="E28" s="97">
        <f t="shared" si="2"/>
        <v>4687651</v>
      </c>
      <c r="F28" s="98">
        <f t="shared" si="3"/>
        <v>0.46385129134513531</v>
      </c>
    </row>
    <row r="29" spans="1:6" ht="18" customHeight="1" x14ac:dyDescent="0.25">
      <c r="A29" s="99">
        <v>3</v>
      </c>
      <c r="B29" s="100" t="s">
        <v>114</v>
      </c>
      <c r="C29" s="97">
        <v>25900848</v>
      </c>
      <c r="D29" s="97">
        <v>50968702</v>
      </c>
      <c r="E29" s="97">
        <f t="shared" si="2"/>
        <v>25067854</v>
      </c>
      <c r="F29" s="98">
        <f t="shared" si="3"/>
        <v>0.96783912248741821</v>
      </c>
    </row>
    <row r="30" spans="1:6" ht="18" customHeight="1" x14ac:dyDescent="0.25">
      <c r="A30" s="99">
        <v>4</v>
      </c>
      <c r="B30" s="100" t="s">
        <v>115</v>
      </c>
      <c r="C30" s="97">
        <v>26287453</v>
      </c>
      <c r="D30" s="97">
        <v>6539229</v>
      </c>
      <c r="E30" s="97">
        <f t="shared" si="2"/>
        <v>-19748224</v>
      </c>
      <c r="F30" s="98">
        <f t="shared" si="3"/>
        <v>-0.75124143826334178</v>
      </c>
    </row>
    <row r="31" spans="1:6" ht="18" customHeight="1" x14ac:dyDescent="0.25">
      <c r="A31" s="99">
        <v>5</v>
      </c>
      <c r="B31" s="100" t="s">
        <v>116</v>
      </c>
      <c r="C31" s="97">
        <v>357785</v>
      </c>
      <c r="D31" s="97">
        <v>394920</v>
      </c>
      <c r="E31" s="97">
        <f t="shared" si="2"/>
        <v>37135</v>
      </c>
      <c r="F31" s="98">
        <f t="shared" si="3"/>
        <v>0.10379138309319844</v>
      </c>
    </row>
    <row r="32" spans="1:6" ht="18" customHeight="1" x14ac:dyDescent="0.25">
      <c r="A32" s="99">
        <v>6</v>
      </c>
      <c r="B32" s="100" t="s">
        <v>117</v>
      </c>
      <c r="C32" s="97">
        <v>21818325</v>
      </c>
      <c r="D32" s="97">
        <v>17679546</v>
      </c>
      <c r="E32" s="97">
        <f t="shared" si="2"/>
        <v>-4138779</v>
      </c>
      <c r="F32" s="98">
        <f t="shared" si="3"/>
        <v>-0.1896927926410483</v>
      </c>
    </row>
    <row r="33" spans="1:6" ht="18" customHeight="1" x14ac:dyDescent="0.25">
      <c r="A33" s="99">
        <v>7</v>
      </c>
      <c r="B33" s="100" t="s">
        <v>118</v>
      </c>
      <c r="C33" s="97">
        <v>179235698</v>
      </c>
      <c r="D33" s="97">
        <v>200735856</v>
      </c>
      <c r="E33" s="97">
        <f t="shared" si="2"/>
        <v>21500158</v>
      </c>
      <c r="F33" s="98">
        <f t="shared" si="3"/>
        <v>0.11995466438834076</v>
      </c>
    </row>
    <row r="34" spans="1:6" ht="18" customHeight="1" x14ac:dyDescent="0.25">
      <c r="A34" s="99">
        <v>8</v>
      </c>
      <c r="B34" s="100" t="s">
        <v>119</v>
      </c>
      <c r="C34" s="97">
        <v>6204908</v>
      </c>
      <c r="D34" s="97">
        <v>5517307</v>
      </c>
      <c r="E34" s="97">
        <f t="shared" si="2"/>
        <v>-687601</v>
      </c>
      <c r="F34" s="98">
        <f t="shared" si="3"/>
        <v>-0.11081566398728232</v>
      </c>
    </row>
    <row r="35" spans="1:6" ht="18" customHeight="1" x14ac:dyDescent="0.25">
      <c r="A35" s="99">
        <v>9</v>
      </c>
      <c r="B35" s="100" t="s">
        <v>120</v>
      </c>
      <c r="C35" s="97">
        <v>24549726</v>
      </c>
      <c r="D35" s="97">
        <v>28798363</v>
      </c>
      <c r="E35" s="97">
        <f t="shared" si="2"/>
        <v>4248637</v>
      </c>
      <c r="F35" s="98">
        <f t="shared" si="3"/>
        <v>0.1730625017973724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472831</v>
      </c>
      <c r="D37" s="97">
        <v>529485</v>
      </c>
      <c r="E37" s="97">
        <f t="shared" si="2"/>
        <v>56654</v>
      </c>
      <c r="F37" s="98">
        <f t="shared" si="3"/>
        <v>0.11981870901019603</v>
      </c>
    </row>
    <row r="38" spans="1:6" ht="18" customHeight="1" x14ac:dyDescent="0.25">
      <c r="A38" s="101"/>
      <c r="B38" s="102" t="s">
        <v>126</v>
      </c>
      <c r="C38" s="103">
        <f>SUM(C27:C37)</f>
        <v>397763358</v>
      </c>
      <c r="D38" s="103">
        <f>SUM(D27:D37)</f>
        <v>434996813</v>
      </c>
      <c r="E38" s="103">
        <f t="shared" si="2"/>
        <v>37233455</v>
      </c>
      <c r="F38" s="104">
        <f t="shared" si="3"/>
        <v>9.3607051155275095E-2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322055057</v>
      </c>
      <c r="D41" s="103">
        <f t="shared" si="4"/>
        <v>332020323</v>
      </c>
      <c r="E41" s="107">
        <f t="shared" ref="E41:E52" si="5">D41-C41</f>
        <v>9965266</v>
      </c>
      <c r="F41" s="108">
        <f t="shared" ref="F41:F52" si="6">IF(C41=0,0,E41/C41)</f>
        <v>3.0942740327781906E-2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33154957</v>
      </c>
      <c r="D42" s="103">
        <f t="shared" si="4"/>
        <v>41769987</v>
      </c>
      <c r="E42" s="107">
        <f t="shared" si="5"/>
        <v>8615030</v>
      </c>
      <c r="F42" s="108">
        <f t="shared" si="6"/>
        <v>0.25984138661377243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75303102</v>
      </c>
      <c r="D43" s="103">
        <f t="shared" si="4"/>
        <v>121558109</v>
      </c>
      <c r="E43" s="107">
        <f t="shared" si="5"/>
        <v>46255007</v>
      </c>
      <c r="F43" s="108">
        <f t="shared" si="6"/>
        <v>0.6142510171758927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49394595</v>
      </c>
      <c r="D44" s="103">
        <f t="shared" si="4"/>
        <v>11769182</v>
      </c>
      <c r="E44" s="107">
        <f t="shared" si="5"/>
        <v>-37625413</v>
      </c>
      <c r="F44" s="108">
        <f t="shared" si="6"/>
        <v>-0.76173137971877292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872679</v>
      </c>
      <c r="D45" s="103">
        <f t="shared" si="4"/>
        <v>913834</v>
      </c>
      <c r="E45" s="107">
        <f t="shared" si="5"/>
        <v>41155</v>
      </c>
      <c r="F45" s="108">
        <f t="shared" si="6"/>
        <v>4.7159379336502882E-2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34549682</v>
      </c>
      <c r="D46" s="103">
        <f t="shared" si="4"/>
        <v>29335092</v>
      </c>
      <c r="E46" s="107">
        <f t="shared" si="5"/>
        <v>-5214590</v>
      </c>
      <c r="F46" s="108">
        <f t="shared" si="6"/>
        <v>-0.15093018801157129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298221726</v>
      </c>
      <c r="D47" s="103">
        <f t="shared" si="4"/>
        <v>327200898</v>
      </c>
      <c r="E47" s="107">
        <f t="shared" si="5"/>
        <v>28979172</v>
      </c>
      <c r="F47" s="108">
        <f t="shared" si="6"/>
        <v>9.7173242166803092E-2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8666208</v>
      </c>
      <c r="D48" s="103">
        <f t="shared" si="4"/>
        <v>7454236</v>
      </c>
      <c r="E48" s="107">
        <f t="shared" si="5"/>
        <v>-1211972</v>
      </c>
      <c r="F48" s="108">
        <f t="shared" si="6"/>
        <v>-0.1398503243863983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30213899</v>
      </c>
      <c r="D49" s="103">
        <f t="shared" si="4"/>
        <v>35187599</v>
      </c>
      <c r="E49" s="107">
        <f t="shared" si="5"/>
        <v>4973700</v>
      </c>
      <c r="F49" s="108">
        <f t="shared" si="6"/>
        <v>0.16461629133002662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1526200</v>
      </c>
      <c r="D51" s="103">
        <f t="shared" si="4"/>
        <v>1749102</v>
      </c>
      <c r="E51" s="107">
        <f t="shared" si="5"/>
        <v>222902</v>
      </c>
      <c r="F51" s="108">
        <f t="shared" si="6"/>
        <v>0.14605032105883894</v>
      </c>
    </row>
    <row r="52" spans="1:6" ht="18.75" customHeight="1" thickBot="1" x14ac:dyDescent="0.3">
      <c r="A52" s="109"/>
      <c r="B52" s="110" t="s">
        <v>128</v>
      </c>
      <c r="C52" s="111">
        <f>SUM(C41:C51)</f>
        <v>853958105</v>
      </c>
      <c r="D52" s="112">
        <f>SUM(D41:D51)</f>
        <v>908958362</v>
      </c>
      <c r="E52" s="111">
        <f t="shared" si="5"/>
        <v>55000257</v>
      </c>
      <c r="F52" s="113">
        <f t="shared" si="6"/>
        <v>6.4406270843930927E-2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67973300</v>
      </c>
      <c r="D57" s="97">
        <v>68553363</v>
      </c>
      <c r="E57" s="97">
        <f t="shared" ref="E57:E68" si="7">D57-C57</f>
        <v>580063</v>
      </c>
      <c r="F57" s="98">
        <f t="shared" ref="F57:F68" si="8">IF(C57=0,0,E57/C57)</f>
        <v>8.5336889631664192E-3</v>
      </c>
    </row>
    <row r="58" spans="1:6" ht="18" customHeight="1" x14ac:dyDescent="0.25">
      <c r="A58" s="99">
        <v>2</v>
      </c>
      <c r="B58" s="100" t="s">
        <v>113</v>
      </c>
      <c r="C58" s="97">
        <v>6306677</v>
      </c>
      <c r="D58" s="97">
        <v>7379091</v>
      </c>
      <c r="E58" s="97">
        <f t="shared" si="7"/>
        <v>1072414</v>
      </c>
      <c r="F58" s="98">
        <f t="shared" si="8"/>
        <v>0.17004422455756019</v>
      </c>
    </row>
    <row r="59" spans="1:6" ht="18" customHeight="1" x14ac:dyDescent="0.25">
      <c r="A59" s="99">
        <v>3</v>
      </c>
      <c r="B59" s="100" t="s">
        <v>114</v>
      </c>
      <c r="C59" s="97">
        <v>12711437</v>
      </c>
      <c r="D59" s="97">
        <v>19245055</v>
      </c>
      <c r="E59" s="97">
        <f t="shared" si="7"/>
        <v>6533618</v>
      </c>
      <c r="F59" s="98">
        <f t="shared" si="8"/>
        <v>0.51399523122366098</v>
      </c>
    </row>
    <row r="60" spans="1:6" ht="18" customHeight="1" x14ac:dyDescent="0.25">
      <c r="A60" s="99">
        <v>4</v>
      </c>
      <c r="B60" s="100" t="s">
        <v>115</v>
      </c>
      <c r="C60" s="97">
        <v>5516057</v>
      </c>
      <c r="D60" s="97">
        <v>1092487</v>
      </c>
      <c r="E60" s="97">
        <f t="shared" si="7"/>
        <v>-4423570</v>
      </c>
      <c r="F60" s="98">
        <f t="shared" si="8"/>
        <v>-0.80194421486217415</v>
      </c>
    </row>
    <row r="61" spans="1:6" ht="18" customHeight="1" x14ac:dyDescent="0.25">
      <c r="A61" s="99">
        <v>5</v>
      </c>
      <c r="B61" s="100" t="s">
        <v>116</v>
      </c>
      <c r="C61" s="97">
        <v>137047</v>
      </c>
      <c r="D61" s="97">
        <v>104982</v>
      </c>
      <c r="E61" s="97">
        <f t="shared" si="7"/>
        <v>-32065</v>
      </c>
      <c r="F61" s="98">
        <f t="shared" si="8"/>
        <v>-0.23397082752632309</v>
      </c>
    </row>
    <row r="62" spans="1:6" ht="18" customHeight="1" x14ac:dyDescent="0.25">
      <c r="A62" s="99">
        <v>6</v>
      </c>
      <c r="B62" s="100" t="s">
        <v>117</v>
      </c>
      <c r="C62" s="97">
        <v>6317995</v>
      </c>
      <c r="D62" s="97">
        <v>6494222</v>
      </c>
      <c r="E62" s="97">
        <f t="shared" si="7"/>
        <v>176227</v>
      </c>
      <c r="F62" s="98">
        <f t="shared" si="8"/>
        <v>2.7892867911418099E-2</v>
      </c>
    </row>
    <row r="63" spans="1:6" ht="18" customHeight="1" x14ac:dyDescent="0.25">
      <c r="A63" s="99">
        <v>7</v>
      </c>
      <c r="B63" s="100" t="s">
        <v>118</v>
      </c>
      <c r="C63" s="97">
        <v>64639290</v>
      </c>
      <c r="D63" s="97">
        <v>67388928</v>
      </c>
      <c r="E63" s="97">
        <f t="shared" si="7"/>
        <v>2749638</v>
      </c>
      <c r="F63" s="98">
        <f t="shared" si="8"/>
        <v>4.253818381977896E-2</v>
      </c>
    </row>
    <row r="64" spans="1:6" ht="18" customHeight="1" x14ac:dyDescent="0.25">
      <c r="A64" s="99">
        <v>8</v>
      </c>
      <c r="B64" s="100" t="s">
        <v>119</v>
      </c>
      <c r="C64" s="97">
        <v>1867106</v>
      </c>
      <c r="D64" s="97">
        <v>1327897</v>
      </c>
      <c r="E64" s="97">
        <f t="shared" si="7"/>
        <v>-539209</v>
      </c>
      <c r="F64" s="98">
        <f t="shared" si="8"/>
        <v>-0.28879399455628124</v>
      </c>
    </row>
    <row r="65" spans="1:6" ht="18" customHeight="1" x14ac:dyDescent="0.25">
      <c r="A65" s="99">
        <v>9</v>
      </c>
      <c r="B65" s="100" t="s">
        <v>120</v>
      </c>
      <c r="C65" s="97">
        <v>233862</v>
      </c>
      <c r="D65" s="97">
        <v>167271</v>
      </c>
      <c r="E65" s="97">
        <f t="shared" si="7"/>
        <v>-66591</v>
      </c>
      <c r="F65" s="98">
        <f t="shared" si="8"/>
        <v>-0.28474484952664392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360535</v>
      </c>
      <c r="D67" s="97">
        <v>481053</v>
      </c>
      <c r="E67" s="97">
        <f t="shared" si="7"/>
        <v>120518</v>
      </c>
      <c r="F67" s="98">
        <f t="shared" si="8"/>
        <v>0.33427545175919121</v>
      </c>
    </row>
    <row r="68" spans="1:6" ht="18" customHeight="1" x14ac:dyDescent="0.25">
      <c r="A68" s="101"/>
      <c r="B68" s="102" t="s">
        <v>131</v>
      </c>
      <c r="C68" s="103">
        <f>SUM(C57:C67)</f>
        <v>166063306</v>
      </c>
      <c r="D68" s="103">
        <f>SUM(D57:D67)</f>
        <v>172234349</v>
      </c>
      <c r="E68" s="103">
        <f t="shared" si="7"/>
        <v>6171043</v>
      </c>
      <c r="F68" s="104">
        <f t="shared" si="8"/>
        <v>3.7160786140196439E-2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21462037</v>
      </c>
      <c r="D70" s="97">
        <v>18275049</v>
      </c>
      <c r="E70" s="97">
        <f t="shared" ref="E70:E81" si="9">D70-C70</f>
        <v>-3186988</v>
      </c>
      <c r="F70" s="98">
        <f t="shared" ref="F70:F81" si="10">IF(C70=0,0,E70/C70)</f>
        <v>-0.14849419931574995</v>
      </c>
    </row>
    <row r="71" spans="1:6" ht="18" customHeight="1" x14ac:dyDescent="0.25">
      <c r="A71" s="99">
        <v>2</v>
      </c>
      <c r="B71" s="100" t="s">
        <v>113</v>
      </c>
      <c r="C71" s="97">
        <v>2289821</v>
      </c>
      <c r="D71" s="97">
        <v>3467265</v>
      </c>
      <c r="E71" s="97">
        <f t="shared" si="9"/>
        <v>1177444</v>
      </c>
      <c r="F71" s="98">
        <f t="shared" si="10"/>
        <v>0.5142078791311635</v>
      </c>
    </row>
    <row r="72" spans="1:6" ht="18" customHeight="1" x14ac:dyDescent="0.25">
      <c r="A72" s="99">
        <v>3</v>
      </c>
      <c r="B72" s="100" t="s">
        <v>114</v>
      </c>
      <c r="C72" s="97">
        <v>6982470</v>
      </c>
      <c r="D72" s="97">
        <v>13976031</v>
      </c>
      <c r="E72" s="97">
        <f t="shared" si="9"/>
        <v>6993561</v>
      </c>
      <c r="F72" s="98">
        <f t="shared" si="10"/>
        <v>1.0015884063948717</v>
      </c>
    </row>
    <row r="73" spans="1:6" ht="18" customHeight="1" x14ac:dyDescent="0.25">
      <c r="A73" s="99">
        <v>4</v>
      </c>
      <c r="B73" s="100" t="s">
        <v>115</v>
      </c>
      <c r="C73" s="97">
        <v>6462244</v>
      </c>
      <c r="D73" s="97">
        <v>1267215</v>
      </c>
      <c r="E73" s="97">
        <f t="shared" si="9"/>
        <v>-5195029</v>
      </c>
      <c r="F73" s="98">
        <f t="shared" si="10"/>
        <v>-0.80390480458490887</v>
      </c>
    </row>
    <row r="74" spans="1:6" ht="18" customHeight="1" x14ac:dyDescent="0.25">
      <c r="A74" s="99">
        <v>5</v>
      </c>
      <c r="B74" s="100" t="s">
        <v>116</v>
      </c>
      <c r="C74" s="97">
        <v>64332</v>
      </c>
      <c r="D74" s="97">
        <v>59947</v>
      </c>
      <c r="E74" s="97">
        <f t="shared" si="9"/>
        <v>-4385</v>
      </c>
      <c r="F74" s="98">
        <f t="shared" si="10"/>
        <v>-6.8162034446309763E-2</v>
      </c>
    </row>
    <row r="75" spans="1:6" ht="18" customHeight="1" x14ac:dyDescent="0.25">
      <c r="A75" s="99">
        <v>6</v>
      </c>
      <c r="B75" s="100" t="s">
        <v>117</v>
      </c>
      <c r="C75" s="97">
        <v>13454447</v>
      </c>
      <c r="D75" s="97">
        <v>8815788</v>
      </c>
      <c r="E75" s="97">
        <f t="shared" si="9"/>
        <v>-4638659</v>
      </c>
      <c r="F75" s="98">
        <f t="shared" si="10"/>
        <v>-0.34476771880702345</v>
      </c>
    </row>
    <row r="76" spans="1:6" ht="18" customHeight="1" x14ac:dyDescent="0.25">
      <c r="A76" s="99">
        <v>7</v>
      </c>
      <c r="B76" s="100" t="s">
        <v>118</v>
      </c>
      <c r="C76" s="97">
        <v>105047417</v>
      </c>
      <c r="D76" s="97">
        <v>112965638</v>
      </c>
      <c r="E76" s="97">
        <f t="shared" si="9"/>
        <v>7918221</v>
      </c>
      <c r="F76" s="98">
        <f t="shared" si="10"/>
        <v>7.5377588770221743E-2</v>
      </c>
    </row>
    <row r="77" spans="1:6" ht="18" customHeight="1" x14ac:dyDescent="0.25">
      <c r="A77" s="99">
        <v>8</v>
      </c>
      <c r="B77" s="100" t="s">
        <v>119</v>
      </c>
      <c r="C77" s="97">
        <v>3635996</v>
      </c>
      <c r="D77" s="97">
        <v>2170034</v>
      </c>
      <c r="E77" s="97">
        <f t="shared" si="9"/>
        <v>-1465962</v>
      </c>
      <c r="F77" s="98">
        <f t="shared" si="10"/>
        <v>-0.40318031152949563</v>
      </c>
    </row>
    <row r="78" spans="1:6" ht="18" customHeight="1" x14ac:dyDescent="0.25">
      <c r="A78" s="99">
        <v>9</v>
      </c>
      <c r="B78" s="100" t="s">
        <v>120</v>
      </c>
      <c r="C78" s="97">
        <v>1444995</v>
      </c>
      <c r="D78" s="97">
        <v>2120010</v>
      </c>
      <c r="E78" s="97">
        <f t="shared" si="9"/>
        <v>675015</v>
      </c>
      <c r="F78" s="98">
        <f t="shared" si="10"/>
        <v>0.46714002470596783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142148</v>
      </c>
      <c r="D80" s="97">
        <v>179741</v>
      </c>
      <c r="E80" s="97">
        <f t="shared" si="9"/>
        <v>37593</v>
      </c>
      <c r="F80" s="98">
        <f t="shared" si="10"/>
        <v>0.26446379829473504</v>
      </c>
    </row>
    <row r="81" spans="1:6" ht="18" customHeight="1" x14ac:dyDescent="0.25">
      <c r="A81" s="101"/>
      <c r="B81" s="102" t="s">
        <v>133</v>
      </c>
      <c r="C81" s="103">
        <f>SUM(C70:C80)</f>
        <v>160985907</v>
      </c>
      <c r="D81" s="103">
        <f>SUM(D70:D80)</f>
        <v>163296718</v>
      </c>
      <c r="E81" s="103">
        <f t="shared" si="9"/>
        <v>2310811</v>
      </c>
      <c r="F81" s="104">
        <f t="shared" si="10"/>
        <v>1.4354119829880512E-2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89435337</v>
      </c>
      <c r="D84" s="103">
        <f t="shared" si="11"/>
        <v>86828412</v>
      </c>
      <c r="E84" s="103">
        <f t="shared" ref="E84:E95" si="12">D84-C84</f>
        <v>-2606925</v>
      </c>
      <c r="F84" s="104">
        <f t="shared" ref="F84:F95" si="13">IF(C84=0,0,E84/C84)</f>
        <v>-2.9148713332404617E-2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8596498</v>
      </c>
      <c r="D85" s="103">
        <f t="shared" si="11"/>
        <v>10846356</v>
      </c>
      <c r="E85" s="103">
        <f t="shared" si="12"/>
        <v>2249858</v>
      </c>
      <c r="F85" s="104">
        <f t="shared" si="13"/>
        <v>0.26171796934053843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19693907</v>
      </c>
      <c r="D86" s="103">
        <f t="shared" si="11"/>
        <v>33221086</v>
      </c>
      <c r="E86" s="103">
        <f t="shared" si="12"/>
        <v>13527179</v>
      </c>
      <c r="F86" s="104">
        <f t="shared" si="13"/>
        <v>0.6868712744505191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11978301</v>
      </c>
      <c r="D87" s="103">
        <f t="shared" si="11"/>
        <v>2359702</v>
      </c>
      <c r="E87" s="103">
        <f t="shared" si="12"/>
        <v>-9618599</v>
      </c>
      <c r="F87" s="104">
        <f t="shared" si="13"/>
        <v>-0.80300194493359278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201379</v>
      </c>
      <c r="D88" s="103">
        <f t="shared" si="11"/>
        <v>164929</v>
      </c>
      <c r="E88" s="103">
        <f t="shared" si="12"/>
        <v>-36450</v>
      </c>
      <c r="F88" s="104">
        <f t="shared" si="13"/>
        <v>-0.18100199127019204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19772442</v>
      </c>
      <c r="D89" s="103">
        <f t="shared" si="11"/>
        <v>15310010</v>
      </c>
      <c r="E89" s="103">
        <f t="shared" si="12"/>
        <v>-4462432</v>
      </c>
      <c r="F89" s="104">
        <f t="shared" si="13"/>
        <v>-0.22568947224627084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169686707</v>
      </c>
      <c r="D90" s="103">
        <f t="shared" si="11"/>
        <v>180354566</v>
      </c>
      <c r="E90" s="103">
        <f t="shared" si="12"/>
        <v>10667859</v>
      </c>
      <c r="F90" s="104">
        <f t="shared" si="13"/>
        <v>6.2867971148735893E-2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5503102</v>
      </c>
      <c r="D91" s="103">
        <f t="shared" si="11"/>
        <v>3497931</v>
      </c>
      <c r="E91" s="103">
        <f t="shared" si="12"/>
        <v>-2005171</v>
      </c>
      <c r="F91" s="104">
        <f t="shared" si="13"/>
        <v>-0.36437104018787947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1678857</v>
      </c>
      <c r="D92" s="103">
        <f t="shared" si="11"/>
        <v>2287281</v>
      </c>
      <c r="E92" s="103">
        <f t="shared" si="12"/>
        <v>608424</v>
      </c>
      <c r="F92" s="104">
        <f t="shared" si="13"/>
        <v>0.36240370680766737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502683</v>
      </c>
      <c r="D94" s="103">
        <f t="shared" si="11"/>
        <v>660794</v>
      </c>
      <c r="E94" s="103">
        <f t="shared" si="12"/>
        <v>158111</v>
      </c>
      <c r="F94" s="104">
        <f t="shared" si="13"/>
        <v>0.31453420943218691</v>
      </c>
    </row>
    <row r="95" spans="1:6" ht="18.75" customHeight="1" thickBot="1" x14ac:dyDescent="0.3">
      <c r="A95" s="115"/>
      <c r="B95" s="116" t="s">
        <v>134</v>
      </c>
      <c r="C95" s="112">
        <f>SUM(C84:C94)</f>
        <v>327049213</v>
      </c>
      <c r="D95" s="112">
        <f>SUM(D84:D94)</f>
        <v>335531067</v>
      </c>
      <c r="E95" s="112">
        <f t="shared" si="12"/>
        <v>8481854</v>
      </c>
      <c r="F95" s="113">
        <f t="shared" si="13"/>
        <v>2.593448833646941E-2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5484</v>
      </c>
      <c r="D100" s="117">
        <v>5494</v>
      </c>
      <c r="E100" s="117">
        <f t="shared" ref="E100:E111" si="14">D100-C100</f>
        <v>10</v>
      </c>
      <c r="F100" s="98">
        <f t="shared" ref="F100:F111" si="15">IF(C100=0,0,E100/C100)</f>
        <v>1.8234865061998542E-3</v>
      </c>
    </row>
    <row r="101" spans="1:6" ht="18" customHeight="1" x14ac:dyDescent="0.25">
      <c r="A101" s="99">
        <v>2</v>
      </c>
      <c r="B101" s="100" t="s">
        <v>113</v>
      </c>
      <c r="C101" s="117">
        <v>524</v>
      </c>
      <c r="D101" s="117">
        <v>653</v>
      </c>
      <c r="E101" s="117">
        <f t="shared" si="14"/>
        <v>129</v>
      </c>
      <c r="F101" s="98">
        <f t="shared" si="15"/>
        <v>0.24618320610687022</v>
      </c>
    </row>
    <row r="102" spans="1:6" ht="18" customHeight="1" x14ac:dyDescent="0.25">
      <c r="A102" s="99">
        <v>3</v>
      </c>
      <c r="B102" s="100" t="s">
        <v>114</v>
      </c>
      <c r="C102" s="117">
        <v>1727</v>
      </c>
      <c r="D102" s="117">
        <v>2758</v>
      </c>
      <c r="E102" s="117">
        <f t="shared" si="14"/>
        <v>1031</v>
      </c>
      <c r="F102" s="98">
        <f t="shared" si="15"/>
        <v>0.59698899826288365</v>
      </c>
    </row>
    <row r="103" spans="1:6" ht="18" customHeight="1" x14ac:dyDescent="0.25">
      <c r="A103" s="99">
        <v>4</v>
      </c>
      <c r="B103" s="100" t="s">
        <v>115</v>
      </c>
      <c r="C103" s="117">
        <v>1311</v>
      </c>
      <c r="D103" s="117">
        <v>244</v>
      </c>
      <c r="E103" s="117">
        <f t="shared" si="14"/>
        <v>-1067</v>
      </c>
      <c r="F103" s="98">
        <f t="shared" si="15"/>
        <v>-0.81388253241800157</v>
      </c>
    </row>
    <row r="104" spans="1:6" ht="18" customHeight="1" x14ac:dyDescent="0.25">
      <c r="A104" s="99">
        <v>5</v>
      </c>
      <c r="B104" s="100" t="s">
        <v>116</v>
      </c>
      <c r="C104" s="117">
        <v>19</v>
      </c>
      <c r="D104" s="117">
        <v>15</v>
      </c>
      <c r="E104" s="117">
        <f t="shared" si="14"/>
        <v>-4</v>
      </c>
      <c r="F104" s="98">
        <f t="shared" si="15"/>
        <v>-0.21052631578947367</v>
      </c>
    </row>
    <row r="105" spans="1:6" ht="18" customHeight="1" x14ac:dyDescent="0.25">
      <c r="A105" s="99">
        <v>6</v>
      </c>
      <c r="B105" s="100" t="s">
        <v>117</v>
      </c>
      <c r="C105" s="117">
        <v>539</v>
      </c>
      <c r="D105" s="117">
        <v>477</v>
      </c>
      <c r="E105" s="117">
        <f t="shared" si="14"/>
        <v>-62</v>
      </c>
      <c r="F105" s="98">
        <f t="shared" si="15"/>
        <v>-0.11502782931354361</v>
      </c>
    </row>
    <row r="106" spans="1:6" ht="18" customHeight="1" x14ac:dyDescent="0.25">
      <c r="A106" s="99">
        <v>7</v>
      </c>
      <c r="B106" s="100" t="s">
        <v>118</v>
      </c>
      <c r="C106" s="117">
        <v>4947</v>
      </c>
      <c r="D106" s="117">
        <v>5008</v>
      </c>
      <c r="E106" s="117">
        <f t="shared" si="14"/>
        <v>61</v>
      </c>
      <c r="F106" s="98">
        <f t="shared" si="15"/>
        <v>1.2330705478067515E-2</v>
      </c>
    </row>
    <row r="107" spans="1:6" ht="18" customHeight="1" x14ac:dyDescent="0.25">
      <c r="A107" s="99">
        <v>8</v>
      </c>
      <c r="B107" s="100" t="s">
        <v>119</v>
      </c>
      <c r="C107" s="117">
        <v>64</v>
      </c>
      <c r="D107" s="117">
        <v>47</v>
      </c>
      <c r="E107" s="117">
        <f t="shared" si="14"/>
        <v>-17</v>
      </c>
      <c r="F107" s="98">
        <f t="shared" si="15"/>
        <v>-0.265625</v>
      </c>
    </row>
    <row r="108" spans="1:6" ht="18" customHeight="1" x14ac:dyDescent="0.25">
      <c r="A108" s="99">
        <v>9</v>
      </c>
      <c r="B108" s="100" t="s">
        <v>120</v>
      </c>
      <c r="C108" s="117">
        <v>223</v>
      </c>
      <c r="D108" s="117">
        <v>267</v>
      </c>
      <c r="E108" s="117">
        <f t="shared" si="14"/>
        <v>44</v>
      </c>
      <c r="F108" s="98">
        <f t="shared" si="15"/>
        <v>0.19730941704035873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40</v>
      </c>
      <c r="D110" s="117">
        <v>40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14878</v>
      </c>
      <c r="D111" s="118">
        <f>SUM(D100:D110)</f>
        <v>15003</v>
      </c>
      <c r="E111" s="118">
        <f t="shared" si="14"/>
        <v>125</v>
      </c>
      <c r="F111" s="104">
        <f t="shared" si="15"/>
        <v>8.4016668907111163E-3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33825</v>
      </c>
      <c r="D113" s="117">
        <v>31637</v>
      </c>
      <c r="E113" s="117">
        <f t="shared" ref="E113:E124" si="16">D113-C113</f>
        <v>-2188</v>
      </c>
      <c r="F113" s="98">
        <f t="shared" ref="F113:F124" si="17">IF(C113=0,0,E113/C113)</f>
        <v>-6.4685883222468585E-2</v>
      </c>
    </row>
    <row r="114" spans="1:6" ht="18" customHeight="1" x14ac:dyDescent="0.25">
      <c r="A114" s="99">
        <v>2</v>
      </c>
      <c r="B114" s="100" t="s">
        <v>113</v>
      </c>
      <c r="C114" s="117">
        <v>3563</v>
      </c>
      <c r="D114" s="117">
        <v>3619</v>
      </c>
      <c r="E114" s="117">
        <f t="shared" si="16"/>
        <v>56</v>
      </c>
      <c r="F114" s="98">
        <f t="shared" si="17"/>
        <v>1.5717092337917484E-2</v>
      </c>
    </row>
    <row r="115" spans="1:6" ht="18" customHeight="1" x14ac:dyDescent="0.25">
      <c r="A115" s="99">
        <v>3</v>
      </c>
      <c r="B115" s="100" t="s">
        <v>114</v>
      </c>
      <c r="C115" s="117">
        <v>8266</v>
      </c>
      <c r="D115" s="117">
        <v>10815</v>
      </c>
      <c r="E115" s="117">
        <f t="shared" si="16"/>
        <v>2549</v>
      </c>
      <c r="F115" s="98">
        <f t="shared" si="17"/>
        <v>0.30837164287442537</v>
      </c>
    </row>
    <row r="116" spans="1:6" ht="18" customHeight="1" x14ac:dyDescent="0.25">
      <c r="A116" s="99">
        <v>4</v>
      </c>
      <c r="B116" s="100" t="s">
        <v>115</v>
      </c>
      <c r="C116" s="117">
        <v>4078</v>
      </c>
      <c r="D116" s="117">
        <v>794</v>
      </c>
      <c r="E116" s="117">
        <f t="shared" si="16"/>
        <v>-3284</v>
      </c>
      <c r="F116" s="98">
        <f t="shared" si="17"/>
        <v>-0.80529671407552716</v>
      </c>
    </row>
    <row r="117" spans="1:6" ht="18" customHeight="1" x14ac:dyDescent="0.25">
      <c r="A117" s="99">
        <v>5</v>
      </c>
      <c r="B117" s="100" t="s">
        <v>116</v>
      </c>
      <c r="C117" s="117">
        <v>97</v>
      </c>
      <c r="D117" s="117">
        <v>68</v>
      </c>
      <c r="E117" s="117">
        <f t="shared" si="16"/>
        <v>-29</v>
      </c>
      <c r="F117" s="98">
        <f t="shared" si="17"/>
        <v>-0.29896907216494845</v>
      </c>
    </row>
    <row r="118" spans="1:6" ht="18" customHeight="1" x14ac:dyDescent="0.25">
      <c r="A118" s="99">
        <v>6</v>
      </c>
      <c r="B118" s="100" t="s">
        <v>117</v>
      </c>
      <c r="C118" s="117">
        <v>2067</v>
      </c>
      <c r="D118" s="117">
        <v>1857</v>
      </c>
      <c r="E118" s="117">
        <f t="shared" si="16"/>
        <v>-210</v>
      </c>
      <c r="F118" s="98">
        <f t="shared" si="17"/>
        <v>-0.10159651669085631</v>
      </c>
    </row>
    <row r="119" spans="1:6" ht="18" customHeight="1" x14ac:dyDescent="0.25">
      <c r="A119" s="99">
        <v>7</v>
      </c>
      <c r="B119" s="100" t="s">
        <v>118</v>
      </c>
      <c r="C119" s="117">
        <v>17292</v>
      </c>
      <c r="D119" s="117">
        <v>17356</v>
      </c>
      <c r="E119" s="117">
        <f t="shared" si="16"/>
        <v>64</v>
      </c>
      <c r="F119" s="98">
        <f t="shared" si="17"/>
        <v>3.7011334721258385E-3</v>
      </c>
    </row>
    <row r="120" spans="1:6" ht="18" customHeight="1" x14ac:dyDescent="0.25">
      <c r="A120" s="99">
        <v>8</v>
      </c>
      <c r="B120" s="100" t="s">
        <v>119</v>
      </c>
      <c r="C120" s="117">
        <v>256</v>
      </c>
      <c r="D120" s="117">
        <v>154</v>
      </c>
      <c r="E120" s="117">
        <f t="shared" si="16"/>
        <v>-102</v>
      </c>
      <c r="F120" s="98">
        <f t="shared" si="17"/>
        <v>-0.3984375</v>
      </c>
    </row>
    <row r="121" spans="1:6" ht="18" customHeight="1" x14ac:dyDescent="0.25">
      <c r="A121" s="99">
        <v>9</v>
      </c>
      <c r="B121" s="100" t="s">
        <v>120</v>
      </c>
      <c r="C121" s="117">
        <v>745</v>
      </c>
      <c r="D121" s="117">
        <v>844</v>
      </c>
      <c r="E121" s="117">
        <f t="shared" si="16"/>
        <v>99</v>
      </c>
      <c r="F121" s="98">
        <f t="shared" si="17"/>
        <v>0.13288590604026845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166</v>
      </c>
      <c r="D123" s="117">
        <v>197</v>
      </c>
      <c r="E123" s="117">
        <f t="shared" si="16"/>
        <v>31</v>
      </c>
      <c r="F123" s="98">
        <f t="shared" si="17"/>
        <v>0.18674698795180722</v>
      </c>
    </row>
    <row r="124" spans="1:6" ht="18" customHeight="1" x14ac:dyDescent="0.25">
      <c r="A124" s="101"/>
      <c r="B124" s="102" t="s">
        <v>140</v>
      </c>
      <c r="C124" s="118">
        <f>SUM(C113:C123)</f>
        <v>70355</v>
      </c>
      <c r="D124" s="118">
        <f>SUM(D113:D123)</f>
        <v>67341</v>
      </c>
      <c r="E124" s="118">
        <f t="shared" si="16"/>
        <v>-3014</v>
      </c>
      <c r="F124" s="104">
        <f t="shared" si="17"/>
        <v>-4.2839883448226847E-2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55271</v>
      </c>
      <c r="D126" s="117">
        <v>59677</v>
      </c>
      <c r="E126" s="117">
        <f t="shared" ref="E126:E137" si="18">D126-C126</f>
        <v>4406</v>
      </c>
      <c r="F126" s="98">
        <f t="shared" ref="F126:F137" si="19">IF(C126=0,0,E126/C126)</f>
        <v>7.9716306924065061E-2</v>
      </c>
    </row>
    <row r="127" spans="1:6" ht="18" customHeight="1" x14ac:dyDescent="0.25">
      <c r="A127" s="99">
        <v>2</v>
      </c>
      <c r="B127" s="100" t="s">
        <v>113</v>
      </c>
      <c r="C127" s="117">
        <v>5564</v>
      </c>
      <c r="D127" s="117">
        <v>7666</v>
      </c>
      <c r="E127" s="117">
        <f t="shared" si="18"/>
        <v>2102</v>
      </c>
      <c r="F127" s="98">
        <f t="shared" si="19"/>
        <v>0.37778576563623295</v>
      </c>
    </row>
    <row r="128" spans="1:6" ht="18" customHeight="1" x14ac:dyDescent="0.25">
      <c r="A128" s="99">
        <v>3</v>
      </c>
      <c r="B128" s="100" t="s">
        <v>114</v>
      </c>
      <c r="C128" s="117">
        <v>16371</v>
      </c>
      <c r="D128" s="117">
        <v>35049</v>
      </c>
      <c r="E128" s="117">
        <f t="shared" si="18"/>
        <v>18678</v>
      </c>
      <c r="F128" s="98">
        <f t="shared" si="19"/>
        <v>1.1409199193696169</v>
      </c>
    </row>
    <row r="129" spans="1:6" ht="18" customHeight="1" x14ac:dyDescent="0.25">
      <c r="A129" s="99">
        <v>4</v>
      </c>
      <c r="B129" s="100" t="s">
        <v>115</v>
      </c>
      <c r="C129" s="117">
        <v>21860</v>
      </c>
      <c r="D129" s="117">
        <v>5117</v>
      </c>
      <c r="E129" s="117">
        <f t="shared" si="18"/>
        <v>-16743</v>
      </c>
      <c r="F129" s="98">
        <f t="shared" si="19"/>
        <v>-0.76591948764867335</v>
      </c>
    </row>
    <row r="130" spans="1:6" ht="18" customHeight="1" x14ac:dyDescent="0.25">
      <c r="A130" s="99">
        <v>5</v>
      </c>
      <c r="B130" s="100" t="s">
        <v>116</v>
      </c>
      <c r="C130" s="117">
        <v>207</v>
      </c>
      <c r="D130" s="117">
        <v>201</v>
      </c>
      <c r="E130" s="117">
        <f t="shared" si="18"/>
        <v>-6</v>
      </c>
      <c r="F130" s="98">
        <f t="shared" si="19"/>
        <v>-2.8985507246376812E-2</v>
      </c>
    </row>
    <row r="131" spans="1:6" ht="18" customHeight="1" x14ac:dyDescent="0.25">
      <c r="A131" s="99">
        <v>6</v>
      </c>
      <c r="B131" s="100" t="s">
        <v>117</v>
      </c>
      <c r="C131" s="117">
        <v>13218</v>
      </c>
      <c r="D131" s="117">
        <v>13482</v>
      </c>
      <c r="E131" s="117">
        <f t="shared" si="18"/>
        <v>264</v>
      </c>
      <c r="F131" s="98">
        <f t="shared" si="19"/>
        <v>1.997276441216523E-2</v>
      </c>
    </row>
    <row r="132" spans="1:6" ht="18" customHeight="1" x14ac:dyDescent="0.25">
      <c r="A132" s="99">
        <v>7</v>
      </c>
      <c r="B132" s="100" t="s">
        <v>118</v>
      </c>
      <c r="C132" s="117">
        <v>105979</v>
      </c>
      <c r="D132" s="117">
        <v>120769</v>
      </c>
      <c r="E132" s="117">
        <f t="shared" si="18"/>
        <v>14790</v>
      </c>
      <c r="F132" s="98">
        <f t="shared" si="19"/>
        <v>0.13955594976363242</v>
      </c>
    </row>
    <row r="133" spans="1:6" ht="18" customHeight="1" x14ac:dyDescent="0.25">
      <c r="A133" s="99">
        <v>8</v>
      </c>
      <c r="B133" s="100" t="s">
        <v>119</v>
      </c>
      <c r="C133" s="117">
        <v>3019</v>
      </c>
      <c r="D133" s="117">
        <v>2525</v>
      </c>
      <c r="E133" s="117">
        <f t="shared" si="18"/>
        <v>-494</v>
      </c>
      <c r="F133" s="98">
        <f t="shared" si="19"/>
        <v>-0.16363034117257369</v>
      </c>
    </row>
    <row r="134" spans="1:6" ht="18" customHeight="1" x14ac:dyDescent="0.25">
      <c r="A134" s="99">
        <v>9</v>
      </c>
      <c r="B134" s="100" t="s">
        <v>120</v>
      </c>
      <c r="C134" s="117">
        <v>18593</v>
      </c>
      <c r="D134" s="117">
        <v>20504</v>
      </c>
      <c r="E134" s="117">
        <f t="shared" si="18"/>
        <v>1911</v>
      </c>
      <c r="F134" s="98">
        <f t="shared" si="19"/>
        <v>0.10278061636099607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201</v>
      </c>
      <c r="D136" s="117">
        <v>245</v>
      </c>
      <c r="E136" s="117">
        <f t="shared" si="18"/>
        <v>44</v>
      </c>
      <c r="F136" s="98">
        <f t="shared" si="19"/>
        <v>0.21890547263681592</v>
      </c>
    </row>
    <row r="137" spans="1:6" ht="18" customHeight="1" x14ac:dyDescent="0.25">
      <c r="A137" s="101"/>
      <c r="B137" s="102" t="s">
        <v>143</v>
      </c>
      <c r="C137" s="118">
        <f>SUM(C126:C136)</f>
        <v>240283</v>
      </c>
      <c r="D137" s="118">
        <f>SUM(D126:D136)</f>
        <v>265235</v>
      </c>
      <c r="E137" s="118">
        <f t="shared" si="18"/>
        <v>24952</v>
      </c>
      <c r="F137" s="104">
        <f t="shared" si="19"/>
        <v>0.10384421702742183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25303091</v>
      </c>
      <c r="D142" s="97">
        <v>27413439</v>
      </c>
      <c r="E142" s="97">
        <f t="shared" ref="E142:E153" si="20">D142-C142</f>
        <v>2110348</v>
      </c>
      <c r="F142" s="98">
        <f t="shared" ref="F142:F153" si="21">IF(C142=0,0,E142/C142)</f>
        <v>8.3402774783523481E-2</v>
      </c>
    </row>
    <row r="143" spans="1:6" ht="18" customHeight="1" x14ac:dyDescent="0.25">
      <c r="A143" s="99">
        <v>2</v>
      </c>
      <c r="B143" s="100" t="s">
        <v>113</v>
      </c>
      <c r="C143" s="97">
        <v>2407960</v>
      </c>
      <c r="D143" s="97">
        <v>3475720</v>
      </c>
      <c r="E143" s="97">
        <f t="shared" si="20"/>
        <v>1067760</v>
      </c>
      <c r="F143" s="98">
        <f t="shared" si="21"/>
        <v>0.44342929284539612</v>
      </c>
    </row>
    <row r="144" spans="1:6" ht="18" customHeight="1" x14ac:dyDescent="0.25">
      <c r="A144" s="99">
        <v>3</v>
      </c>
      <c r="B144" s="100" t="s">
        <v>114</v>
      </c>
      <c r="C144" s="97">
        <v>12520872</v>
      </c>
      <c r="D144" s="97">
        <v>24924501</v>
      </c>
      <c r="E144" s="97">
        <f t="shared" si="20"/>
        <v>12403629</v>
      </c>
      <c r="F144" s="98">
        <f t="shared" si="21"/>
        <v>0.99063619530652502</v>
      </c>
    </row>
    <row r="145" spans="1:6" ht="18" customHeight="1" x14ac:dyDescent="0.25">
      <c r="A145" s="99">
        <v>4</v>
      </c>
      <c r="B145" s="100" t="s">
        <v>115</v>
      </c>
      <c r="C145" s="97">
        <v>13444913</v>
      </c>
      <c r="D145" s="97">
        <v>3647933</v>
      </c>
      <c r="E145" s="97">
        <f t="shared" si="20"/>
        <v>-9796980</v>
      </c>
      <c r="F145" s="98">
        <f t="shared" si="21"/>
        <v>-0.72867559648768276</v>
      </c>
    </row>
    <row r="146" spans="1:6" ht="18" customHeight="1" x14ac:dyDescent="0.25">
      <c r="A146" s="99">
        <v>5</v>
      </c>
      <c r="B146" s="100" t="s">
        <v>116</v>
      </c>
      <c r="C146" s="97">
        <v>117619</v>
      </c>
      <c r="D146" s="97">
        <v>155293</v>
      </c>
      <c r="E146" s="97">
        <f t="shared" si="20"/>
        <v>37674</v>
      </c>
      <c r="F146" s="98">
        <f t="shared" si="21"/>
        <v>0.32030539283619142</v>
      </c>
    </row>
    <row r="147" spans="1:6" ht="18" customHeight="1" x14ac:dyDescent="0.25">
      <c r="A147" s="99">
        <v>6</v>
      </c>
      <c r="B147" s="100" t="s">
        <v>117</v>
      </c>
      <c r="C147" s="97">
        <v>7801944</v>
      </c>
      <c r="D147" s="97">
        <v>7088046</v>
      </c>
      <c r="E147" s="97">
        <f t="shared" si="20"/>
        <v>-713898</v>
      </c>
      <c r="F147" s="98">
        <f t="shared" si="21"/>
        <v>-9.1502579357144828E-2</v>
      </c>
    </row>
    <row r="148" spans="1:6" ht="18" customHeight="1" x14ac:dyDescent="0.25">
      <c r="A148" s="99">
        <v>7</v>
      </c>
      <c r="B148" s="100" t="s">
        <v>118</v>
      </c>
      <c r="C148" s="97">
        <v>46937344</v>
      </c>
      <c r="D148" s="97">
        <v>49726272</v>
      </c>
      <c r="E148" s="97">
        <f t="shared" si="20"/>
        <v>2788928</v>
      </c>
      <c r="F148" s="98">
        <f t="shared" si="21"/>
        <v>5.941810427108956E-2</v>
      </c>
    </row>
    <row r="149" spans="1:6" ht="18" customHeight="1" x14ac:dyDescent="0.25">
      <c r="A149" s="99">
        <v>8</v>
      </c>
      <c r="B149" s="100" t="s">
        <v>119</v>
      </c>
      <c r="C149" s="97">
        <v>2136080</v>
      </c>
      <c r="D149" s="97">
        <v>1904840</v>
      </c>
      <c r="E149" s="97">
        <f t="shared" si="20"/>
        <v>-231240</v>
      </c>
      <c r="F149" s="98">
        <f t="shared" si="21"/>
        <v>-0.10825437249541216</v>
      </c>
    </row>
    <row r="150" spans="1:6" ht="18" customHeight="1" x14ac:dyDescent="0.25">
      <c r="A150" s="99">
        <v>9</v>
      </c>
      <c r="B150" s="100" t="s">
        <v>120</v>
      </c>
      <c r="C150" s="97">
        <v>13015997</v>
      </c>
      <c r="D150" s="97">
        <v>14659538</v>
      </c>
      <c r="E150" s="97">
        <f t="shared" si="20"/>
        <v>1643541</v>
      </c>
      <c r="F150" s="98">
        <f t="shared" si="21"/>
        <v>0.12627084963218721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439572</v>
      </c>
      <c r="D152" s="97">
        <v>490042</v>
      </c>
      <c r="E152" s="97">
        <f t="shared" si="20"/>
        <v>50470</v>
      </c>
      <c r="F152" s="98">
        <f t="shared" si="21"/>
        <v>0.11481623033314224</v>
      </c>
    </row>
    <row r="153" spans="1:6" ht="33.75" customHeight="1" x14ac:dyDescent="0.25">
      <c r="A153" s="101"/>
      <c r="B153" s="102" t="s">
        <v>147</v>
      </c>
      <c r="C153" s="103">
        <f>SUM(C142:C152)</f>
        <v>124125392</v>
      </c>
      <c r="D153" s="103">
        <f>SUM(D142:D152)</f>
        <v>133485624</v>
      </c>
      <c r="E153" s="103">
        <f t="shared" si="20"/>
        <v>9360232</v>
      </c>
      <c r="F153" s="104">
        <f t="shared" si="21"/>
        <v>7.5409485917273075E-2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4814327</v>
      </c>
      <c r="D155" s="97">
        <v>4684525</v>
      </c>
      <c r="E155" s="97">
        <f t="shared" ref="E155:E166" si="22">D155-C155</f>
        <v>-129802</v>
      </c>
      <c r="F155" s="98">
        <f t="shared" ref="F155:F166" si="23">IF(C155=0,0,E155/C155)</f>
        <v>-2.6961608548816896E-2</v>
      </c>
    </row>
    <row r="156" spans="1:6" ht="18" customHeight="1" x14ac:dyDescent="0.25">
      <c r="A156" s="99">
        <v>2</v>
      </c>
      <c r="B156" s="100" t="s">
        <v>113</v>
      </c>
      <c r="C156" s="97">
        <v>440980</v>
      </c>
      <c r="D156" s="97">
        <v>592139</v>
      </c>
      <c r="E156" s="97">
        <f t="shared" si="22"/>
        <v>151159</v>
      </c>
      <c r="F156" s="98">
        <f t="shared" si="23"/>
        <v>0.34277971790103862</v>
      </c>
    </row>
    <row r="157" spans="1:6" ht="18" customHeight="1" x14ac:dyDescent="0.25">
      <c r="A157" s="99">
        <v>3</v>
      </c>
      <c r="B157" s="100" t="s">
        <v>114</v>
      </c>
      <c r="C157" s="97">
        <v>2500750</v>
      </c>
      <c r="D157" s="97">
        <v>4698044</v>
      </c>
      <c r="E157" s="97">
        <f t="shared" si="22"/>
        <v>2197294</v>
      </c>
      <c r="F157" s="98">
        <f t="shared" si="23"/>
        <v>0.87865400379886038</v>
      </c>
    </row>
    <row r="158" spans="1:6" ht="18" customHeight="1" x14ac:dyDescent="0.25">
      <c r="A158" s="99">
        <v>4</v>
      </c>
      <c r="B158" s="100" t="s">
        <v>115</v>
      </c>
      <c r="C158" s="97">
        <v>2649698</v>
      </c>
      <c r="D158" s="97">
        <v>697039</v>
      </c>
      <c r="E158" s="97">
        <f t="shared" si="22"/>
        <v>-1952659</v>
      </c>
      <c r="F158" s="98">
        <f t="shared" si="23"/>
        <v>-0.73693643577494494</v>
      </c>
    </row>
    <row r="159" spans="1:6" ht="18" customHeight="1" x14ac:dyDescent="0.25">
      <c r="A159" s="99">
        <v>5</v>
      </c>
      <c r="B159" s="100" t="s">
        <v>116</v>
      </c>
      <c r="C159" s="97">
        <v>24112</v>
      </c>
      <c r="D159" s="97">
        <v>29886</v>
      </c>
      <c r="E159" s="97">
        <f t="shared" si="22"/>
        <v>5774</v>
      </c>
      <c r="F159" s="98">
        <f t="shared" si="23"/>
        <v>0.23946582614465825</v>
      </c>
    </row>
    <row r="160" spans="1:6" ht="18" customHeight="1" x14ac:dyDescent="0.25">
      <c r="A160" s="99">
        <v>6</v>
      </c>
      <c r="B160" s="100" t="s">
        <v>117</v>
      </c>
      <c r="C160" s="97">
        <v>5685780</v>
      </c>
      <c r="D160" s="97">
        <v>5115597</v>
      </c>
      <c r="E160" s="97">
        <f t="shared" si="22"/>
        <v>-570183</v>
      </c>
      <c r="F160" s="98">
        <f t="shared" si="23"/>
        <v>-0.10028228316959151</v>
      </c>
    </row>
    <row r="161" spans="1:6" ht="18" customHeight="1" x14ac:dyDescent="0.25">
      <c r="A161" s="99">
        <v>7</v>
      </c>
      <c r="B161" s="100" t="s">
        <v>118</v>
      </c>
      <c r="C161" s="97">
        <v>28237740</v>
      </c>
      <c r="D161" s="97">
        <v>29037141</v>
      </c>
      <c r="E161" s="97">
        <f t="shared" si="22"/>
        <v>799401</v>
      </c>
      <c r="F161" s="98">
        <f t="shared" si="23"/>
        <v>2.8309666425145923E-2</v>
      </c>
    </row>
    <row r="162" spans="1:6" ht="18" customHeight="1" x14ac:dyDescent="0.25">
      <c r="A162" s="99">
        <v>8</v>
      </c>
      <c r="B162" s="100" t="s">
        <v>119</v>
      </c>
      <c r="C162" s="97">
        <v>1384577</v>
      </c>
      <c r="D162" s="97">
        <v>1215969</v>
      </c>
      <c r="E162" s="97">
        <f t="shared" si="22"/>
        <v>-168608</v>
      </c>
      <c r="F162" s="98">
        <f t="shared" si="23"/>
        <v>-0.12177582034079723</v>
      </c>
    </row>
    <row r="163" spans="1:6" ht="18" customHeight="1" x14ac:dyDescent="0.25">
      <c r="A163" s="99">
        <v>9</v>
      </c>
      <c r="B163" s="100" t="s">
        <v>120</v>
      </c>
      <c r="C163" s="97">
        <v>911837</v>
      </c>
      <c r="D163" s="97">
        <v>1070499</v>
      </c>
      <c r="E163" s="97">
        <f t="shared" si="22"/>
        <v>158662</v>
      </c>
      <c r="F163" s="98">
        <f t="shared" si="23"/>
        <v>0.17400259037525348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136032</v>
      </c>
      <c r="D165" s="97">
        <v>152654</v>
      </c>
      <c r="E165" s="97">
        <f t="shared" si="22"/>
        <v>16622</v>
      </c>
      <c r="F165" s="98">
        <f t="shared" si="23"/>
        <v>0.12219183721477299</v>
      </c>
    </row>
    <row r="166" spans="1:6" ht="33.75" customHeight="1" x14ac:dyDescent="0.25">
      <c r="A166" s="101"/>
      <c r="B166" s="102" t="s">
        <v>149</v>
      </c>
      <c r="C166" s="103">
        <f>SUM(C155:C165)</f>
        <v>46785833</v>
      </c>
      <c r="D166" s="103">
        <f>SUM(D155:D165)</f>
        <v>47293493</v>
      </c>
      <c r="E166" s="103">
        <f t="shared" si="22"/>
        <v>507660</v>
      </c>
      <c r="F166" s="104">
        <f t="shared" si="23"/>
        <v>1.0850720558935009E-2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6211</v>
      </c>
      <c r="D168" s="117">
        <v>6127</v>
      </c>
      <c r="E168" s="117">
        <f t="shared" ref="E168:E179" si="24">D168-C168</f>
        <v>-84</v>
      </c>
      <c r="F168" s="98">
        <f t="shared" ref="F168:F179" si="25">IF(C168=0,0,E168/C168)</f>
        <v>-1.3524392207374013E-2</v>
      </c>
    </row>
    <row r="169" spans="1:6" ht="18" customHeight="1" x14ac:dyDescent="0.25">
      <c r="A169" s="99">
        <v>2</v>
      </c>
      <c r="B169" s="100" t="s">
        <v>113</v>
      </c>
      <c r="C169" s="117">
        <v>617</v>
      </c>
      <c r="D169" s="117">
        <v>736</v>
      </c>
      <c r="E169" s="117">
        <f t="shared" si="24"/>
        <v>119</v>
      </c>
      <c r="F169" s="98">
        <f t="shared" si="25"/>
        <v>0.19286871961102106</v>
      </c>
    </row>
    <row r="170" spans="1:6" ht="18" customHeight="1" x14ac:dyDescent="0.25">
      <c r="A170" s="99">
        <v>3</v>
      </c>
      <c r="B170" s="100" t="s">
        <v>114</v>
      </c>
      <c r="C170" s="117">
        <v>3830</v>
      </c>
      <c r="D170" s="117">
        <v>8896</v>
      </c>
      <c r="E170" s="117">
        <f t="shared" si="24"/>
        <v>5066</v>
      </c>
      <c r="F170" s="98">
        <f t="shared" si="25"/>
        <v>1.3227154046997389</v>
      </c>
    </row>
    <row r="171" spans="1:6" ht="18" customHeight="1" x14ac:dyDescent="0.25">
      <c r="A171" s="99">
        <v>4</v>
      </c>
      <c r="B171" s="100" t="s">
        <v>115</v>
      </c>
      <c r="C171" s="117">
        <v>6212</v>
      </c>
      <c r="D171" s="117">
        <v>1526</v>
      </c>
      <c r="E171" s="117">
        <f t="shared" si="24"/>
        <v>-4686</v>
      </c>
      <c r="F171" s="98">
        <f t="shared" si="25"/>
        <v>-0.7543464262717321</v>
      </c>
    </row>
    <row r="172" spans="1:6" ht="18" customHeight="1" x14ac:dyDescent="0.25">
      <c r="A172" s="99">
        <v>5</v>
      </c>
      <c r="B172" s="100" t="s">
        <v>116</v>
      </c>
      <c r="C172" s="117">
        <v>47</v>
      </c>
      <c r="D172" s="117">
        <v>59</v>
      </c>
      <c r="E172" s="117">
        <f t="shared" si="24"/>
        <v>12</v>
      </c>
      <c r="F172" s="98">
        <f t="shared" si="25"/>
        <v>0.25531914893617019</v>
      </c>
    </row>
    <row r="173" spans="1:6" ht="18" customHeight="1" x14ac:dyDescent="0.25">
      <c r="A173" s="99">
        <v>6</v>
      </c>
      <c r="B173" s="100" t="s">
        <v>117</v>
      </c>
      <c r="C173" s="117">
        <v>2282</v>
      </c>
      <c r="D173" s="117">
        <v>2022</v>
      </c>
      <c r="E173" s="117">
        <f t="shared" si="24"/>
        <v>-260</v>
      </c>
      <c r="F173" s="98">
        <f t="shared" si="25"/>
        <v>-0.11393514460999124</v>
      </c>
    </row>
    <row r="174" spans="1:6" ht="18" customHeight="1" x14ac:dyDescent="0.25">
      <c r="A174" s="99">
        <v>7</v>
      </c>
      <c r="B174" s="100" t="s">
        <v>118</v>
      </c>
      <c r="C174" s="117">
        <v>15323</v>
      </c>
      <c r="D174" s="117">
        <v>14600</v>
      </c>
      <c r="E174" s="117">
        <f t="shared" si="24"/>
        <v>-723</v>
      </c>
      <c r="F174" s="98">
        <f t="shared" si="25"/>
        <v>-4.7183971807087388E-2</v>
      </c>
    </row>
    <row r="175" spans="1:6" ht="18" customHeight="1" x14ac:dyDescent="0.25">
      <c r="A175" s="99">
        <v>8</v>
      </c>
      <c r="B175" s="100" t="s">
        <v>119</v>
      </c>
      <c r="C175" s="117">
        <v>926</v>
      </c>
      <c r="D175" s="117">
        <v>810</v>
      </c>
      <c r="E175" s="117">
        <f t="shared" si="24"/>
        <v>-116</v>
      </c>
      <c r="F175" s="98">
        <f t="shared" si="25"/>
        <v>-0.12526997840172785</v>
      </c>
    </row>
    <row r="176" spans="1:6" ht="18" customHeight="1" x14ac:dyDescent="0.25">
      <c r="A176" s="99">
        <v>9</v>
      </c>
      <c r="B176" s="100" t="s">
        <v>120</v>
      </c>
      <c r="C176" s="117">
        <v>4494</v>
      </c>
      <c r="D176" s="117">
        <v>4588</v>
      </c>
      <c r="E176" s="117">
        <f t="shared" si="24"/>
        <v>94</v>
      </c>
      <c r="F176" s="98">
        <f t="shared" si="25"/>
        <v>2.091677792612372E-2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165</v>
      </c>
      <c r="D178" s="117">
        <v>186</v>
      </c>
      <c r="E178" s="117">
        <f t="shared" si="24"/>
        <v>21</v>
      </c>
      <c r="F178" s="98">
        <f t="shared" si="25"/>
        <v>0.12727272727272726</v>
      </c>
    </row>
    <row r="179" spans="1:6" ht="33.75" customHeight="1" x14ac:dyDescent="0.25">
      <c r="A179" s="101"/>
      <c r="B179" s="102" t="s">
        <v>151</v>
      </c>
      <c r="C179" s="118">
        <f>SUM(C168:C178)</f>
        <v>40107</v>
      </c>
      <c r="D179" s="118">
        <f>SUM(D168:D178)</f>
        <v>39550</v>
      </c>
      <c r="E179" s="118">
        <f t="shared" si="24"/>
        <v>-557</v>
      </c>
      <c r="F179" s="104">
        <f t="shared" si="25"/>
        <v>-1.3887850001246664E-2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FILING&amp;RNORWALK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45217418</v>
      </c>
      <c r="D15" s="146">
        <v>46217962</v>
      </c>
      <c r="E15" s="146">
        <f>+D15-C15</f>
        <v>1000544</v>
      </c>
      <c r="F15" s="150">
        <f>IF(C15=0,0,E15/C15)</f>
        <v>2.2127402320937475E-2</v>
      </c>
    </row>
    <row r="16" spans="1:7" ht="15" customHeight="1" x14ac:dyDescent="0.2">
      <c r="A16" s="141">
        <v>2</v>
      </c>
      <c r="B16" s="149" t="s">
        <v>158</v>
      </c>
      <c r="C16" s="146">
        <v>15263892</v>
      </c>
      <c r="D16" s="146">
        <v>9930604</v>
      </c>
      <c r="E16" s="146">
        <f>+D16-C16</f>
        <v>-5333288</v>
      </c>
      <c r="F16" s="150">
        <f>IF(C16=0,0,E16/C16)</f>
        <v>-0.34940551204109671</v>
      </c>
    </row>
    <row r="17" spans="1:7" ht="15" customHeight="1" x14ac:dyDescent="0.2">
      <c r="A17" s="141">
        <v>3</v>
      </c>
      <c r="B17" s="149" t="s">
        <v>159</v>
      </c>
      <c r="C17" s="146">
        <v>71810399</v>
      </c>
      <c r="D17" s="146">
        <v>77433917</v>
      </c>
      <c r="E17" s="146">
        <f>+D17-C17</f>
        <v>5623518</v>
      </c>
      <c r="F17" s="150">
        <f>IF(C17=0,0,E17/C17)</f>
        <v>7.8310635761820513E-2</v>
      </c>
    </row>
    <row r="18" spans="1:7" ht="15.75" customHeight="1" x14ac:dyDescent="0.25">
      <c r="A18" s="141"/>
      <c r="B18" s="151" t="s">
        <v>160</v>
      </c>
      <c r="C18" s="147">
        <f>SUM(C15:C17)</f>
        <v>132291709</v>
      </c>
      <c r="D18" s="147">
        <f>SUM(D15:D17)</f>
        <v>133582483</v>
      </c>
      <c r="E18" s="147">
        <f>+D18-C18</f>
        <v>1290774</v>
      </c>
      <c r="F18" s="148">
        <f>IF(C18=0,0,E18/C18)</f>
        <v>9.7570286887744412E-3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12997496</v>
      </c>
      <c r="D21" s="146">
        <v>14427766</v>
      </c>
      <c r="E21" s="146">
        <f>+D21-C21</f>
        <v>1430270</v>
      </c>
      <c r="F21" s="150">
        <f>IF(C21=0,0,E21/C21)</f>
        <v>0.11004196500618273</v>
      </c>
    </row>
    <row r="22" spans="1:7" ht="15" customHeight="1" x14ac:dyDescent="0.2">
      <c r="A22" s="141">
        <v>2</v>
      </c>
      <c r="B22" s="149" t="s">
        <v>163</v>
      </c>
      <c r="C22" s="146">
        <v>3697361</v>
      </c>
      <c r="D22" s="146">
        <v>2996514</v>
      </c>
      <c r="E22" s="146">
        <f>+D22-C22</f>
        <v>-700847</v>
      </c>
      <c r="F22" s="150">
        <f>IF(C22=0,0,E22/C22)</f>
        <v>-0.1895533057226492</v>
      </c>
    </row>
    <row r="23" spans="1:7" ht="15" customHeight="1" x14ac:dyDescent="0.2">
      <c r="A23" s="141">
        <v>3</v>
      </c>
      <c r="B23" s="149" t="s">
        <v>164</v>
      </c>
      <c r="C23" s="146">
        <v>25879074</v>
      </c>
      <c r="D23" s="146">
        <v>30346364</v>
      </c>
      <c r="E23" s="146">
        <f>+D23-C23</f>
        <v>4467290</v>
      </c>
      <c r="F23" s="150">
        <f>IF(C23=0,0,E23/C23)</f>
        <v>0.17262170972578075</v>
      </c>
    </row>
    <row r="24" spans="1:7" ht="15.75" customHeight="1" x14ac:dyDescent="0.25">
      <c r="A24" s="141"/>
      <c r="B24" s="151" t="s">
        <v>165</v>
      </c>
      <c r="C24" s="147">
        <f>SUM(C21:C23)</f>
        <v>42573931</v>
      </c>
      <c r="D24" s="147">
        <f>SUM(D21:D23)</f>
        <v>47770644</v>
      </c>
      <c r="E24" s="147">
        <f>+D24-C24</f>
        <v>5196713</v>
      </c>
      <c r="F24" s="148">
        <f>IF(C24=0,0,E24/C24)</f>
        <v>0.12206326448924813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1774799</v>
      </c>
      <c r="D27" s="146">
        <v>1598864</v>
      </c>
      <c r="E27" s="146">
        <f>+D27-C27</f>
        <v>-175935</v>
      </c>
      <c r="F27" s="150">
        <f>IF(C27=0,0,E27/C27)</f>
        <v>-9.9129535231876967E-2</v>
      </c>
    </row>
    <row r="28" spans="1:7" ht="15" customHeight="1" x14ac:dyDescent="0.2">
      <c r="A28" s="141">
        <v>2</v>
      </c>
      <c r="B28" s="149" t="s">
        <v>168</v>
      </c>
      <c r="C28" s="146">
        <v>6121281</v>
      </c>
      <c r="D28" s="146">
        <v>7854008</v>
      </c>
      <c r="E28" s="146">
        <f>+D28-C28</f>
        <v>1732727</v>
      </c>
      <c r="F28" s="150">
        <f>IF(C28=0,0,E28/C28)</f>
        <v>0.28306607718221072</v>
      </c>
    </row>
    <row r="29" spans="1:7" ht="15" customHeight="1" x14ac:dyDescent="0.2">
      <c r="A29" s="141">
        <v>3</v>
      </c>
      <c r="B29" s="149" t="s">
        <v>169</v>
      </c>
      <c r="C29" s="146">
        <v>7976769</v>
      </c>
      <c r="D29" s="146">
        <v>8144964</v>
      </c>
      <c r="E29" s="146">
        <f>+D29-C29</f>
        <v>168195</v>
      </c>
      <c r="F29" s="150">
        <f>IF(C29=0,0,E29/C29)</f>
        <v>2.1085604961106431E-2</v>
      </c>
    </row>
    <row r="30" spans="1:7" ht="15.75" customHeight="1" x14ac:dyDescent="0.25">
      <c r="A30" s="141"/>
      <c r="B30" s="151" t="s">
        <v>170</v>
      </c>
      <c r="C30" s="147">
        <f>SUM(C27:C29)</f>
        <v>15872849</v>
      </c>
      <c r="D30" s="147">
        <f>SUM(D27:D29)</f>
        <v>17597836</v>
      </c>
      <c r="E30" s="147">
        <f>+D30-C30</f>
        <v>1724987</v>
      </c>
      <c r="F30" s="148">
        <f>IF(C30=0,0,E30/C30)</f>
        <v>0.10867532350367599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23844251</v>
      </c>
      <c r="D33" s="146">
        <v>23803821</v>
      </c>
      <c r="E33" s="146">
        <f>+D33-C33</f>
        <v>-40430</v>
      </c>
      <c r="F33" s="150">
        <f>IF(C33=0,0,E33/C33)</f>
        <v>-1.6955869152694291E-3</v>
      </c>
    </row>
    <row r="34" spans="1:7" ht="15" customHeight="1" x14ac:dyDescent="0.2">
      <c r="A34" s="141">
        <v>2</v>
      </c>
      <c r="B34" s="149" t="s">
        <v>174</v>
      </c>
      <c r="C34" s="146">
        <v>6897746</v>
      </c>
      <c r="D34" s="146">
        <v>7616398</v>
      </c>
      <c r="E34" s="146">
        <f>+D34-C34</f>
        <v>718652</v>
      </c>
      <c r="F34" s="150">
        <f>IF(C34=0,0,E34/C34)</f>
        <v>0.10418649802413717</v>
      </c>
    </row>
    <row r="35" spans="1:7" ht="15.75" customHeight="1" x14ac:dyDescent="0.25">
      <c r="A35" s="141"/>
      <c r="B35" s="151" t="s">
        <v>175</v>
      </c>
      <c r="C35" s="147">
        <f>SUM(C33:C34)</f>
        <v>30741997</v>
      </c>
      <c r="D35" s="147">
        <f>SUM(D33:D34)</f>
        <v>31420219</v>
      </c>
      <c r="E35" s="147">
        <f>+D35-C35</f>
        <v>678222</v>
      </c>
      <c r="F35" s="148">
        <f>IF(C35=0,0,E35/C35)</f>
        <v>2.2061741792506192E-2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5731576</v>
      </c>
      <c r="D38" s="146">
        <v>6379326</v>
      </c>
      <c r="E38" s="146">
        <f>+D38-C38</f>
        <v>647750</v>
      </c>
      <c r="F38" s="150">
        <f>IF(C38=0,0,E38/C38)</f>
        <v>0.11301429135721135</v>
      </c>
    </row>
    <row r="39" spans="1:7" ht="15" customHeight="1" x14ac:dyDescent="0.2">
      <c r="A39" s="141">
        <v>2</v>
      </c>
      <c r="B39" s="149" t="s">
        <v>179</v>
      </c>
      <c r="C39" s="146">
        <v>13309772</v>
      </c>
      <c r="D39" s="146">
        <v>14001046</v>
      </c>
      <c r="E39" s="146">
        <f>+D39-C39</f>
        <v>691274</v>
      </c>
      <c r="F39" s="150">
        <f>IF(C39=0,0,E39/C39)</f>
        <v>5.1937328453109492E-2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19041348</v>
      </c>
      <c r="D41" s="147">
        <f>SUM(D38:D40)</f>
        <v>20380372</v>
      </c>
      <c r="E41" s="147">
        <f>+D41-C41</f>
        <v>1339024</v>
      </c>
      <c r="F41" s="148">
        <f>IF(C41=0,0,E41/C41)</f>
        <v>7.0321912083115126E-2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20654069</v>
      </c>
      <c r="D44" s="146">
        <v>23530477</v>
      </c>
      <c r="E44" s="146">
        <f>+D44-C44</f>
        <v>2876408</v>
      </c>
      <c r="F44" s="150">
        <f>IF(C44=0,0,E44/C44)</f>
        <v>0.13926592382353328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1450895</v>
      </c>
      <c r="D47" s="146">
        <v>2025836</v>
      </c>
      <c r="E47" s="146">
        <f>+D47-C47</f>
        <v>574941</v>
      </c>
      <c r="F47" s="150">
        <f>IF(C47=0,0,E47/C47)</f>
        <v>0.39626644243725423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7934455</v>
      </c>
      <c r="D50" s="146">
        <v>7605175</v>
      </c>
      <c r="E50" s="146">
        <f>+D50-C50</f>
        <v>-329280</v>
      </c>
      <c r="F50" s="150">
        <f>IF(C50=0,0,E50/C50)</f>
        <v>-4.1500014808830601E-2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184700</v>
      </c>
      <c r="D53" s="146">
        <v>190666</v>
      </c>
      <c r="E53" s="146">
        <f t="shared" ref="E53:E59" si="0">+D53-C53</f>
        <v>5966</v>
      </c>
      <c r="F53" s="150">
        <f t="shared" ref="F53:F59" si="1">IF(C53=0,0,E53/C53)</f>
        <v>3.2301028695181373E-2</v>
      </c>
    </row>
    <row r="54" spans="1:7" ht="15" customHeight="1" x14ac:dyDescent="0.2">
      <c r="A54" s="141">
        <v>2</v>
      </c>
      <c r="B54" s="149" t="s">
        <v>193</v>
      </c>
      <c r="C54" s="146">
        <v>2074888</v>
      </c>
      <c r="D54" s="146">
        <v>2406046</v>
      </c>
      <c r="E54" s="146">
        <f t="shared" si="0"/>
        <v>331158</v>
      </c>
      <c r="F54" s="150">
        <f t="shared" si="1"/>
        <v>0.15960283157452354</v>
      </c>
    </row>
    <row r="55" spans="1:7" ht="15" customHeight="1" x14ac:dyDescent="0.2">
      <c r="A55" s="141">
        <v>3</v>
      </c>
      <c r="B55" s="149" t="s">
        <v>194</v>
      </c>
      <c r="C55" s="146">
        <v>208291</v>
      </c>
      <c r="D55" s="146">
        <v>140833</v>
      </c>
      <c r="E55" s="146">
        <f t="shared" si="0"/>
        <v>-67458</v>
      </c>
      <c r="F55" s="150">
        <f t="shared" si="1"/>
        <v>-0.3238642092073109</v>
      </c>
    </row>
    <row r="56" spans="1:7" ht="15" customHeight="1" x14ac:dyDescent="0.2">
      <c r="A56" s="141">
        <v>4</v>
      </c>
      <c r="B56" s="149" t="s">
        <v>195</v>
      </c>
      <c r="C56" s="146">
        <v>1831260</v>
      </c>
      <c r="D56" s="146">
        <v>1361731</v>
      </c>
      <c r="E56" s="146">
        <f t="shared" si="0"/>
        <v>-469529</v>
      </c>
      <c r="F56" s="150">
        <f t="shared" si="1"/>
        <v>-0.25639668861876524</v>
      </c>
    </row>
    <row r="57" spans="1:7" ht="15" customHeight="1" x14ac:dyDescent="0.2">
      <c r="A57" s="141">
        <v>5</v>
      </c>
      <c r="B57" s="149" t="s">
        <v>196</v>
      </c>
      <c r="C57" s="146">
        <v>696085</v>
      </c>
      <c r="D57" s="146">
        <v>687400</v>
      </c>
      <c r="E57" s="146">
        <f t="shared" si="0"/>
        <v>-8685</v>
      </c>
      <c r="F57" s="150">
        <f t="shared" si="1"/>
        <v>-1.2476924513529239E-2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4995224</v>
      </c>
      <c r="D59" s="147">
        <f>SUM(D53:D58)</f>
        <v>4786676</v>
      </c>
      <c r="E59" s="147">
        <f t="shared" si="0"/>
        <v>-208548</v>
      </c>
      <c r="F59" s="148">
        <f t="shared" si="1"/>
        <v>-4.1749479102438647E-2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241990</v>
      </c>
      <c r="D62" s="146">
        <v>253790</v>
      </c>
      <c r="E62" s="146">
        <f t="shared" ref="E62:E90" si="2">+D62-C62</f>
        <v>11800</v>
      </c>
      <c r="F62" s="150">
        <f t="shared" ref="F62:F90" si="3">IF(C62=0,0,E62/C62)</f>
        <v>4.876234555146907E-2</v>
      </c>
    </row>
    <row r="63" spans="1:7" ht="15" customHeight="1" x14ac:dyDescent="0.2">
      <c r="A63" s="141">
        <v>2</v>
      </c>
      <c r="B63" s="149" t="s">
        <v>202</v>
      </c>
      <c r="C63" s="146">
        <v>1607556</v>
      </c>
      <c r="D63" s="146">
        <v>1825297</v>
      </c>
      <c r="E63" s="146">
        <f t="shared" si="2"/>
        <v>217741</v>
      </c>
      <c r="F63" s="150">
        <f t="shared" si="3"/>
        <v>0.13544846960230311</v>
      </c>
    </row>
    <row r="64" spans="1:7" ht="15" customHeight="1" x14ac:dyDescent="0.2">
      <c r="A64" s="141">
        <v>3</v>
      </c>
      <c r="B64" s="149" t="s">
        <v>203</v>
      </c>
      <c r="C64" s="146">
        <v>7347843</v>
      </c>
      <c r="D64" s="146">
        <v>7793749</v>
      </c>
      <c r="E64" s="146">
        <f t="shared" si="2"/>
        <v>445906</v>
      </c>
      <c r="F64" s="150">
        <f t="shared" si="3"/>
        <v>6.068529226876513E-2</v>
      </c>
    </row>
    <row r="65" spans="1:6" ht="15" customHeight="1" x14ac:dyDescent="0.2">
      <c r="A65" s="141">
        <v>4</v>
      </c>
      <c r="B65" s="149" t="s">
        <v>204</v>
      </c>
      <c r="C65" s="146">
        <v>701523</v>
      </c>
      <c r="D65" s="146">
        <v>711040</v>
      </c>
      <c r="E65" s="146">
        <f t="shared" si="2"/>
        <v>9517</v>
      </c>
      <c r="F65" s="150">
        <f t="shared" si="3"/>
        <v>1.3566198114673361E-2</v>
      </c>
    </row>
    <row r="66" spans="1:6" ht="15" customHeight="1" x14ac:dyDescent="0.2">
      <c r="A66" s="141">
        <v>5</v>
      </c>
      <c r="B66" s="149" t="s">
        <v>205</v>
      </c>
      <c r="C66" s="146">
        <v>770412</v>
      </c>
      <c r="D66" s="146">
        <v>903367</v>
      </c>
      <c r="E66" s="146">
        <f t="shared" si="2"/>
        <v>132955</v>
      </c>
      <c r="F66" s="150">
        <f t="shared" si="3"/>
        <v>0.17257649153959181</v>
      </c>
    </row>
    <row r="67" spans="1:6" ht="15" customHeight="1" x14ac:dyDescent="0.2">
      <c r="A67" s="141">
        <v>6</v>
      </c>
      <c r="B67" s="149" t="s">
        <v>206</v>
      </c>
      <c r="C67" s="146">
        <v>3873585</v>
      </c>
      <c r="D67" s="146">
        <v>7521313</v>
      </c>
      <c r="E67" s="146">
        <f t="shared" si="2"/>
        <v>3647728</v>
      </c>
      <c r="F67" s="150">
        <f t="shared" si="3"/>
        <v>0.94169303113265879</v>
      </c>
    </row>
    <row r="68" spans="1:6" ht="15" customHeight="1" x14ac:dyDescent="0.2">
      <c r="A68" s="141">
        <v>7</v>
      </c>
      <c r="B68" s="149" t="s">
        <v>207</v>
      </c>
      <c r="C68" s="146">
        <v>5744772</v>
      </c>
      <c r="D68" s="146">
        <v>8743648</v>
      </c>
      <c r="E68" s="146">
        <f t="shared" si="2"/>
        <v>2998876</v>
      </c>
      <c r="F68" s="150">
        <f t="shared" si="3"/>
        <v>0.52201828027291597</v>
      </c>
    </row>
    <row r="69" spans="1:6" ht="15" customHeight="1" x14ac:dyDescent="0.2">
      <c r="A69" s="141">
        <v>8</v>
      </c>
      <c r="B69" s="149" t="s">
        <v>208</v>
      </c>
      <c r="C69" s="146">
        <v>576282</v>
      </c>
      <c r="D69" s="146">
        <v>601453</v>
      </c>
      <c r="E69" s="146">
        <f t="shared" si="2"/>
        <v>25171</v>
      </c>
      <c r="F69" s="150">
        <f t="shared" si="3"/>
        <v>4.3678268625429909E-2</v>
      </c>
    </row>
    <row r="70" spans="1:6" ht="15" customHeight="1" x14ac:dyDescent="0.2">
      <c r="A70" s="141">
        <v>9</v>
      </c>
      <c r="B70" s="149" t="s">
        <v>209</v>
      </c>
      <c r="C70" s="146">
        <v>380359</v>
      </c>
      <c r="D70" s="146">
        <v>498587</v>
      </c>
      <c r="E70" s="146">
        <f t="shared" si="2"/>
        <v>118228</v>
      </c>
      <c r="F70" s="150">
        <f t="shared" si="3"/>
        <v>0.3108326607231589</v>
      </c>
    </row>
    <row r="71" spans="1:6" ht="15" customHeight="1" x14ac:dyDescent="0.2">
      <c r="A71" s="141">
        <v>10</v>
      </c>
      <c r="B71" s="149" t="s">
        <v>210</v>
      </c>
      <c r="C71" s="146">
        <v>30559</v>
      </c>
      <c r="D71" s="146">
        <v>30006</v>
      </c>
      <c r="E71" s="146">
        <f t="shared" si="2"/>
        <v>-553</v>
      </c>
      <c r="F71" s="150">
        <f t="shared" si="3"/>
        <v>-1.8096141889459735E-2</v>
      </c>
    </row>
    <row r="72" spans="1:6" ht="15" customHeight="1" x14ac:dyDescent="0.2">
      <c r="A72" s="141">
        <v>11</v>
      </c>
      <c r="B72" s="149" t="s">
        <v>211</v>
      </c>
      <c r="C72" s="146">
        <v>691236</v>
      </c>
      <c r="D72" s="146">
        <v>402746</v>
      </c>
      <c r="E72" s="146">
        <f t="shared" si="2"/>
        <v>-288490</v>
      </c>
      <c r="F72" s="150">
        <f t="shared" si="3"/>
        <v>-0.41735384152445765</v>
      </c>
    </row>
    <row r="73" spans="1:6" ht="15" customHeight="1" x14ac:dyDescent="0.2">
      <c r="A73" s="141">
        <v>12</v>
      </c>
      <c r="B73" s="149" t="s">
        <v>212</v>
      </c>
      <c r="C73" s="146">
        <v>901709</v>
      </c>
      <c r="D73" s="146">
        <v>798970</v>
      </c>
      <c r="E73" s="146">
        <f t="shared" si="2"/>
        <v>-102739</v>
      </c>
      <c r="F73" s="150">
        <f t="shared" si="3"/>
        <v>-0.11393808867384045</v>
      </c>
    </row>
    <row r="74" spans="1:6" ht="15" customHeight="1" x14ac:dyDescent="0.2">
      <c r="A74" s="141">
        <v>13</v>
      </c>
      <c r="B74" s="149" t="s">
        <v>213</v>
      </c>
      <c r="C74" s="146">
        <v>264891</v>
      </c>
      <c r="D74" s="146">
        <v>262006</v>
      </c>
      <c r="E74" s="146">
        <f t="shared" si="2"/>
        <v>-2885</v>
      </c>
      <c r="F74" s="150">
        <f t="shared" si="3"/>
        <v>-1.0891272259155652E-2</v>
      </c>
    </row>
    <row r="75" spans="1:6" ht="15" customHeight="1" x14ac:dyDescent="0.2">
      <c r="A75" s="141">
        <v>14</v>
      </c>
      <c r="B75" s="149" t="s">
        <v>214</v>
      </c>
      <c r="C75" s="146">
        <v>261333</v>
      </c>
      <c r="D75" s="146">
        <v>298562</v>
      </c>
      <c r="E75" s="146">
        <f t="shared" si="2"/>
        <v>37229</v>
      </c>
      <c r="F75" s="150">
        <f t="shared" si="3"/>
        <v>0.1424580898700126</v>
      </c>
    </row>
    <row r="76" spans="1:6" ht="15" customHeight="1" x14ac:dyDescent="0.2">
      <c r="A76" s="141">
        <v>15</v>
      </c>
      <c r="B76" s="149" t="s">
        <v>215</v>
      </c>
      <c r="C76" s="146">
        <v>1746100</v>
      </c>
      <c r="D76" s="146">
        <v>1741055</v>
      </c>
      <c r="E76" s="146">
        <f t="shared" si="2"/>
        <v>-5045</v>
      </c>
      <c r="F76" s="150">
        <f t="shared" si="3"/>
        <v>-2.8892961456961227E-3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0</v>
      </c>
      <c r="E78" s="146">
        <f t="shared" si="2"/>
        <v>0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13054</v>
      </c>
      <c r="E79" s="146">
        <f t="shared" si="2"/>
        <v>13054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173816</v>
      </c>
      <c r="E80" s="146">
        <f t="shared" si="2"/>
        <v>173816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0</v>
      </c>
      <c r="E81" s="146">
        <f t="shared" si="2"/>
        <v>0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2238990</v>
      </c>
      <c r="E82" s="146">
        <f t="shared" si="2"/>
        <v>2238990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82433</v>
      </c>
      <c r="E83" s="146">
        <f t="shared" si="2"/>
        <v>82433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0</v>
      </c>
      <c r="E84" s="146">
        <f t="shared" si="2"/>
        <v>0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3960765</v>
      </c>
      <c r="E85" s="146">
        <f t="shared" si="2"/>
        <v>3960765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83146</v>
      </c>
      <c r="E86" s="146">
        <f t="shared" si="2"/>
        <v>83146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0</v>
      </c>
      <c r="E87" s="146">
        <f t="shared" si="2"/>
        <v>0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0</v>
      </c>
      <c r="E88" s="146">
        <f t="shared" si="2"/>
        <v>0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37779237</v>
      </c>
      <c r="D89" s="146">
        <v>34313934</v>
      </c>
      <c r="E89" s="146">
        <f t="shared" si="2"/>
        <v>-3465303</v>
      </c>
      <c r="F89" s="150">
        <f t="shared" si="3"/>
        <v>-9.172506580797278E-2</v>
      </c>
    </row>
    <row r="90" spans="1:7" ht="15.75" customHeight="1" x14ac:dyDescent="0.25">
      <c r="A90" s="141"/>
      <c r="B90" s="151" t="s">
        <v>229</v>
      </c>
      <c r="C90" s="147">
        <f>SUM(C62:C89)</f>
        <v>62919387</v>
      </c>
      <c r="D90" s="147">
        <f>SUM(D62:D89)</f>
        <v>73251727</v>
      </c>
      <c r="E90" s="147">
        <f t="shared" si="2"/>
        <v>10332340</v>
      </c>
      <c r="F90" s="148">
        <f t="shared" si="3"/>
        <v>0.16421552231588016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0</v>
      </c>
      <c r="D93" s="146">
        <v>0</v>
      </c>
      <c r="E93" s="146">
        <f>+D93-C93</f>
        <v>0</v>
      </c>
      <c r="F93" s="150">
        <f>IF(C93=0,0,E93/C93)</f>
        <v>0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338475864</v>
      </c>
      <c r="D95" s="147">
        <f>+D93+D90+D59+D50+D47+D44+D41+D35+D30+D24+D18</f>
        <v>361951445</v>
      </c>
      <c r="E95" s="147">
        <f>+D95-C95</f>
        <v>23475581</v>
      </c>
      <c r="F95" s="148">
        <f>IF(C95=0,0,E95/C95)</f>
        <v>6.9356735581004386E-2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67599906</v>
      </c>
      <c r="D103" s="146">
        <v>88069359</v>
      </c>
      <c r="E103" s="146">
        <f t="shared" ref="E103:E121" si="4">D103-C103</f>
        <v>20469453</v>
      </c>
      <c r="F103" s="150">
        <f t="shared" ref="F103:F121" si="5">IF(C103=0,0,E103/C103)</f>
        <v>0.30280298022899615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3173089</v>
      </c>
      <c r="D104" s="146">
        <v>3819925</v>
      </c>
      <c r="E104" s="146">
        <f t="shared" si="4"/>
        <v>646836</v>
      </c>
      <c r="F104" s="150">
        <f t="shared" si="5"/>
        <v>0.20385056958692302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4807219</v>
      </c>
      <c r="D105" s="146">
        <v>6014450</v>
      </c>
      <c r="E105" s="146">
        <f t="shared" si="4"/>
        <v>1207231</v>
      </c>
      <c r="F105" s="150">
        <f t="shared" si="5"/>
        <v>0.25112877112525972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1871003</v>
      </c>
      <c r="D106" s="146">
        <v>1976158</v>
      </c>
      <c r="E106" s="146">
        <f t="shared" si="4"/>
        <v>105155</v>
      </c>
      <c r="F106" s="150">
        <f t="shared" si="5"/>
        <v>5.6202475356800605E-2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11687596</v>
      </c>
      <c r="D107" s="146">
        <v>11636066</v>
      </c>
      <c r="E107" s="146">
        <f t="shared" si="4"/>
        <v>-51530</v>
      </c>
      <c r="F107" s="150">
        <f t="shared" si="5"/>
        <v>-4.408947742546885E-3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194886</v>
      </c>
      <c r="D108" s="146">
        <v>186334</v>
      </c>
      <c r="E108" s="146">
        <f t="shared" si="4"/>
        <v>-8552</v>
      </c>
      <c r="F108" s="150">
        <f t="shared" si="5"/>
        <v>-4.3882064386359207E-2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3250178</v>
      </c>
      <c r="D109" s="146">
        <v>4144062</v>
      </c>
      <c r="E109" s="146">
        <f t="shared" si="4"/>
        <v>893884</v>
      </c>
      <c r="F109" s="150">
        <f t="shared" si="5"/>
        <v>0.2750261677975791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3645939</v>
      </c>
      <c r="D110" s="146">
        <v>3852475</v>
      </c>
      <c r="E110" s="146">
        <f t="shared" si="4"/>
        <v>206536</v>
      </c>
      <c r="F110" s="150">
        <f t="shared" si="5"/>
        <v>5.6648232458085555E-2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1350157</v>
      </c>
      <c r="D111" s="146">
        <v>1431099</v>
      </c>
      <c r="E111" s="146">
        <f t="shared" si="4"/>
        <v>80942</v>
      </c>
      <c r="F111" s="150">
        <f t="shared" si="5"/>
        <v>5.9950065066507081E-2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4956334</v>
      </c>
      <c r="D112" s="146">
        <v>5497126</v>
      </c>
      <c r="E112" s="146">
        <f t="shared" si="4"/>
        <v>540792</v>
      </c>
      <c r="F112" s="150">
        <f t="shared" si="5"/>
        <v>0.10911129072415217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4016469</v>
      </c>
      <c r="D113" s="146">
        <v>4047868</v>
      </c>
      <c r="E113" s="146">
        <f t="shared" si="4"/>
        <v>31399</v>
      </c>
      <c r="F113" s="150">
        <f t="shared" si="5"/>
        <v>7.8175631381693714E-3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1412481</v>
      </c>
      <c r="D114" s="146">
        <v>1228526</v>
      </c>
      <c r="E114" s="146">
        <f t="shared" si="4"/>
        <v>-183955</v>
      </c>
      <c r="F114" s="150">
        <f t="shared" si="5"/>
        <v>-0.130235380157326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4449893</v>
      </c>
      <c r="D115" s="146">
        <v>4213392</v>
      </c>
      <c r="E115" s="146">
        <f t="shared" si="4"/>
        <v>-236501</v>
      </c>
      <c r="F115" s="150">
        <f t="shared" si="5"/>
        <v>-5.3147570065167862E-2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1660571</v>
      </c>
      <c r="D116" s="146">
        <v>1409701</v>
      </c>
      <c r="E116" s="146">
        <f t="shared" si="4"/>
        <v>-250870</v>
      </c>
      <c r="F116" s="150">
        <f t="shared" si="5"/>
        <v>-0.15107454002267895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5192618</v>
      </c>
      <c r="D117" s="146">
        <v>5314850</v>
      </c>
      <c r="E117" s="146">
        <f t="shared" si="4"/>
        <v>122232</v>
      </c>
      <c r="F117" s="150">
        <f t="shared" si="5"/>
        <v>2.3539570983268941E-2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1531521</v>
      </c>
      <c r="D118" s="146">
        <v>1970227</v>
      </c>
      <c r="E118" s="146">
        <f t="shared" si="4"/>
        <v>438706</v>
      </c>
      <c r="F118" s="150">
        <f t="shared" si="5"/>
        <v>0.28645118153783067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10442898</v>
      </c>
      <c r="D119" s="146">
        <v>11202142</v>
      </c>
      <c r="E119" s="146">
        <f t="shared" si="4"/>
        <v>759244</v>
      </c>
      <c r="F119" s="150">
        <f t="shared" si="5"/>
        <v>7.2704339351011574E-2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24476319</v>
      </c>
      <c r="D120" s="146">
        <v>11324779</v>
      </c>
      <c r="E120" s="146">
        <f t="shared" si="4"/>
        <v>-13151540</v>
      </c>
      <c r="F120" s="150">
        <f t="shared" si="5"/>
        <v>-0.53731690619001982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155719077</v>
      </c>
      <c r="D121" s="147">
        <f>SUM(D103:D120)</f>
        <v>167338539</v>
      </c>
      <c r="E121" s="147">
        <f t="shared" si="4"/>
        <v>11619462</v>
      </c>
      <c r="F121" s="148">
        <f t="shared" si="5"/>
        <v>7.4618102186670421E-2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9555127</v>
      </c>
      <c r="D124" s="146">
        <v>4397936</v>
      </c>
      <c r="E124" s="146">
        <f t="shared" ref="E124:E130" si="6">D124-C124</f>
        <v>-5157191</v>
      </c>
      <c r="F124" s="150">
        <f t="shared" ref="F124:F130" si="7">IF(C124=0,0,E124/C124)</f>
        <v>-0.5397302411574435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6115498</v>
      </c>
      <c r="D125" s="146">
        <v>5641573</v>
      </c>
      <c r="E125" s="146">
        <f t="shared" si="6"/>
        <v>-473925</v>
      </c>
      <c r="F125" s="150">
        <f t="shared" si="7"/>
        <v>-7.749573297219621E-2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3044927</v>
      </c>
      <c r="D126" s="146">
        <v>3978631</v>
      </c>
      <c r="E126" s="146">
        <f t="shared" si="6"/>
        <v>933704</v>
      </c>
      <c r="F126" s="150">
        <f t="shared" si="7"/>
        <v>0.30664249093656432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2608290</v>
      </c>
      <c r="D127" s="146">
        <v>2548711</v>
      </c>
      <c r="E127" s="146">
        <f t="shared" si="6"/>
        <v>-59579</v>
      </c>
      <c r="F127" s="150">
        <f t="shared" si="7"/>
        <v>-2.2842168623887681E-2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3428756</v>
      </c>
      <c r="D128" s="146">
        <v>3451617</v>
      </c>
      <c r="E128" s="146">
        <f t="shared" si="6"/>
        <v>22861</v>
      </c>
      <c r="F128" s="150">
        <f t="shared" si="7"/>
        <v>6.6674327365376833E-3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1044121</v>
      </c>
      <c r="D129" s="146">
        <v>970674</v>
      </c>
      <c r="E129" s="146">
        <f t="shared" si="6"/>
        <v>-73447</v>
      </c>
      <c r="F129" s="150">
        <f t="shared" si="7"/>
        <v>-7.0343379742386178E-2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25796719</v>
      </c>
      <c r="D130" s="147">
        <f>SUM(D124:D129)</f>
        <v>20989142</v>
      </c>
      <c r="E130" s="147">
        <f t="shared" si="6"/>
        <v>-4807577</v>
      </c>
      <c r="F130" s="148">
        <f t="shared" si="7"/>
        <v>-0.18636389379595134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10112927</v>
      </c>
      <c r="D133" s="146">
        <v>11673608</v>
      </c>
      <c r="E133" s="146">
        <f t="shared" ref="E133:E167" si="8">D133-C133</f>
        <v>1560681</v>
      </c>
      <c r="F133" s="150">
        <f t="shared" ref="F133:F167" si="9">IF(C133=0,0,E133/C133)</f>
        <v>0.1543253501187144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2066297</v>
      </c>
      <c r="D134" s="146">
        <v>2383176</v>
      </c>
      <c r="E134" s="146">
        <f t="shared" si="8"/>
        <v>316879</v>
      </c>
      <c r="F134" s="150">
        <f t="shared" si="9"/>
        <v>0.15335597931952666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934084</v>
      </c>
      <c r="D135" s="146">
        <v>1471572</v>
      </c>
      <c r="E135" s="146">
        <f t="shared" si="8"/>
        <v>537488</v>
      </c>
      <c r="F135" s="150">
        <f t="shared" si="9"/>
        <v>0.57541720016615205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2936895</v>
      </c>
      <c r="D136" s="146">
        <v>3357516</v>
      </c>
      <c r="E136" s="146">
        <f t="shared" si="8"/>
        <v>420621</v>
      </c>
      <c r="F136" s="150">
        <f t="shared" si="9"/>
        <v>0.14321962480783276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9563361</v>
      </c>
      <c r="D137" s="146">
        <v>15503157</v>
      </c>
      <c r="E137" s="146">
        <f t="shared" si="8"/>
        <v>5939796</v>
      </c>
      <c r="F137" s="150">
        <f t="shared" si="9"/>
        <v>0.62109921396881285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791727</v>
      </c>
      <c r="D138" s="146">
        <v>973986</v>
      </c>
      <c r="E138" s="146">
        <f t="shared" si="8"/>
        <v>182259</v>
      </c>
      <c r="F138" s="150">
        <f t="shared" si="9"/>
        <v>0.23020435074211187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1001314</v>
      </c>
      <c r="D139" s="146">
        <v>1433886</v>
      </c>
      <c r="E139" s="146">
        <f t="shared" si="8"/>
        <v>432572</v>
      </c>
      <c r="F139" s="150">
        <f t="shared" si="9"/>
        <v>0.43200434628897627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945861</v>
      </c>
      <c r="D140" s="146">
        <v>1040729</v>
      </c>
      <c r="E140" s="146">
        <f t="shared" si="8"/>
        <v>94868</v>
      </c>
      <c r="F140" s="150">
        <f t="shared" si="9"/>
        <v>0.10029803533500166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1400621</v>
      </c>
      <c r="D141" s="146">
        <v>1525199</v>
      </c>
      <c r="E141" s="146">
        <f t="shared" si="8"/>
        <v>124578</v>
      </c>
      <c r="F141" s="150">
        <f t="shared" si="9"/>
        <v>8.8944832327945964E-2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11825875</v>
      </c>
      <c r="D142" s="146">
        <v>13347659</v>
      </c>
      <c r="E142" s="146">
        <f t="shared" si="8"/>
        <v>1521784</v>
      </c>
      <c r="F142" s="150">
        <f t="shared" si="9"/>
        <v>0.12868257105710995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0</v>
      </c>
      <c r="D144" s="146">
        <v>0</v>
      </c>
      <c r="E144" s="146">
        <f t="shared" si="8"/>
        <v>0</v>
      </c>
      <c r="F144" s="150">
        <f t="shared" si="9"/>
        <v>0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1152526</v>
      </c>
      <c r="D145" s="146">
        <v>1322079</v>
      </c>
      <c r="E145" s="146">
        <f t="shared" si="8"/>
        <v>169553</v>
      </c>
      <c r="F145" s="150">
        <f t="shared" si="9"/>
        <v>0.14711425165245731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191299</v>
      </c>
      <c r="D146" s="146">
        <v>307979</v>
      </c>
      <c r="E146" s="146">
        <f t="shared" si="8"/>
        <v>116680</v>
      </c>
      <c r="F146" s="150">
        <f t="shared" si="9"/>
        <v>0.60993523228035695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226314</v>
      </c>
      <c r="D149" s="146">
        <v>234557</v>
      </c>
      <c r="E149" s="146">
        <f t="shared" si="8"/>
        <v>8243</v>
      </c>
      <c r="F149" s="150">
        <f t="shared" si="9"/>
        <v>3.6422846134132221E-2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1926372</v>
      </c>
      <c r="D150" s="146">
        <v>2103671</v>
      </c>
      <c r="E150" s="146">
        <f t="shared" si="8"/>
        <v>177299</v>
      </c>
      <c r="F150" s="150">
        <f t="shared" si="9"/>
        <v>9.2037778788312957E-2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930992</v>
      </c>
      <c r="D151" s="146">
        <v>847815</v>
      </c>
      <c r="E151" s="146">
        <f t="shared" si="8"/>
        <v>-83177</v>
      </c>
      <c r="F151" s="150">
        <f t="shared" si="9"/>
        <v>-8.9342335916957394E-2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1041016</v>
      </c>
      <c r="D152" s="146">
        <v>1153483</v>
      </c>
      <c r="E152" s="146">
        <f t="shared" si="8"/>
        <v>112467</v>
      </c>
      <c r="F152" s="150">
        <f t="shared" si="9"/>
        <v>0.10803580348428843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3420213</v>
      </c>
      <c r="D154" s="146">
        <v>3877312</v>
      </c>
      <c r="E154" s="146">
        <f t="shared" si="8"/>
        <v>457099</v>
      </c>
      <c r="F154" s="150">
        <f t="shared" si="9"/>
        <v>0.13364635477381087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607343</v>
      </c>
      <c r="D155" s="146">
        <v>762763</v>
      </c>
      <c r="E155" s="146">
        <f t="shared" si="8"/>
        <v>155420</v>
      </c>
      <c r="F155" s="150">
        <f t="shared" si="9"/>
        <v>0.25590152516782116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12456456</v>
      </c>
      <c r="D156" s="146">
        <v>13434457</v>
      </c>
      <c r="E156" s="146">
        <f t="shared" si="8"/>
        <v>978001</v>
      </c>
      <c r="F156" s="150">
        <f t="shared" si="9"/>
        <v>7.8513583638877699E-2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2956236</v>
      </c>
      <c r="D157" s="146">
        <v>1386661</v>
      </c>
      <c r="E157" s="146">
        <f t="shared" si="8"/>
        <v>-1569575</v>
      </c>
      <c r="F157" s="150">
        <f t="shared" si="9"/>
        <v>-0.53093697526178563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274164</v>
      </c>
      <c r="D158" s="146">
        <v>465501</v>
      </c>
      <c r="E158" s="146">
        <f t="shared" si="8"/>
        <v>191337</v>
      </c>
      <c r="F158" s="150">
        <f t="shared" si="9"/>
        <v>0.69789250229789468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3632291</v>
      </c>
      <c r="D160" s="146">
        <v>3997649</v>
      </c>
      <c r="E160" s="146">
        <f t="shared" si="8"/>
        <v>365358</v>
      </c>
      <c r="F160" s="150">
        <f t="shared" si="9"/>
        <v>0.10058610392173975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1360293</v>
      </c>
      <c r="D161" s="146">
        <v>1510038</v>
      </c>
      <c r="E161" s="146">
        <f t="shared" si="8"/>
        <v>149745</v>
      </c>
      <c r="F161" s="150">
        <f t="shared" si="9"/>
        <v>0.11008290125730265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5113302</v>
      </c>
      <c r="D163" s="146">
        <v>5582670</v>
      </c>
      <c r="E163" s="146">
        <f t="shared" si="8"/>
        <v>469368</v>
      </c>
      <c r="F163" s="150">
        <f t="shared" si="9"/>
        <v>9.1793522072429912E-2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5822234</v>
      </c>
      <c r="D164" s="146">
        <v>5370862</v>
      </c>
      <c r="E164" s="146">
        <f t="shared" si="8"/>
        <v>-451372</v>
      </c>
      <c r="F164" s="150">
        <f t="shared" si="9"/>
        <v>-7.7525568364308267E-2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287361</v>
      </c>
      <c r="D165" s="146">
        <v>325308</v>
      </c>
      <c r="E165" s="146">
        <f t="shared" si="8"/>
        <v>37947</v>
      </c>
      <c r="F165" s="150">
        <f t="shared" si="9"/>
        <v>0.13205341017048242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13522171</v>
      </c>
      <c r="D166" s="146">
        <v>13319827</v>
      </c>
      <c r="E166" s="146">
        <f t="shared" si="8"/>
        <v>-202344</v>
      </c>
      <c r="F166" s="150">
        <f t="shared" si="9"/>
        <v>-1.4963869337253612E-2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96499545</v>
      </c>
      <c r="D167" s="147">
        <f>SUM(D133:D166)</f>
        <v>108713120</v>
      </c>
      <c r="E167" s="147">
        <f t="shared" si="8"/>
        <v>12213575</v>
      </c>
      <c r="F167" s="148">
        <f t="shared" si="9"/>
        <v>0.12656614080408357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14247074</v>
      </c>
      <c r="D170" s="146">
        <v>15493337</v>
      </c>
      <c r="E170" s="146">
        <f t="shared" ref="E170:E183" si="10">D170-C170</f>
        <v>1246263</v>
      </c>
      <c r="F170" s="150">
        <f t="shared" ref="F170:F183" si="11">IF(C170=0,0,E170/C170)</f>
        <v>8.7475014167821413E-2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4501947</v>
      </c>
      <c r="D171" s="146">
        <v>4960461</v>
      </c>
      <c r="E171" s="146">
        <f t="shared" si="10"/>
        <v>458514</v>
      </c>
      <c r="F171" s="150">
        <f t="shared" si="11"/>
        <v>0.10184793379397847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4889581</v>
      </c>
      <c r="D172" s="146">
        <v>5099146</v>
      </c>
      <c r="E172" s="146">
        <f t="shared" si="10"/>
        <v>209565</v>
      </c>
      <c r="F172" s="150">
        <f t="shared" si="11"/>
        <v>4.2859500640238905E-2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2345902</v>
      </c>
      <c r="D173" s="146">
        <v>2291511</v>
      </c>
      <c r="E173" s="146">
        <f t="shared" si="10"/>
        <v>-54391</v>
      </c>
      <c r="F173" s="150">
        <f t="shared" si="11"/>
        <v>-2.3185538014801981E-2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1719622</v>
      </c>
      <c r="D174" s="146">
        <v>1621563</v>
      </c>
      <c r="E174" s="146">
        <f t="shared" si="10"/>
        <v>-98059</v>
      </c>
      <c r="F174" s="150">
        <f t="shared" si="11"/>
        <v>-5.7023578437586868E-2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4443953</v>
      </c>
      <c r="D175" s="146">
        <v>4496981</v>
      </c>
      <c r="E175" s="146">
        <f t="shared" si="10"/>
        <v>53028</v>
      </c>
      <c r="F175" s="150">
        <f t="shared" si="11"/>
        <v>1.1932619449395616E-2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114926</v>
      </c>
      <c r="D176" s="146">
        <v>128202</v>
      </c>
      <c r="E176" s="146">
        <f t="shared" si="10"/>
        <v>13276</v>
      </c>
      <c r="F176" s="150">
        <f t="shared" si="11"/>
        <v>0.11551781146128813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1621664</v>
      </c>
      <c r="D177" s="146">
        <v>1996807</v>
      </c>
      <c r="E177" s="146">
        <f t="shared" si="10"/>
        <v>375143</v>
      </c>
      <c r="F177" s="150">
        <f t="shared" si="11"/>
        <v>0.2313321378534641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2588108</v>
      </c>
      <c r="D178" s="146">
        <v>2016523</v>
      </c>
      <c r="E178" s="146">
        <f t="shared" si="10"/>
        <v>-571585</v>
      </c>
      <c r="F178" s="150">
        <f t="shared" si="11"/>
        <v>-0.22085052092107438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2468662</v>
      </c>
      <c r="D179" s="146">
        <v>1998371</v>
      </c>
      <c r="E179" s="146">
        <f t="shared" si="10"/>
        <v>-470291</v>
      </c>
      <c r="F179" s="150">
        <f t="shared" si="11"/>
        <v>-0.19050441089140596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865015</v>
      </c>
      <c r="D181" s="146">
        <v>1277265</v>
      </c>
      <c r="E181" s="146">
        <f t="shared" si="10"/>
        <v>412250</v>
      </c>
      <c r="F181" s="150">
        <f t="shared" si="11"/>
        <v>0.47658133095957872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0</v>
      </c>
      <c r="E182" s="146">
        <f t="shared" si="10"/>
        <v>0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39806454</v>
      </c>
      <c r="D183" s="147">
        <f>SUM(D170:D182)</f>
        <v>41380167</v>
      </c>
      <c r="E183" s="147">
        <f t="shared" si="10"/>
        <v>1573713</v>
      </c>
      <c r="F183" s="148">
        <f t="shared" si="11"/>
        <v>3.9534116754031894E-2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20654069</v>
      </c>
      <c r="D186" s="146">
        <v>23530477</v>
      </c>
      <c r="E186" s="146">
        <f>D186-C186</f>
        <v>2876408</v>
      </c>
      <c r="F186" s="150">
        <f>IF(C186=0,0,E186/C186)</f>
        <v>0.13926592382353328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338475864</v>
      </c>
      <c r="D188" s="147">
        <f>+D186+D183+D167+D130+D121</f>
        <v>361951445</v>
      </c>
      <c r="E188" s="147">
        <f>D188-C188</f>
        <v>23475581</v>
      </c>
      <c r="F188" s="148">
        <f>IF(C188=0,0,E188/C188)</f>
        <v>6.9356735581004386E-2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FILING&amp;RNORWALK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326580262</v>
      </c>
      <c r="D11" s="164">
        <v>350594448</v>
      </c>
      <c r="E11" s="51">
        <v>363267877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13756910</v>
      </c>
      <c r="D12" s="49">
        <v>12324861</v>
      </c>
      <c r="E12" s="49">
        <v>20310592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340337172</v>
      </c>
      <c r="D13" s="51">
        <f>+D11+D12</f>
        <v>362919309</v>
      </c>
      <c r="E13" s="51">
        <f>+E11+E12</f>
        <v>383578469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337444501</v>
      </c>
      <c r="D14" s="49">
        <v>338475864</v>
      </c>
      <c r="E14" s="49">
        <v>361951445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2892671</v>
      </c>
      <c r="D15" s="51">
        <f>+D13-D14</f>
        <v>24443445</v>
      </c>
      <c r="E15" s="51">
        <f>+E13-E14</f>
        <v>21627024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2351981</v>
      </c>
      <c r="D16" s="49">
        <v>-658476</v>
      </c>
      <c r="E16" s="49">
        <v>7929614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5244652</v>
      </c>
      <c r="D17" s="51">
        <f>D15+D16</f>
        <v>23784969</v>
      </c>
      <c r="E17" s="51">
        <f>E15+E16</f>
        <v>29556638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8.4410929691725606E-3</v>
      </c>
      <c r="D20" s="169">
        <f>IF(+D27=0,0,+D24/+D27)</f>
        <v>6.7474710963301959E-2</v>
      </c>
      <c r="E20" s="169">
        <f>IF(+E27=0,0,+E24/+E27)</f>
        <v>5.524030010895075E-2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6.8633074009202735E-3</v>
      </c>
      <c r="D21" s="169">
        <f>IF(D27=0,0,+D26/D27)</f>
        <v>-1.817684773004428E-3</v>
      </c>
      <c r="E21" s="169">
        <f>IF(E27=0,0,+E26/E27)</f>
        <v>2.0254023720884456E-2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1.5304400370092834E-2</v>
      </c>
      <c r="D22" s="169">
        <f>IF(D27=0,0,+D28/D27)</f>
        <v>6.5657026190297535E-2</v>
      </c>
      <c r="E22" s="169">
        <f>IF(E27=0,0,+E28/E27)</f>
        <v>7.5494323829835203E-2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2892671</v>
      </c>
      <c r="D24" s="51">
        <f>+D15</f>
        <v>24443445</v>
      </c>
      <c r="E24" s="51">
        <f>+E15</f>
        <v>21627024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340337172</v>
      </c>
      <c r="D25" s="51">
        <f>+D13</f>
        <v>362919309</v>
      </c>
      <c r="E25" s="51">
        <f>+E13</f>
        <v>383578469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2351981</v>
      </c>
      <c r="D26" s="51">
        <f>+D16</f>
        <v>-658476</v>
      </c>
      <c r="E26" s="51">
        <f>+E16</f>
        <v>7929614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342689153</v>
      </c>
      <c r="D27" s="51">
        <f>+D25+D26</f>
        <v>362260833</v>
      </c>
      <c r="E27" s="51">
        <f>+E25+E26</f>
        <v>391508083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5244652</v>
      </c>
      <c r="D28" s="51">
        <f>+D17</f>
        <v>23784969</v>
      </c>
      <c r="E28" s="51">
        <f>+E17</f>
        <v>29556638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111900976</v>
      </c>
      <c r="D31" s="51">
        <v>104824797</v>
      </c>
      <c r="E31" s="51">
        <v>123000420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135176638</v>
      </c>
      <c r="D32" s="51">
        <v>135696801</v>
      </c>
      <c r="E32" s="51">
        <v>166692992</v>
      </c>
      <c r="F32" s="13"/>
    </row>
    <row r="33" spans="1:6" ht="24" customHeight="1" x14ac:dyDescent="0.2">
      <c r="A33" s="25">
        <v>3</v>
      </c>
      <c r="B33" s="48" t="s">
        <v>331</v>
      </c>
      <c r="C33" s="51">
        <v>-13743284</v>
      </c>
      <c r="D33" s="51">
        <f>+D32-C32</f>
        <v>520163</v>
      </c>
      <c r="E33" s="51">
        <f>+E32-D32</f>
        <v>30996191</v>
      </c>
      <c r="F33" s="5"/>
    </row>
    <row r="34" spans="1:6" ht="24" customHeight="1" x14ac:dyDescent="0.2">
      <c r="A34" s="25">
        <v>4</v>
      </c>
      <c r="B34" s="48" t="s">
        <v>332</v>
      </c>
      <c r="C34" s="171">
        <v>0.90769999999999995</v>
      </c>
      <c r="D34" s="171">
        <f>IF(C32=0,0,+D33/C32)</f>
        <v>3.8480243901316733E-3</v>
      </c>
      <c r="E34" s="171">
        <f>IF(D32=0,0,+E33/D32)</f>
        <v>0.22842241505752225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0.4470710497208264</v>
      </c>
      <c r="D38" s="172">
        <f>IF((D40+D41)=0,0,+D39/(D40+D41))</f>
        <v>0.39072205837333518</v>
      </c>
      <c r="E38" s="172">
        <f>IF((E40+E41)=0,0,+E39/(E40+E41))</f>
        <v>0.38950127779691218</v>
      </c>
      <c r="F38" s="5"/>
    </row>
    <row r="39" spans="1:6" ht="24" customHeight="1" x14ac:dyDescent="0.2">
      <c r="A39" s="21">
        <v>2</v>
      </c>
      <c r="B39" s="48" t="s">
        <v>336</v>
      </c>
      <c r="C39" s="51">
        <v>337444501</v>
      </c>
      <c r="D39" s="51">
        <v>338475864</v>
      </c>
      <c r="E39" s="23">
        <v>361951445</v>
      </c>
      <c r="F39" s="5"/>
    </row>
    <row r="40" spans="1:6" ht="24" customHeight="1" x14ac:dyDescent="0.2">
      <c r="A40" s="21">
        <v>3</v>
      </c>
      <c r="B40" s="48" t="s">
        <v>337</v>
      </c>
      <c r="C40" s="51">
        <v>741032516</v>
      </c>
      <c r="D40" s="51">
        <v>853958106</v>
      </c>
      <c r="E40" s="23">
        <v>908958362</v>
      </c>
      <c r="F40" s="5"/>
    </row>
    <row r="41" spans="1:6" ht="24" customHeight="1" x14ac:dyDescent="0.2">
      <c r="A41" s="21">
        <v>4</v>
      </c>
      <c r="B41" s="48" t="s">
        <v>338</v>
      </c>
      <c r="C41" s="51">
        <v>13756910</v>
      </c>
      <c r="D41" s="51">
        <v>12324861</v>
      </c>
      <c r="E41" s="23">
        <v>20310592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1.2724347780732059</v>
      </c>
      <c r="D43" s="173">
        <f>IF(D38=0,0,IF((D46-D47)=0,0,((+D44-D45)/(D46-D47)/D38)))</f>
        <v>1.461407173820737</v>
      </c>
      <c r="E43" s="173">
        <f>IF(E38=0,0,IF((E46-E47)=0,0,((+E44-E45)/(E46-E47)/E38)))</f>
        <v>1.4047821354204526</v>
      </c>
      <c r="F43" s="5"/>
    </row>
    <row r="44" spans="1:6" ht="24" customHeight="1" x14ac:dyDescent="0.2">
      <c r="A44" s="21">
        <v>6</v>
      </c>
      <c r="B44" s="48" t="s">
        <v>340</v>
      </c>
      <c r="C44" s="51">
        <v>168475827</v>
      </c>
      <c r="D44" s="51">
        <v>196641108</v>
      </c>
      <c r="E44" s="23">
        <v>201449788</v>
      </c>
      <c r="F44" s="5"/>
    </row>
    <row r="45" spans="1:6" ht="24" customHeight="1" x14ac:dyDescent="0.2">
      <c r="A45" s="21">
        <v>7</v>
      </c>
      <c r="B45" s="48" t="s">
        <v>341</v>
      </c>
      <c r="C45" s="51">
        <v>2534635</v>
      </c>
      <c r="D45" s="51">
        <v>1678857</v>
      </c>
      <c r="E45" s="23">
        <v>2287281</v>
      </c>
      <c r="F45" s="5"/>
    </row>
    <row r="46" spans="1:6" ht="24" customHeight="1" x14ac:dyDescent="0.2">
      <c r="A46" s="21">
        <v>8</v>
      </c>
      <c r="B46" s="48" t="s">
        <v>342</v>
      </c>
      <c r="C46" s="51">
        <v>325314726</v>
      </c>
      <c r="D46" s="51">
        <v>371651515</v>
      </c>
      <c r="E46" s="23">
        <v>399177825</v>
      </c>
      <c r="F46" s="5"/>
    </row>
    <row r="47" spans="1:6" ht="24" customHeight="1" x14ac:dyDescent="0.2">
      <c r="A47" s="21">
        <v>9</v>
      </c>
      <c r="B47" s="48" t="s">
        <v>343</v>
      </c>
      <c r="C47" s="51">
        <v>33610899</v>
      </c>
      <c r="D47" s="51">
        <v>30213899</v>
      </c>
      <c r="E47" s="174">
        <v>35187599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0.70179548799915026</v>
      </c>
      <c r="D49" s="175">
        <f>IF(D38=0,0,IF(D51=0,0,(D50/D51)/D38))</f>
        <v>0.706340325270435</v>
      </c>
      <c r="E49" s="175">
        <f>IF(E38=0,0,IF(E51=0,0,(E50/E51)/E38))</f>
        <v>0.67088095440161344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99503449</v>
      </c>
      <c r="D50" s="176">
        <v>98031835</v>
      </c>
      <c r="E50" s="176">
        <v>97674768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317139995</v>
      </c>
      <c r="D51" s="176">
        <v>355210014</v>
      </c>
      <c r="E51" s="176">
        <v>373790310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0.57934194940872763</v>
      </c>
      <c r="D53" s="175">
        <f>IF(D38=0,0,IF(D55=0,0,(D54/D55)/D38))</f>
        <v>0.65005780636658572</v>
      </c>
      <c r="E53" s="175">
        <f>IF(E38=0,0,IF(E55=0,0,(E54/E55)/E38))</f>
        <v>0.68515308935625119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22926292</v>
      </c>
      <c r="D54" s="176">
        <v>31672208</v>
      </c>
      <c r="E54" s="176">
        <v>35580788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88516105</v>
      </c>
      <c r="D55" s="176">
        <v>124697697</v>
      </c>
      <c r="E55" s="176">
        <v>133327291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18455850.717904989</v>
      </c>
      <c r="D57" s="53">
        <f>+D60*D38</f>
        <v>14840041.458899671</v>
      </c>
      <c r="E57" s="53">
        <f>+E60*E38</f>
        <v>16148519.268291691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18026000</v>
      </c>
      <c r="D58" s="51">
        <v>17327000</v>
      </c>
      <c r="E58" s="52">
        <v>17929000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23255695</v>
      </c>
      <c r="D59" s="51">
        <v>20654069</v>
      </c>
      <c r="E59" s="52">
        <v>23530477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41281695</v>
      </c>
      <c r="D60" s="51">
        <v>37981069</v>
      </c>
      <c r="E60" s="52">
        <v>41459477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5.4692995924402361E-2</v>
      </c>
      <c r="D62" s="178">
        <f>IF(D63=0,0,+D57/D63)</f>
        <v>4.3843721332223771E-2</v>
      </c>
      <c r="E62" s="178">
        <f>IF(E63=0,0,+E57/E63)</f>
        <v>4.4615153472565061E-2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337444501</v>
      </c>
      <c r="D63" s="176">
        <v>338475864</v>
      </c>
      <c r="E63" s="176">
        <v>361951445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2.0543075022142743</v>
      </c>
      <c r="D67" s="179">
        <f>IF(D69=0,0,D68/D69)</f>
        <v>2.1345590638850958</v>
      </c>
      <c r="E67" s="179">
        <f>IF(E69=0,0,E68/E69)</f>
        <v>2.2065897186047025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81491821</v>
      </c>
      <c r="D68" s="180">
        <v>115124348</v>
      </c>
      <c r="E68" s="180">
        <v>130253153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39668755</v>
      </c>
      <c r="D69" s="180">
        <v>53933550</v>
      </c>
      <c r="E69" s="180">
        <v>59029167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40.189884733172747</v>
      </c>
      <c r="D71" s="181">
        <f>IF((D77/365)=0,0,+D74/(D77/365))</f>
        <v>80.159021105909545</v>
      </c>
      <c r="E71" s="181">
        <f>IF((E77/365)=0,0,+E74/(E77/365))</f>
        <v>94.62262888988846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26310543</v>
      </c>
      <c r="D72" s="182">
        <v>61458676</v>
      </c>
      <c r="E72" s="182">
        <v>79838027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8655334</v>
      </c>
      <c r="D73" s="184">
        <v>8693538</v>
      </c>
      <c r="E73" s="184">
        <v>8710885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34965877</v>
      </c>
      <c r="D74" s="180">
        <f>+D72+D73</f>
        <v>70152214</v>
      </c>
      <c r="E74" s="180">
        <f>+E72+E73</f>
        <v>88548912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337444501</v>
      </c>
      <c r="D75" s="180">
        <f>+D14</f>
        <v>338475864</v>
      </c>
      <c r="E75" s="180">
        <f>+E14</f>
        <v>361951445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19888350</v>
      </c>
      <c r="D76" s="180">
        <v>19041348</v>
      </c>
      <c r="E76" s="180">
        <v>20380372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317556151</v>
      </c>
      <c r="D77" s="180">
        <f>+D75-D76</f>
        <v>319434516</v>
      </c>
      <c r="E77" s="180">
        <f>+E75-E76</f>
        <v>341571073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45.280218726139672</v>
      </c>
      <c r="D79" s="179">
        <f>IF((D84/365)=0,0,+D83/(D84/365))</f>
        <v>34.206006550908072</v>
      </c>
      <c r="E79" s="179">
        <f>IF((E84/365)=0,0,+E83/(E84/365))</f>
        <v>27.696934981124134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40941651</v>
      </c>
      <c r="D80" s="189">
        <v>37299759</v>
      </c>
      <c r="E80" s="189">
        <v>30103755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573584</v>
      </c>
      <c r="D81" s="190">
        <v>81421</v>
      </c>
      <c r="E81" s="190">
        <v>2368715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1001192</v>
      </c>
      <c r="D82" s="190">
        <v>4525191</v>
      </c>
      <c r="E82" s="190">
        <v>4906972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40514043</v>
      </c>
      <c r="D83" s="191">
        <f>+D80+D81-D82</f>
        <v>32855989</v>
      </c>
      <c r="E83" s="191">
        <f>+E80+E81-E82</f>
        <v>27565498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326580262</v>
      </c>
      <c r="D84" s="191">
        <f>+D11</f>
        <v>350594448</v>
      </c>
      <c r="E84" s="191">
        <f>+E11</f>
        <v>363267877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45.595386924185256</v>
      </c>
      <c r="D86" s="179">
        <f>IF((D90/365)=0,0,+D87/(D90/365))</f>
        <v>61.626858601592069</v>
      </c>
      <c r="E86" s="179">
        <f>IF((E90/365)=0,0,+E87/(E90/365))</f>
        <v>63.078075569355953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39668755</v>
      </c>
      <c r="D87" s="51">
        <f>+D69</f>
        <v>53933550</v>
      </c>
      <c r="E87" s="51">
        <f>+E69</f>
        <v>59029167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337444501</v>
      </c>
      <c r="D88" s="51">
        <f t="shared" si="0"/>
        <v>338475864</v>
      </c>
      <c r="E88" s="51">
        <f t="shared" si="0"/>
        <v>361951445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19888350</v>
      </c>
      <c r="D89" s="52">
        <f t="shared" si="0"/>
        <v>19041348</v>
      </c>
      <c r="E89" s="52">
        <f t="shared" si="0"/>
        <v>20380372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317556151</v>
      </c>
      <c r="D90" s="51">
        <f>+D88-D89</f>
        <v>319434516</v>
      </c>
      <c r="E90" s="51">
        <f>+E88-E89</f>
        <v>341571073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51.387977294768703</v>
      </c>
      <c r="D94" s="192">
        <f>IF(D96=0,0,(D95/D96)*100)</f>
        <v>38.750306508014965</v>
      </c>
      <c r="E94" s="192">
        <f>IF(E96=0,0,(E95/E96)*100)</f>
        <v>37.974868442132845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135176638</v>
      </c>
      <c r="D95" s="51">
        <f>+D32</f>
        <v>135696801</v>
      </c>
      <c r="E95" s="51">
        <f>+E32</f>
        <v>166692992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263051097</v>
      </c>
      <c r="D96" s="51">
        <v>350182523</v>
      </c>
      <c r="E96" s="51">
        <v>438956075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45.356844899219581</v>
      </c>
      <c r="D98" s="192">
        <f>IF(D104=0,0,(D101/D104)*100)</f>
        <v>38.338981172705964</v>
      </c>
      <c r="E98" s="192">
        <f>IF(E104=0,0,(E101/E104)*100)</f>
        <v>44.676718241842082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5244652</v>
      </c>
      <c r="D99" s="51">
        <f>+D28</f>
        <v>23784969</v>
      </c>
      <c r="E99" s="51">
        <f>+E28</f>
        <v>29556638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19888350</v>
      </c>
      <c r="D100" s="52">
        <f>+D76</f>
        <v>19041348</v>
      </c>
      <c r="E100" s="52">
        <f>+E76</f>
        <v>20380372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25133002</v>
      </c>
      <c r="D101" s="51">
        <f>+D99+D100</f>
        <v>42826317</v>
      </c>
      <c r="E101" s="51">
        <f>+E99+E100</f>
        <v>49937010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39668755</v>
      </c>
      <c r="D102" s="180">
        <f>+D69</f>
        <v>53933550</v>
      </c>
      <c r="E102" s="180">
        <f>+E69</f>
        <v>59029167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15742952</v>
      </c>
      <c r="D103" s="194">
        <v>57770819</v>
      </c>
      <c r="E103" s="194">
        <v>52744956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55411707</v>
      </c>
      <c r="D104" s="180">
        <f>+D102+D103</f>
        <v>111704369</v>
      </c>
      <c r="E104" s="180">
        <f>+E102+E103</f>
        <v>111774123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10.431350893545364</v>
      </c>
      <c r="D106" s="197">
        <f>IF(D109=0,0,(D107/D109)*100)</f>
        <v>29.860717261110668</v>
      </c>
      <c r="E106" s="197">
        <f>IF(E109=0,0,(E107/E109)*100)</f>
        <v>24.036387726338017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15742952</v>
      </c>
      <c r="D107" s="180">
        <f>+D103</f>
        <v>57770819</v>
      </c>
      <c r="E107" s="180">
        <f>+E103</f>
        <v>52744956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135176638</v>
      </c>
      <c r="D108" s="180">
        <f>+D32</f>
        <v>135696801</v>
      </c>
      <c r="E108" s="180">
        <f>+E32</f>
        <v>166692992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150919590</v>
      </c>
      <c r="D109" s="180">
        <f>+D107+D108</f>
        <v>193467620</v>
      </c>
      <c r="E109" s="180">
        <f>+E107+E108</f>
        <v>219437948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10.535706987731215</v>
      </c>
      <c r="D111" s="197">
        <f>IF((+D113+D115)=0,0,((+D112+D113+D114)/(+D113+D115)))</f>
        <v>14.301254151678419</v>
      </c>
      <c r="E111" s="197">
        <f>IF((+E113+E115)=0,0,((+E112+E113+E114)/(+E113+E115)))</f>
        <v>7.5742808070569305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5244652</v>
      </c>
      <c r="D112" s="180">
        <f>+D17</f>
        <v>23784969</v>
      </c>
      <c r="E112" s="180">
        <f>+E17</f>
        <v>29556638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646398</v>
      </c>
      <c r="D113" s="180">
        <v>1450895</v>
      </c>
      <c r="E113" s="180">
        <v>2025836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19888350</v>
      </c>
      <c r="D114" s="180">
        <v>19041348</v>
      </c>
      <c r="E114" s="180">
        <v>20380372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1800462</v>
      </c>
      <c r="D115" s="180">
        <v>1645142</v>
      </c>
      <c r="E115" s="180">
        <v>4834597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13.130405488640335</v>
      </c>
      <c r="D119" s="197">
        <f>IF(+D121=0,0,(+D120)/(+D121))</f>
        <v>14.585208620734205</v>
      </c>
      <c r="E119" s="197">
        <f>IF(+E121=0,0,(+E120)/(+E121))</f>
        <v>14.354983363404751</v>
      </c>
    </row>
    <row r="120" spans="1:8" ht="24" customHeight="1" x14ac:dyDescent="0.25">
      <c r="A120" s="17">
        <v>21</v>
      </c>
      <c r="B120" s="48" t="s">
        <v>381</v>
      </c>
      <c r="C120" s="180">
        <v>261142100</v>
      </c>
      <c r="D120" s="180">
        <v>277722033</v>
      </c>
      <c r="E120" s="180">
        <v>292559901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19888350</v>
      </c>
      <c r="D121" s="180">
        <v>19041348</v>
      </c>
      <c r="E121" s="180">
        <v>20380372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69417</v>
      </c>
      <c r="D124" s="198">
        <v>70355</v>
      </c>
      <c r="E124" s="198">
        <v>67341</v>
      </c>
    </row>
    <row r="125" spans="1:8" ht="24" customHeight="1" x14ac:dyDescent="0.2">
      <c r="A125" s="44">
        <v>2</v>
      </c>
      <c r="B125" s="48" t="s">
        <v>385</v>
      </c>
      <c r="C125" s="198">
        <v>14483</v>
      </c>
      <c r="D125" s="198">
        <v>14878</v>
      </c>
      <c r="E125" s="198">
        <v>15003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4.7929986881171027</v>
      </c>
      <c r="D126" s="199">
        <f>IF(D125=0,0,D124/D125)</f>
        <v>4.728794192767845</v>
      </c>
      <c r="E126" s="199">
        <f>IF(E125=0,0,E124/E125)</f>
        <v>4.4885022995400918</v>
      </c>
    </row>
    <row r="127" spans="1:8" ht="24" customHeight="1" x14ac:dyDescent="0.2">
      <c r="A127" s="44">
        <v>4</v>
      </c>
      <c r="B127" s="48" t="s">
        <v>387</v>
      </c>
      <c r="C127" s="198">
        <v>194</v>
      </c>
      <c r="D127" s="198">
        <v>196</v>
      </c>
      <c r="E127" s="198">
        <v>193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312</v>
      </c>
      <c r="E128" s="198">
        <v>320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366</v>
      </c>
      <c r="D129" s="198">
        <v>366</v>
      </c>
      <c r="E129" s="198">
        <v>366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0.98029999999999995</v>
      </c>
      <c r="D130" s="171">
        <v>0.98340000000000005</v>
      </c>
      <c r="E130" s="171">
        <v>0.95589999999999997</v>
      </c>
    </row>
    <row r="131" spans="1:8" ht="24" customHeight="1" x14ac:dyDescent="0.2">
      <c r="A131" s="44">
        <v>7</v>
      </c>
      <c r="B131" s="48" t="s">
        <v>391</v>
      </c>
      <c r="C131" s="171">
        <v>0.60950000000000004</v>
      </c>
      <c r="D131" s="171">
        <v>0.61770000000000003</v>
      </c>
      <c r="E131" s="171">
        <v>0.57650000000000001</v>
      </c>
    </row>
    <row r="132" spans="1:8" ht="24" customHeight="1" x14ac:dyDescent="0.2">
      <c r="A132" s="44">
        <v>8</v>
      </c>
      <c r="B132" s="48" t="s">
        <v>392</v>
      </c>
      <c r="C132" s="199">
        <v>1726.6</v>
      </c>
      <c r="D132" s="199">
        <v>1698.4</v>
      </c>
      <c r="E132" s="199">
        <v>1698.8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0.3936451109791787</v>
      </c>
      <c r="D135" s="203">
        <f>IF(D149=0,0,D143/D149)</f>
        <v>0.39982946891776444</v>
      </c>
      <c r="E135" s="203">
        <f>IF(E149=0,0,E143/E149)</f>
        <v>0.40044763458592836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0.42797041715778095</v>
      </c>
      <c r="D136" s="203">
        <f>IF(D149=0,0,D144/D149)</f>
        <v>0.41595718982495378</v>
      </c>
      <c r="E136" s="203">
        <f>IF(E149=0,0,E144/E149)</f>
        <v>0.41122929897200283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0.11944969092287443</v>
      </c>
      <c r="D137" s="203">
        <f>IF(D149=0,0,D145/D149)</f>
        <v>0.14602320198597657</v>
      </c>
      <c r="E137" s="203">
        <f>IF(E149=0,0,E145/E149)</f>
        <v>0.14668140651309614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1.2857644967363349E-2</v>
      </c>
      <c r="D138" s="203">
        <f>IF(D149=0,0,D146/D149)</f>
        <v>1.7872082825571305E-3</v>
      </c>
      <c r="E138" s="203">
        <f>IF(E149=0,0,E146/E149)</f>
        <v>1.9242927653489149E-3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4.5356847741887751E-2</v>
      </c>
      <c r="D139" s="203">
        <f>IF(D149=0,0,D147/D149)</f>
        <v>3.5381008491767861E-2</v>
      </c>
      <c r="E139" s="203">
        <f>IF(E149=0,0,E147/E149)</f>
        <v>3.8712003179745214E-2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7.2028823091482266E-4</v>
      </c>
      <c r="D140" s="203">
        <f>IF(D149=0,0,D148/D149)</f>
        <v>1.0219224969801972E-3</v>
      </c>
      <c r="E140" s="203">
        <f>IF(E149=0,0,E148/E149)</f>
        <v>1.0053639838785047E-3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1.0000000000000002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291703827</v>
      </c>
      <c r="D143" s="205">
        <f>+D46-D147</f>
        <v>341437616</v>
      </c>
      <c r="E143" s="205">
        <f>+E46-E147</f>
        <v>363990226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317139995</v>
      </c>
      <c r="D144" s="205">
        <f>+D51</f>
        <v>355210014</v>
      </c>
      <c r="E144" s="205">
        <f>+E51</f>
        <v>373790310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88516105</v>
      </c>
      <c r="D145" s="205">
        <f>+D55</f>
        <v>124697697</v>
      </c>
      <c r="E145" s="205">
        <f>+E55</f>
        <v>133327291</v>
      </c>
    </row>
    <row r="146" spans="1:7" ht="20.100000000000001" customHeight="1" x14ac:dyDescent="0.2">
      <c r="A146" s="202">
        <v>11</v>
      </c>
      <c r="B146" s="201" t="s">
        <v>404</v>
      </c>
      <c r="C146" s="204">
        <v>9527933</v>
      </c>
      <c r="D146" s="205">
        <v>1526201</v>
      </c>
      <c r="E146" s="205">
        <v>1749102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33610899</v>
      </c>
      <c r="D147" s="205">
        <f>+D47</f>
        <v>30213899</v>
      </c>
      <c r="E147" s="205">
        <f>+E47</f>
        <v>35187599</v>
      </c>
    </row>
    <row r="148" spans="1:7" ht="20.100000000000001" customHeight="1" x14ac:dyDescent="0.2">
      <c r="A148" s="202">
        <v>13</v>
      </c>
      <c r="B148" s="201" t="s">
        <v>406</v>
      </c>
      <c r="C148" s="206">
        <v>533757</v>
      </c>
      <c r="D148" s="205">
        <v>872679</v>
      </c>
      <c r="E148" s="205">
        <v>913834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741032516</v>
      </c>
      <c r="D149" s="205">
        <f>SUM(D143:D148)</f>
        <v>853958106</v>
      </c>
      <c r="E149" s="205">
        <f>SUM(E143:E148)</f>
        <v>908958362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0.56562368326588341</v>
      </c>
      <c r="D152" s="203">
        <f>IF(D166=0,0,D160/D166)</f>
        <v>0.59612511894349063</v>
      </c>
      <c r="E152" s="203">
        <f>IF(E166=0,0,E160/E166)</f>
        <v>0.59357396851719846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0.33916537926905449</v>
      </c>
      <c r="D153" s="203">
        <f>IF(D166=0,0,D161/D166)</f>
        <v>0.29974643296267467</v>
      </c>
      <c r="E153" s="203">
        <f>IF(E166=0,0,E161/E166)</f>
        <v>0.29110499028693521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7.8146080357607395E-2</v>
      </c>
      <c r="D154" s="203">
        <f>IF(D166=0,0,D162/D166)</f>
        <v>9.6842330576102018E-2</v>
      </c>
      <c r="E154" s="203">
        <f>IF(E166=0,0,E162/E166)</f>
        <v>0.10604319986858325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8.0337789918742738E-3</v>
      </c>
      <c r="D155" s="203">
        <f>IF(D166=0,0,D163/D166)</f>
        <v>1.5370255607372459E-3</v>
      </c>
      <c r="E155" s="203">
        <f>IF(E166=0,0,E163/E166)</f>
        <v>1.9693973673084644E-3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8.6395039541153993E-3</v>
      </c>
      <c r="D156" s="203">
        <f>IF(D166=0,0,D164/D166)</f>
        <v>5.1333467052250637E-3</v>
      </c>
      <c r="E156" s="203">
        <f>IF(E166=0,0,E164/E166)</f>
        <v>6.8168978224600581E-3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3.9157416146499312E-4</v>
      </c>
      <c r="D157" s="203">
        <f>IF(D166=0,0,D165/D166)</f>
        <v>6.1574525177041171E-4</v>
      </c>
      <c r="E157" s="203">
        <f>IF(E166=0,0,E165/E166)</f>
        <v>4.9154613751459264E-4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1</v>
      </c>
      <c r="E158" s="203">
        <f>SUM(E152:E157)</f>
        <v>1.0000000000000002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165941192</v>
      </c>
      <c r="D160" s="208">
        <f>+D44-D164</f>
        <v>194962251</v>
      </c>
      <c r="E160" s="208">
        <f>+E44-E164</f>
        <v>199162507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99503449</v>
      </c>
      <c r="D161" s="208">
        <f>+D50</f>
        <v>98031835</v>
      </c>
      <c r="E161" s="208">
        <f>+E50</f>
        <v>97674768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22926292</v>
      </c>
      <c r="D162" s="208">
        <f>+D54</f>
        <v>31672208</v>
      </c>
      <c r="E162" s="208">
        <f>+E54</f>
        <v>35580788</v>
      </c>
    </row>
    <row r="163" spans="1:6" ht="20.100000000000001" customHeight="1" x14ac:dyDescent="0.2">
      <c r="A163" s="202">
        <v>11</v>
      </c>
      <c r="B163" s="201" t="s">
        <v>420</v>
      </c>
      <c r="C163" s="207">
        <v>2356929</v>
      </c>
      <c r="D163" s="208">
        <v>502683</v>
      </c>
      <c r="E163" s="208">
        <v>660794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2534635</v>
      </c>
      <c r="D164" s="208">
        <f>+D45</f>
        <v>1678857</v>
      </c>
      <c r="E164" s="208">
        <f>+E45</f>
        <v>2287281</v>
      </c>
    </row>
    <row r="165" spans="1:6" ht="20.100000000000001" customHeight="1" x14ac:dyDescent="0.2">
      <c r="A165" s="202">
        <v>13</v>
      </c>
      <c r="B165" s="201" t="s">
        <v>422</v>
      </c>
      <c r="C165" s="209">
        <v>114879</v>
      </c>
      <c r="D165" s="208">
        <v>201379</v>
      </c>
      <c r="E165" s="208">
        <v>164929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293377376</v>
      </c>
      <c r="D166" s="208">
        <f>SUM(D160:D165)</f>
        <v>327049213</v>
      </c>
      <c r="E166" s="208">
        <f>SUM(E160:E165)</f>
        <v>335531067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6117</v>
      </c>
      <c r="D169" s="198">
        <v>5773</v>
      </c>
      <c r="E169" s="198">
        <v>5799</v>
      </c>
    </row>
    <row r="170" spans="1:6" ht="20.100000000000001" customHeight="1" x14ac:dyDescent="0.2">
      <c r="A170" s="202">
        <v>2</v>
      </c>
      <c r="B170" s="201" t="s">
        <v>426</v>
      </c>
      <c r="C170" s="198">
        <v>5684</v>
      </c>
      <c r="D170" s="198">
        <v>6008</v>
      </c>
      <c r="E170" s="198">
        <v>6147</v>
      </c>
    </row>
    <row r="171" spans="1:6" ht="20.100000000000001" customHeight="1" x14ac:dyDescent="0.2">
      <c r="A171" s="202">
        <v>3</v>
      </c>
      <c r="B171" s="201" t="s">
        <v>427</v>
      </c>
      <c r="C171" s="198">
        <v>2673</v>
      </c>
      <c r="D171" s="198">
        <v>3078</v>
      </c>
      <c r="E171" s="198">
        <v>3042</v>
      </c>
    </row>
    <row r="172" spans="1:6" ht="20.100000000000001" customHeight="1" x14ac:dyDescent="0.2">
      <c r="A172" s="202">
        <v>4</v>
      </c>
      <c r="B172" s="201" t="s">
        <v>428</v>
      </c>
      <c r="C172" s="198">
        <v>2458</v>
      </c>
      <c r="D172" s="198">
        <v>3038</v>
      </c>
      <c r="E172" s="198">
        <v>3002</v>
      </c>
    </row>
    <row r="173" spans="1:6" ht="20.100000000000001" customHeight="1" x14ac:dyDescent="0.2">
      <c r="A173" s="202">
        <v>5</v>
      </c>
      <c r="B173" s="201" t="s">
        <v>429</v>
      </c>
      <c r="C173" s="198">
        <v>215</v>
      </c>
      <c r="D173" s="198">
        <v>40</v>
      </c>
      <c r="E173" s="198">
        <v>40</v>
      </c>
    </row>
    <row r="174" spans="1:6" ht="20.100000000000001" customHeight="1" x14ac:dyDescent="0.2">
      <c r="A174" s="202">
        <v>6</v>
      </c>
      <c r="B174" s="201" t="s">
        <v>430</v>
      </c>
      <c r="C174" s="198">
        <v>9</v>
      </c>
      <c r="D174" s="198">
        <v>19</v>
      </c>
      <c r="E174" s="198">
        <v>15</v>
      </c>
    </row>
    <row r="175" spans="1:6" ht="20.100000000000001" customHeight="1" x14ac:dyDescent="0.2">
      <c r="A175" s="202">
        <v>7</v>
      </c>
      <c r="B175" s="201" t="s">
        <v>431</v>
      </c>
      <c r="C175" s="198">
        <v>426</v>
      </c>
      <c r="D175" s="198">
        <v>223</v>
      </c>
      <c r="E175" s="198">
        <v>267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14483</v>
      </c>
      <c r="D176" s="198">
        <f>+D169+D170+D171+D174</f>
        <v>14878</v>
      </c>
      <c r="E176" s="198">
        <f>+E169+E170+E171+E174</f>
        <v>15003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1.00613</v>
      </c>
      <c r="D179" s="210">
        <v>1.04515</v>
      </c>
      <c r="E179" s="210">
        <v>1.0031000000000001</v>
      </c>
    </row>
    <row r="180" spans="1:6" ht="20.100000000000001" customHeight="1" x14ac:dyDescent="0.2">
      <c r="A180" s="202">
        <v>2</v>
      </c>
      <c r="B180" s="201" t="s">
        <v>426</v>
      </c>
      <c r="C180" s="210">
        <v>1.4781299999999999</v>
      </c>
      <c r="D180" s="210">
        <v>1.41103</v>
      </c>
      <c r="E180" s="210">
        <v>1.3455999999999999</v>
      </c>
    </row>
    <row r="181" spans="1:6" ht="20.100000000000001" customHeight="1" x14ac:dyDescent="0.2">
      <c r="A181" s="202">
        <v>3</v>
      </c>
      <c r="B181" s="201" t="s">
        <v>427</v>
      </c>
      <c r="C181" s="210">
        <v>0.90314399999999995</v>
      </c>
      <c r="D181" s="210">
        <v>0.94949700000000004</v>
      </c>
      <c r="E181" s="210">
        <v>0.93919900000000001</v>
      </c>
    </row>
    <row r="182" spans="1:6" ht="20.100000000000001" customHeight="1" x14ac:dyDescent="0.2">
      <c r="A182" s="202">
        <v>4</v>
      </c>
      <c r="B182" s="201" t="s">
        <v>428</v>
      </c>
      <c r="C182" s="210">
        <v>0.89512000000000003</v>
      </c>
      <c r="D182" s="210">
        <v>0.94935999999999998</v>
      </c>
      <c r="E182" s="210">
        <v>0.93799999999999994</v>
      </c>
    </row>
    <row r="183" spans="1:6" ht="20.100000000000001" customHeight="1" x14ac:dyDescent="0.2">
      <c r="A183" s="202">
        <v>5</v>
      </c>
      <c r="B183" s="201" t="s">
        <v>429</v>
      </c>
      <c r="C183" s="210">
        <v>0.99489000000000005</v>
      </c>
      <c r="D183" s="210">
        <v>0.95994999999999997</v>
      </c>
      <c r="E183" s="210">
        <v>1.0291999999999999</v>
      </c>
    </row>
    <row r="184" spans="1:6" ht="20.100000000000001" customHeight="1" x14ac:dyDescent="0.2">
      <c r="A184" s="202">
        <v>6</v>
      </c>
      <c r="B184" s="201" t="s">
        <v>430</v>
      </c>
      <c r="C184" s="210">
        <v>0.96191000000000004</v>
      </c>
      <c r="D184" s="210">
        <v>0.86317999999999995</v>
      </c>
      <c r="E184" s="210">
        <v>0.84589999999999999</v>
      </c>
    </row>
    <row r="185" spans="1:6" ht="20.100000000000001" customHeight="1" x14ac:dyDescent="0.2">
      <c r="A185" s="202">
        <v>7</v>
      </c>
      <c r="B185" s="201" t="s">
        <v>431</v>
      </c>
      <c r="C185" s="210">
        <v>1.0328200000000001</v>
      </c>
      <c r="D185" s="210">
        <v>1.03169</v>
      </c>
      <c r="E185" s="210">
        <v>0.96430000000000005</v>
      </c>
    </row>
    <row r="186" spans="1:6" ht="20.100000000000001" customHeight="1" x14ac:dyDescent="0.2">
      <c r="A186" s="202">
        <v>8</v>
      </c>
      <c r="B186" s="201" t="s">
        <v>435</v>
      </c>
      <c r="C186" s="210">
        <v>1.172336</v>
      </c>
      <c r="D186" s="210">
        <v>1.1728769999999999</v>
      </c>
      <c r="E186" s="210">
        <v>1.130314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9008</v>
      </c>
      <c r="D189" s="198">
        <v>9538</v>
      </c>
      <c r="E189" s="198">
        <v>9699</v>
      </c>
    </row>
    <row r="190" spans="1:6" ht="20.100000000000001" customHeight="1" x14ac:dyDescent="0.2">
      <c r="A190" s="202">
        <v>2</v>
      </c>
      <c r="B190" s="201" t="s">
        <v>439</v>
      </c>
      <c r="C190" s="198">
        <v>39491</v>
      </c>
      <c r="D190" s="198">
        <v>40107</v>
      </c>
      <c r="E190" s="198">
        <v>39550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48499</v>
      </c>
      <c r="D191" s="198">
        <f>+D190+D189</f>
        <v>49645</v>
      </c>
      <c r="E191" s="198">
        <f>+E190+E189</f>
        <v>49249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FILING&amp;RNORWALK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536589</v>
      </c>
      <c r="D14" s="237">
        <v>1932032</v>
      </c>
      <c r="E14" s="237">
        <f t="shared" ref="E14:E24" si="0">D14-C14</f>
        <v>1395443</v>
      </c>
      <c r="F14" s="238">
        <f t="shared" ref="F14:F24" si="1">IF(C14=0,0,E14/C14)</f>
        <v>2.6005807051579515</v>
      </c>
    </row>
    <row r="15" spans="1:7" ht="20.25" customHeight="1" x14ac:dyDescent="0.3">
      <c r="A15" s="235">
        <v>2</v>
      </c>
      <c r="B15" s="236" t="s">
        <v>447</v>
      </c>
      <c r="C15" s="237">
        <v>141469</v>
      </c>
      <c r="D15" s="237">
        <v>554144</v>
      </c>
      <c r="E15" s="237">
        <f t="shared" si="0"/>
        <v>412675</v>
      </c>
      <c r="F15" s="238">
        <f t="shared" si="1"/>
        <v>2.9170701708501507</v>
      </c>
    </row>
    <row r="16" spans="1:7" ht="20.25" customHeight="1" x14ac:dyDescent="0.3">
      <c r="A16" s="235">
        <v>3</v>
      </c>
      <c r="B16" s="236" t="s">
        <v>448</v>
      </c>
      <c r="C16" s="237">
        <v>372474</v>
      </c>
      <c r="D16" s="237">
        <v>1182625</v>
      </c>
      <c r="E16" s="237">
        <f t="shared" si="0"/>
        <v>810151</v>
      </c>
      <c r="F16" s="238">
        <f t="shared" si="1"/>
        <v>2.1750538292605657</v>
      </c>
    </row>
    <row r="17" spans="1:6" ht="20.25" customHeight="1" x14ac:dyDescent="0.3">
      <c r="A17" s="235">
        <v>4</v>
      </c>
      <c r="B17" s="236" t="s">
        <v>449</v>
      </c>
      <c r="C17" s="237">
        <v>57481</v>
      </c>
      <c r="D17" s="237">
        <v>289988</v>
      </c>
      <c r="E17" s="237">
        <f t="shared" si="0"/>
        <v>232507</v>
      </c>
      <c r="F17" s="238">
        <f t="shared" si="1"/>
        <v>4.0449365877420362</v>
      </c>
    </row>
    <row r="18" spans="1:6" ht="20.25" customHeight="1" x14ac:dyDescent="0.3">
      <c r="A18" s="235">
        <v>5</v>
      </c>
      <c r="B18" s="236" t="s">
        <v>385</v>
      </c>
      <c r="C18" s="239">
        <v>15</v>
      </c>
      <c r="D18" s="239">
        <v>54</v>
      </c>
      <c r="E18" s="239">
        <f t="shared" si="0"/>
        <v>39</v>
      </c>
      <c r="F18" s="238">
        <f t="shared" si="1"/>
        <v>2.6</v>
      </c>
    </row>
    <row r="19" spans="1:6" ht="20.25" customHeight="1" x14ac:dyDescent="0.3">
      <c r="A19" s="235">
        <v>6</v>
      </c>
      <c r="B19" s="236" t="s">
        <v>384</v>
      </c>
      <c r="C19" s="239">
        <v>66</v>
      </c>
      <c r="D19" s="239">
        <v>253</v>
      </c>
      <c r="E19" s="239">
        <f t="shared" si="0"/>
        <v>187</v>
      </c>
      <c r="F19" s="238">
        <f t="shared" si="1"/>
        <v>2.8333333333333335</v>
      </c>
    </row>
    <row r="20" spans="1:6" ht="20.25" customHeight="1" x14ac:dyDescent="0.3">
      <c r="A20" s="235">
        <v>7</v>
      </c>
      <c r="B20" s="236" t="s">
        <v>450</v>
      </c>
      <c r="C20" s="239">
        <v>104</v>
      </c>
      <c r="D20" s="239">
        <v>485</v>
      </c>
      <c r="E20" s="239">
        <f t="shared" si="0"/>
        <v>381</v>
      </c>
      <c r="F20" s="238">
        <f t="shared" si="1"/>
        <v>3.6634615384615383</v>
      </c>
    </row>
    <row r="21" spans="1:6" ht="20.25" customHeight="1" x14ac:dyDescent="0.3">
      <c r="A21" s="235">
        <v>8</v>
      </c>
      <c r="B21" s="236" t="s">
        <v>451</v>
      </c>
      <c r="C21" s="239">
        <v>21</v>
      </c>
      <c r="D21" s="239">
        <v>52</v>
      </c>
      <c r="E21" s="239">
        <f t="shared" si="0"/>
        <v>31</v>
      </c>
      <c r="F21" s="238">
        <f t="shared" si="1"/>
        <v>1.4761904761904763</v>
      </c>
    </row>
    <row r="22" spans="1:6" ht="20.25" customHeight="1" x14ac:dyDescent="0.3">
      <c r="A22" s="235">
        <v>9</v>
      </c>
      <c r="B22" s="236" t="s">
        <v>452</v>
      </c>
      <c r="C22" s="239">
        <v>13</v>
      </c>
      <c r="D22" s="239">
        <v>48</v>
      </c>
      <c r="E22" s="239">
        <f t="shared" si="0"/>
        <v>35</v>
      </c>
      <c r="F22" s="238">
        <f t="shared" si="1"/>
        <v>2.6923076923076925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909063</v>
      </c>
      <c r="D23" s="243">
        <f>+D14+D16</f>
        <v>3114657</v>
      </c>
      <c r="E23" s="243">
        <f t="shared" si="0"/>
        <v>2205594</v>
      </c>
      <c r="F23" s="244">
        <f t="shared" si="1"/>
        <v>2.4262278851960755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198950</v>
      </c>
      <c r="D24" s="243">
        <f>+D15+D17</f>
        <v>844132</v>
      </c>
      <c r="E24" s="243">
        <f t="shared" si="0"/>
        <v>645182</v>
      </c>
      <c r="F24" s="244">
        <f t="shared" si="1"/>
        <v>3.242935410907263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2142486</v>
      </c>
      <c r="D40" s="237">
        <v>3151612</v>
      </c>
      <c r="E40" s="237">
        <f t="shared" ref="E40:E50" si="4">D40-C40</f>
        <v>1009126</v>
      </c>
      <c r="F40" s="238">
        <f t="shared" ref="F40:F50" si="5">IF(C40=0,0,E40/C40)</f>
        <v>0.47100704508687569</v>
      </c>
    </row>
    <row r="41" spans="1:6" ht="20.25" customHeight="1" x14ac:dyDescent="0.3">
      <c r="A41" s="235">
        <v>2</v>
      </c>
      <c r="B41" s="236" t="s">
        <v>447</v>
      </c>
      <c r="C41" s="237">
        <v>568856</v>
      </c>
      <c r="D41" s="237">
        <v>960030</v>
      </c>
      <c r="E41" s="237">
        <f t="shared" si="4"/>
        <v>391174</v>
      </c>
      <c r="F41" s="238">
        <f t="shared" si="5"/>
        <v>0.68765030165806462</v>
      </c>
    </row>
    <row r="42" spans="1:6" ht="20.25" customHeight="1" x14ac:dyDescent="0.3">
      <c r="A42" s="235">
        <v>3</v>
      </c>
      <c r="B42" s="236" t="s">
        <v>448</v>
      </c>
      <c r="C42" s="237">
        <v>1231476</v>
      </c>
      <c r="D42" s="237">
        <v>2502539</v>
      </c>
      <c r="E42" s="237">
        <f t="shared" si="4"/>
        <v>1271063</v>
      </c>
      <c r="F42" s="238">
        <f t="shared" si="5"/>
        <v>1.0321459776723216</v>
      </c>
    </row>
    <row r="43" spans="1:6" ht="20.25" customHeight="1" x14ac:dyDescent="0.3">
      <c r="A43" s="235">
        <v>4</v>
      </c>
      <c r="B43" s="236" t="s">
        <v>449</v>
      </c>
      <c r="C43" s="237">
        <v>255865</v>
      </c>
      <c r="D43" s="237">
        <v>565028</v>
      </c>
      <c r="E43" s="237">
        <f t="shared" si="4"/>
        <v>309163</v>
      </c>
      <c r="F43" s="238">
        <f t="shared" si="5"/>
        <v>1.2083051609247064</v>
      </c>
    </row>
    <row r="44" spans="1:6" ht="20.25" customHeight="1" x14ac:dyDescent="0.3">
      <c r="A44" s="235">
        <v>5</v>
      </c>
      <c r="B44" s="236" t="s">
        <v>385</v>
      </c>
      <c r="C44" s="239">
        <v>51</v>
      </c>
      <c r="D44" s="239">
        <v>74</v>
      </c>
      <c r="E44" s="239">
        <f t="shared" si="4"/>
        <v>23</v>
      </c>
      <c r="F44" s="238">
        <f t="shared" si="5"/>
        <v>0.45098039215686275</v>
      </c>
    </row>
    <row r="45" spans="1:6" ht="20.25" customHeight="1" x14ac:dyDescent="0.3">
      <c r="A45" s="235">
        <v>6</v>
      </c>
      <c r="B45" s="236" t="s">
        <v>384</v>
      </c>
      <c r="C45" s="239">
        <v>301</v>
      </c>
      <c r="D45" s="239">
        <v>417</v>
      </c>
      <c r="E45" s="239">
        <f t="shared" si="4"/>
        <v>116</v>
      </c>
      <c r="F45" s="238">
        <f t="shared" si="5"/>
        <v>0.38538205980066448</v>
      </c>
    </row>
    <row r="46" spans="1:6" ht="20.25" customHeight="1" x14ac:dyDescent="0.3">
      <c r="A46" s="235">
        <v>7</v>
      </c>
      <c r="B46" s="236" t="s">
        <v>450</v>
      </c>
      <c r="C46" s="239">
        <v>596</v>
      </c>
      <c r="D46" s="239">
        <v>1147</v>
      </c>
      <c r="E46" s="239">
        <f t="shared" si="4"/>
        <v>551</v>
      </c>
      <c r="F46" s="238">
        <f t="shared" si="5"/>
        <v>0.92449664429530198</v>
      </c>
    </row>
    <row r="47" spans="1:6" ht="20.25" customHeight="1" x14ac:dyDescent="0.3">
      <c r="A47" s="235">
        <v>8</v>
      </c>
      <c r="B47" s="236" t="s">
        <v>451</v>
      </c>
      <c r="C47" s="239">
        <v>57</v>
      </c>
      <c r="D47" s="239">
        <v>114</v>
      </c>
      <c r="E47" s="239">
        <f t="shared" si="4"/>
        <v>57</v>
      </c>
      <c r="F47" s="238">
        <f t="shared" si="5"/>
        <v>1</v>
      </c>
    </row>
    <row r="48" spans="1:6" ht="20.25" customHeight="1" x14ac:dyDescent="0.3">
      <c r="A48" s="235">
        <v>9</v>
      </c>
      <c r="B48" s="236" t="s">
        <v>452</v>
      </c>
      <c r="C48" s="239">
        <v>42</v>
      </c>
      <c r="D48" s="239">
        <v>63</v>
      </c>
      <c r="E48" s="239">
        <f t="shared" si="4"/>
        <v>21</v>
      </c>
      <c r="F48" s="238">
        <f t="shared" si="5"/>
        <v>0.5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3373962</v>
      </c>
      <c r="D49" s="243">
        <f>+D40+D42</f>
        <v>5654151</v>
      </c>
      <c r="E49" s="243">
        <f t="shared" si="4"/>
        <v>2280189</v>
      </c>
      <c r="F49" s="244">
        <f t="shared" si="5"/>
        <v>0.67581940756890568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824721</v>
      </c>
      <c r="D50" s="243">
        <f>+D41+D43</f>
        <v>1525058</v>
      </c>
      <c r="E50" s="243">
        <f t="shared" si="4"/>
        <v>700337</v>
      </c>
      <c r="F50" s="244">
        <f t="shared" si="5"/>
        <v>0.84918051074242074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3498878</v>
      </c>
      <c r="D53" s="237">
        <v>0</v>
      </c>
      <c r="E53" s="237">
        <f t="shared" ref="E53:E63" si="6">D53-C53</f>
        <v>-3498878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829627</v>
      </c>
      <c r="D54" s="237">
        <v>0</v>
      </c>
      <c r="E54" s="237">
        <f t="shared" si="6"/>
        <v>-829627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1371438</v>
      </c>
      <c r="D55" s="237">
        <v>0</v>
      </c>
      <c r="E55" s="237">
        <f t="shared" si="6"/>
        <v>-1371438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270449</v>
      </c>
      <c r="D56" s="237">
        <v>0</v>
      </c>
      <c r="E56" s="237">
        <f t="shared" si="6"/>
        <v>-270449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74</v>
      </c>
      <c r="D57" s="239">
        <v>0</v>
      </c>
      <c r="E57" s="239">
        <f t="shared" si="6"/>
        <v>-74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549</v>
      </c>
      <c r="D58" s="239">
        <v>0</v>
      </c>
      <c r="E58" s="239">
        <f t="shared" si="6"/>
        <v>-549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571</v>
      </c>
      <c r="D59" s="239">
        <v>0</v>
      </c>
      <c r="E59" s="239">
        <f t="shared" si="6"/>
        <v>-571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85</v>
      </c>
      <c r="D60" s="239">
        <v>0</v>
      </c>
      <c r="E60" s="239">
        <f t="shared" si="6"/>
        <v>-85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54</v>
      </c>
      <c r="D61" s="239">
        <v>0</v>
      </c>
      <c r="E61" s="239">
        <f t="shared" si="6"/>
        <v>-54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4870316</v>
      </c>
      <c r="D62" s="243">
        <f>+D53+D55</f>
        <v>0</v>
      </c>
      <c r="E62" s="243">
        <f t="shared" si="6"/>
        <v>-4870316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1100076</v>
      </c>
      <c r="D63" s="243">
        <f>+D54+D56</f>
        <v>0</v>
      </c>
      <c r="E63" s="243">
        <f t="shared" si="6"/>
        <v>-1100076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3302653</v>
      </c>
      <c r="D66" s="237">
        <v>1713274</v>
      </c>
      <c r="E66" s="237">
        <f t="shared" ref="E66:E76" si="8">D66-C66</f>
        <v>-1589379</v>
      </c>
      <c r="F66" s="238">
        <f t="shared" ref="F66:F76" si="9">IF(C66=0,0,E66/C66)</f>
        <v>-0.48124310970604539</v>
      </c>
    </row>
    <row r="67" spans="1:6" ht="20.25" customHeight="1" x14ac:dyDescent="0.3">
      <c r="A67" s="235">
        <v>2</v>
      </c>
      <c r="B67" s="236" t="s">
        <v>447</v>
      </c>
      <c r="C67" s="237">
        <v>922874</v>
      </c>
      <c r="D67" s="237">
        <v>554115</v>
      </c>
      <c r="E67" s="237">
        <f t="shared" si="8"/>
        <v>-368759</v>
      </c>
      <c r="F67" s="238">
        <f t="shared" si="9"/>
        <v>-0.39957675695707107</v>
      </c>
    </row>
    <row r="68" spans="1:6" ht="20.25" customHeight="1" x14ac:dyDescent="0.3">
      <c r="A68" s="235">
        <v>3</v>
      </c>
      <c r="B68" s="236" t="s">
        <v>448</v>
      </c>
      <c r="C68" s="237">
        <v>1285970</v>
      </c>
      <c r="D68" s="237">
        <v>1371152</v>
      </c>
      <c r="E68" s="237">
        <f t="shared" si="8"/>
        <v>85182</v>
      </c>
      <c r="F68" s="238">
        <f t="shared" si="9"/>
        <v>6.6239492367629105E-2</v>
      </c>
    </row>
    <row r="69" spans="1:6" ht="20.25" customHeight="1" x14ac:dyDescent="0.3">
      <c r="A69" s="235">
        <v>4</v>
      </c>
      <c r="B69" s="236" t="s">
        <v>449</v>
      </c>
      <c r="C69" s="237">
        <v>292334</v>
      </c>
      <c r="D69" s="237">
        <v>286126</v>
      </c>
      <c r="E69" s="237">
        <f t="shared" si="8"/>
        <v>-6208</v>
      </c>
      <c r="F69" s="238">
        <f t="shared" si="9"/>
        <v>-2.1235983498327254E-2</v>
      </c>
    </row>
    <row r="70" spans="1:6" ht="20.25" customHeight="1" x14ac:dyDescent="0.3">
      <c r="A70" s="235">
        <v>5</v>
      </c>
      <c r="B70" s="236" t="s">
        <v>385</v>
      </c>
      <c r="C70" s="239">
        <v>72</v>
      </c>
      <c r="D70" s="239">
        <v>55</v>
      </c>
      <c r="E70" s="239">
        <f t="shared" si="8"/>
        <v>-17</v>
      </c>
      <c r="F70" s="238">
        <f t="shared" si="9"/>
        <v>-0.2361111111111111</v>
      </c>
    </row>
    <row r="71" spans="1:6" ht="20.25" customHeight="1" x14ac:dyDescent="0.3">
      <c r="A71" s="235">
        <v>6</v>
      </c>
      <c r="B71" s="236" t="s">
        <v>384</v>
      </c>
      <c r="C71" s="239">
        <v>515</v>
      </c>
      <c r="D71" s="239">
        <v>257</v>
      </c>
      <c r="E71" s="239">
        <f t="shared" si="8"/>
        <v>-258</v>
      </c>
      <c r="F71" s="238">
        <f t="shared" si="9"/>
        <v>-0.50097087378640781</v>
      </c>
    </row>
    <row r="72" spans="1:6" ht="20.25" customHeight="1" x14ac:dyDescent="0.3">
      <c r="A72" s="235">
        <v>7</v>
      </c>
      <c r="B72" s="236" t="s">
        <v>450</v>
      </c>
      <c r="C72" s="239">
        <v>668</v>
      </c>
      <c r="D72" s="239">
        <v>654</v>
      </c>
      <c r="E72" s="239">
        <f t="shared" si="8"/>
        <v>-14</v>
      </c>
      <c r="F72" s="238">
        <f t="shared" si="9"/>
        <v>-2.0958083832335328E-2</v>
      </c>
    </row>
    <row r="73" spans="1:6" ht="20.25" customHeight="1" x14ac:dyDescent="0.3">
      <c r="A73" s="235">
        <v>8</v>
      </c>
      <c r="B73" s="236" t="s">
        <v>451</v>
      </c>
      <c r="C73" s="239">
        <v>87</v>
      </c>
      <c r="D73" s="239">
        <v>93</v>
      </c>
      <c r="E73" s="239">
        <f t="shared" si="8"/>
        <v>6</v>
      </c>
      <c r="F73" s="238">
        <f t="shared" si="9"/>
        <v>6.8965517241379309E-2</v>
      </c>
    </row>
    <row r="74" spans="1:6" ht="20.25" customHeight="1" x14ac:dyDescent="0.3">
      <c r="A74" s="235">
        <v>9</v>
      </c>
      <c r="B74" s="236" t="s">
        <v>452</v>
      </c>
      <c r="C74" s="239">
        <v>56</v>
      </c>
      <c r="D74" s="239">
        <v>50</v>
      </c>
      <c r="E74" s="239">
        <f t="shared" si="8"/>
        <v>-6</v>
      </c>
      <c r="F74" s="238">
        <f t="shared" si="9"/>
        <v>-0.10714285714285714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4588623</v>
      </c>
      <c r="D75" s="243">
        <f>+D66+D68</f>
        <v>3084426</v>
      </c>
      <c r="E75" s="243">
        <f t="shared" si="8"/>
        <v>-1504197</v>
      </c>
      <c r="F75" s="244">
        <f t="shared" si="9"/>
        <v>-0.32781010773820379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1215208</v>
      </c>
      <c r="D76" s="243">
        <f>+D67+D69</f>
        <v>840241</v>
      </c>
      <c r="E76" s="243">
        <f t="shared" si="8"/>
        <v>-374967</v>
      </c>
      <c r="F76" s="244">
        <f t="shared" si="9"/>
        <v>-0.30856199103363374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196098</v>
      </c>
      <c r="D79" s="237">
        <v>0</v>
      </c>
      <c r="E79" s="237">
        <f t="shared" ref="E79:E89" si="10">D79-C79</f>
        <v>-196098</v>
      </c>
      <c r="F79" s="238">
        <f t="shared" ref="F79:F89" si="11">IF(C79=0,0,E79/C79)</f>
        <v>-1</v>
      </c>
    </row>
    <row r="80" spans="1:6" ht="20.25" customHeight="1" x14ac:dyDescent="0.3">
      <c r="A80" s="235">
        <v>2</v>
      </c>
      <c r="B80" s="236" t="s">
        <v>447</v>
      </c>
      <c r="C80" s="237">
        <v>57001</v>
      </c>
      <c r="D80" s="237">
        <v>0</v>
      </c>
      <c r="E80" s="237">
        <f t="shared" si="10"/>
        <v>-57001</v>
      </c>
      <c r="F80" s="238">
        <f t="shared" si="11"/>
        <v>-1</v>
      </c>
    </row>
    <row r="81" spans="1:6" ht="20.25" customHeight="1" x14ac:dyDescent="0.3">
      <c r="A81" s="235">
        <v>3</v>
      </c>
      <c r="B81" s="236" t="s">
        <v>448</v>
      </c>
      <c r="C81" s="237">
        <v>79653</v>
      </c>
      <c r="D81" s="237">
        <v>17782</v>
      </c>
      <c r="E81" s="237">
        <f t="shared" si="10"/>
        <v>-61871</v>
      </c>
      <c r="F81" s="238">
        <f t="shared" si="11"/>
        <v>-0.77675668210864623</v>
      </c>
    </row>
    <row r="82" spans="1:6" ht="20.25" customHeight="1" x14ac:dyDescent="0.3">
      <c r="A82" s="235">
        <v>4</v>
      </c>
      <c r="B82" s="236" t="s">
        <v>449</v>
      </c>
      <c r="C82" s="237">
        <v>17186</v>
      </c>
      <c r="D82" s="237">
        <v>4966</v>
      </c>
      <c r="E82" s="237">
        <f t="shared" si="10"/>
        <v>-12220</v>
      </c>
      <c r="F82" s="238">
        <f t="shared" si="11"/>
        <v>-0.71104387291981841</v>
      </c>
    </row>
    <row r="83" spans="1:6" ht="20.25" customHeight="1" x14ac:dyDescent="0.3">
      <c r="A83" s="235">
        <v>5</v>
      </c>
      <c r="B83" s="236" t="s">
        <v>385</v>
      </c>
      <c r="C83" s="239">
        <v>5</v>
      </c>
      <c r="D83" s="239">
        <v>0</v>
      </c>
      <c r="E83" s="239">
        <f t="shared" si="10"/>
        <v>-5</v>
      </c>
      <c r="F83" s="238">
        <f t="shared" si="11"/>
        <v>-1</v>
      </c>
    </row>
    <row r="84" spans="1:6" ht="20.25" customHeight="1" x14ac:dyDescent="0.3">
      <c r="A84" s="235">
        <v>6</v>
      </c>
      <c r="B84" s="236" t="s">
        <v>384</v>
      </c>
      <c r="C84" s="239">
        <v>30</v>
      </c>
      <c r="D84" s="239">
        <v>0</v>
      </c>
      <c r="E84" s="239">
        <f t="shared" si="10"/>
        <v>-30</v>
      </c>
      <c r="F84" s="238">
        <f t="shared" si="11"/>
        <v>-1</v>
      </c>
    </row>
    <row r="85" spans="1:6" ht="20.25" customHeight="1" x14ac:dyDescent="0.3">
      <c r="A85" s="235">
        <v>7</v>
      </c>
      <c r="B85" s="236" t="s">
        <v>450</v>
      </c>
      <c r="C85" s="239">
        <v>18</v>
      </c>
      <c r="D85" s="239">
        <v>7</v>
      </c>
      <c r="E85" s="239">
        <f t="shared" si="10"/>
        <v>-11</v>
      </c>
      <c r="F85" s="238">
        <f t="shared" si="11"/>
        <v>-0.61111111111111116</v>
      </c>
    </row>
    <row r="86" spans="1:6" ht="20.25" customHeight="1" x14ac:dyDescent="0.3">
      <c r="A86" s="235">
        <v>8</v>
      </c>
      <c r="B86" s="236" t="s">
        <v>451</v>
      </c>
      <c r="C86" s="239">
        <v>7</v>
      </c>
      <c r="D86" s="239">
        <v>2</v>
      </c>
      <c r="E86" s="239">
        <f t="shared" si="10"/>
        <v>-5</v>
      </c>
      <c r="F86" s="238">
        <f t="shared" si="11"/>
        <v>-0.7142857142857143</v>
      </c>
    </row>
    <row r="87" spans="1:6" ht="20.25" customHeight="1" x14ac:dyDescent="0.3">
      <c r="A87" s="235">
        <v>9</v>
      </c>
      <c r="B87" s="236" t="s">
        <v>452</v>
      </c>
      <c r="C87" s="239">
        <v>4</v>
      </c>
      <c r="D87" s="239">
        <v>0</v>
      </c>
      <c r="E87" s="239">
        <f t="shared" si="10"/>
        <v>-4</v>
      </c>
      <c r="F87" s="238">
        <f t="shared" si="11"/>
        <v>-1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275751</v>
      </c>
      <c r="D88" s="243">
        <f>+D79+D81</f>
        <v>17782</v>
      </c>
      <c r="E88" s="243">
        <f t="shared" si="10"/>
        <v>-257969</v>
      </c>
      <c r="F88" s="244">
        <f t="shared" si="11"/>
        <v>-0.93551428643957768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74187</v>
      </c>
      <c r="D89" s="243">
        <f>+D80+D82</f>
        <v>4966</v>
      </c>
      <c r="E89" s="243">
        <f t="shared" si="10"/>
        <v>-69221</v>
      </c>
      <c r="F89" s="244">
        <f t="shared" si="11"/>
        <v>-0.93306104843166593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12067454</v>
      </c>
      <c r="D92" s="237">
        <v>17643073</v>
      </c>
      <c r="E92" s="237">
        <f t="shared" ref="E92:E102" si="12">D92-C92</f>
        <v>5575619</v>
      </c>
      <c r="F92" s="238">
        <f t="shared" ref="F92:F102" si="13">IF(C92=0,0,E92/C92)</f>
        <v>0.46203772560475476</v>
      </c>
    </row>
    <row r="93" spans="1:6" ht="20.25" customHeight="1" x14ac:dyDescent="0.3">
      <c r="A93" s="235">
        <v>2</v>
      </c>
      <c r="B93" s="236" t="s">
        <v>447</v>
      </c>
      <c r="C93" s="237">
        <v>3429275</v>
      </c>
      <c r="D93" s="237">
        <v>4620018</v>
      </c>
      <c r="E93" s="237">
        <f t="shared" si="12"/>
        <v>1190743</v>
      </c>
      <c r="F93" s="238">
        <f t="shared" si="13"/>
        <v>0.34722878742591362</v>
      </c>
    </row>
    <row r="94" spans="1:6" ht="20.25" customHeight="1" x14ac:dyDescent="0.3">
      <c r="A94" s="235">
        <v>3</v>
      </c>
      <c r="B94" s="236" t="s">
        <v>448</v>
      </c>
      <c r="C94" s="237">
        <v>5404612</v>
      </c>
      <c r="D94" s="237">
        <v>8743105</v>
      </c>
      <c r="E94" s="237">
        <f t="shared" si="12"/>
        <v>3338493</v>
      </c>
      <c r="F94" s="238">
        <f t="shared" si="13"/>
        <v>0.617711872748682</v>
      </c>
    </row>
    <row r="95" spans="1:6" ht="20.25" customHeight="1" x14ac:dyDescent="0.3">
      <c r="A95" s="235">
        <v>4</v>
      </c>
      <c r="B95" s="236" t="s">
        <v>449</v>
      </c>
      <c r="C95" s="237">
        <v>1300609</v>
      </c>
      <c r="D95" s="237">
        <v>2077367</v>
      </c>
      <c r="E95" s="237">
        <f t="shared" si="12"/>
        <v>776758</v>
      </c>
      <c r="F95" s="238">
        <f t="shared" si="13"/>
        <v>0.59722637625912167</v>
      </c>
    </row>
    <row r="96" spans="1:6" ht="20.25" customHeight="1" x14ac:dyDescent="0.3">
      <c r="A96" s="235">
        <v>5</v>
      </c>
      <c r="B96" s="236" t="s">
        <v>385</v>
      </c>
      <c r="C96" s="239">
        <v>271</v>
      </c>
      <c r="D96" s="239">
        <v>412</v>
      </c>
      <c r="E96" s="239">
        <f t="shared" si="12"/>
        <v>141</v>
      </c>
      <c r="F96" s="238">
        <f t="shared" si="13"/>
        <v>0.52029520295202947</v>
      </c>
    </row>
    <row r="97" spans="1:6" ht="20.25" customHeight="1" x14ac:dyDescent="0.3">
      <c r="A97" s="235">
        <v>6</v>
      </c>
      <c r="B97" s="236" t="s">
        <v>384</v>
      </c>
      <c r="C97" s="239">
        <v>1900</v>
      </c>
      <c r="D97" s="239">
        <v>2343</v>
      </c>
      <c r="E97" s="239">
        <f t="shared" si="12"/>
        <v>443</v>
      </c>
      <c r="F97" s="238">
        <f t="shared" si="13"/>
        <v>0.23315789473684209</v>
      </c>
    </row>
    <row r="98" spans="1:6" ht="20.25" customHeight="1" x14ac:dyDescent="0.3">
      <c r="A98" s="235">
        <v>7</v>
      </c>
      <c r="B98" s="236" t="s">
        <v>450</v>
      </c>
      <c r="C98" s="239">
        <v>2679</v>
      </c>
      <c r="D98" s="239">
        <v>4228</v>
      </c>
      <c r="E98" s="239">
        <f t="shared" si="12"/>
        <v>1549</v>
      </c>
      <c r="F98" s="238">
        <f t="shared" si="13"/>
        <v>0.57820082120194105</v>
      </c>
    </row>
    <row r="99" spans="1:6" ht="20.25" customHeight="1" x14ac:dyDescent="0.3">
      <c r="A99" s="235">
        <v>8</v>
      </c>
      <c r="B99" s="236" t="s">
        <v>451</v>
      </c>
      <c r="C99" s="239">
        <v>287</v>
      </c>
      <c r="D99" s="239">
        <v>397</v>
      </c>
      <c r="E99" s="239">
        <f t="shared" si="12"/>
        <v>110</v>
      </c>
      <c r="F99" s="238">
        <f t="shared" si="13"/>
        <v>0.38327526132404183</v>
      </c>
    </row>
    <row r="100" spans="1:6" ht="20.25" customHeight="1" x14ac:dyDescent="0.3">
      <c r="A100" s="235">
        <v>9</v>
      </c>
      <c r="B100" s="236" t="s">
        <v>452</v>
      </c>
      <c r="C100" s="239">
        <v>226</v>
      </c>
      <c r="D100" s="239">
        <v>366</v>
      </c>
      <c r="E100" s="239">
        <f t="shared" si="12"/>
        <v>140</v>
      </c>
      <c r="F100" s="238">
        <f t="shared" si="13"/>
        <v>0.61946902654867253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17472066</v>
      </c>
      <c r="D101" s="243">
        <f>+D92+D94</f>
        <v>26386178</v>
      </c>
      <c r="E101" s="243">
        <f t="shared" si="12"/>
        <v>8914112</v>
      </c>
      <c r="F101" s="244">
        <f t="shared" si="13"/>
        <v>0.51019221195707476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4729884</v>
      </c>
      <c r="D102" s="243">
        <f>+D93+D95</f>
        <v>6697385</v>
      </c>
      <c r="E102" s="243">
        <f t="shared" si="12"/>
        <v>1967501</v>
      </c>
      <c r="F102" s="244">
        <f t="shared" si="13"/>
        <v>0.41597235788446396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23843</v>
      </c>
      <c r="D105" s="237">
        <v>248473</v>
      </c>
      <c r="E105" s="237">
        <f t="shared" ref="E105:E115" si="14">D105-C105</f>
        <v>224630</v>
      </c>
      <c r="F105" s="238">
        <f t="shared" ref="F105:F115" si="15">IF(C105=0,0,E105/C105)</f>
        <v>9.4212137734345518</v>
      </c>
    </row>
    <row r="106" spans="1:6" ht="20.25" customHeight="1" x14ac:dyDescent="0.3">
      <c r="A106" s="235">
        <v>2</v>
      </c>
      <c r="B106" s="236" t="s">
        <v>447</v>
      </c>
      <c r="C106" s="237">
        <v>21459</v>
      </c>
      <c r="D106" s="237">
        <v>92381</v>
      </c>
      <c r="E106" s="237">
        <f t="shared" si="14"/>
        <v>70922</v>
      </c>
      <c r="F106" s="238">
        <f t="shared" si="15"/>
        <v>3.3050002330024699</v>
      </c>
    </row>
    <row r="107" spans="1:6" ht="20.25" customHeight="1" x14ac:dyDescent="0.3">
      <c r="A107" s="235">
        <v>3</v>
      </c>
      <c r="B107" s="236" t="s">
        <v>448</v>
      </c>
      <c r="C107" s="237">
        <v>20943</v>
      </c>
      <c r="D107" s="237">
        <v>100777</v>
      </c>
      <c r="E107" s="237">
        <f t="shared" si="14"/>
        <v>79834</v>
      </c>
      <c r="F107" s="238">
        <f t="shared" si="15"/>
        <v>3.8119658119658117</v>
      </c>
    </row>
    <row r="108" spans="1:6" ht="20.25" customHeight="1" x14ac:dyDescent="0.3">
      <c r="A108" s="235">
        <v>4</v>
      </c>
      <c r="B108" s="236" t="s">
        <v>449</v>
      </c>
      <c r="C108" s="237">
        <v>19389</v>
      </c>
      <c r="D108" s="237">
        <v>23248</v>
      </c>
      <c r="E108" s="237">
        <f t="shared" si="14"/>
        <v>3859</v>
      </c>
      <c r="F108" s="238">
        <f t="shared" si="15"/>
        <v>0.19903037804940946</v>
      </c>
    </row>
    <row r="109" spans="1:6" ht="20.25" customHeight="1" x14ac:dyDescent="0.3">
      <c r="A109" s="235">
        <v>5</v>
      </c>
      <c r="B109" s="236" t="s">
        <v>385</v>
      </c>
      <c r="C109" s="239">
        <v>1</v>
      </c>
      <c r="D109" s="239">
        <v>6</v>
      </c>
      <c r="E109" s="239">
        <f t="shared" si="14"/>
        <v>5</v>
      </c>
      <c r="F109" s="238">
        <f t="shared" si="15"/>
        <v>5</v>
      </c>
    </row>
    <row r="110" spans="1:6" ht="20.25" customHeight="1" x14ac:dyDescent="0.3">
      <c r="A110" s="235">
        <v>6</v>
      </c>
      <c r="B110" s="236" t="s">
        <v>384</v>
      </c>
      <c r="C110" s="239">
        <v>3</v>
      </c>
      <c r="D110" s="239">
        <v>26</v>
      </c>
      <c r="E110" s="239">
        <f t="shared" si="14"/>
        <v>23</v>
      </c>
      <c r="F110" s="238">
        <f t="shared" si="15"/>
        <v>7.666666666666667</v>
      </c>
    </row>
    <row r="111" spans="1:6" ht="20.25" customHeight="1" x14ac:dyDescent="0.3">
      <c r="A111" s="235">
        <v>7</v>
      </c>
      <c r="B111" s="236" t="s">
        <v>450</v>
      </c>
      <c r="C111" s="239">
        <v>13</v>
      </c>
      <c r="D111" s="239">
        <v>61</v>
      </c>
      <c r="E111" s="239">
        <f t="shared" si="14"/>
        <v>48</v>
      </c>
      <c r="F111" s="238">
        <f t="shared" si="15"/>
        <v>3.6923076923076925</v>
      </c>
    </row>
    <row r="112" spans="1:6" ht="20.25" customHeight="1" x14ac:dyDescent="0.3">
      <c r="A112" s="235">
        <v>8</v>
      </c>
      <c r="B112" s="236" t="s">
        <v>451</v>
      </c>
      <c r="C112" s="239">
        <v>3</v>
      </c>
      <c r="D112" s="239">
        <v>19</v>
      </c>
      <c r="E112" s="239">
        <f t="shared" si="14"/>
        <v>16</v>
      </c>
      <c r="F112" s="238">
        <f t="shared" si="15"/>
        <v>5.333333333333333</v>
      </c>
    </row>
    <row r="113" spans="1:6" ht="20.25" customHeight="1" x14ac:dyDescent="0.3">
      <c r="A113" s="235">
        <v>9</v>
      </c>
      <c r="B113" s="236" t="s">
        <v>452</v>
      </c>
      <c r="C113" s="239">
        <v>1</v>
      </c>
      <c r="D113" s="239">
        <v>3</v>
      </c>
      <c r="E113" s="239">
        <f t="shared" si="14"/>
        <v>2</v>
      </c>
      <c r="F113" s="238">
        <f t="shared" si="15"/>
        <v>2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44786</v>
      </c>
      <c r="D114" s="243">
        <f>+D105+D107</f>
        <v>349250</v>
      </c>
      <c r="E114" s="243">
        <f t="shared" si="14"/>
        <v>304464</v>
      </c>
      <c r="F114" s="244">
        <f t="shared" si="15"/>
        <v>6.7981958647791725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40848</v>
      </c>
      <c r="D115" s="243">
        <f>+D106+D108</f>
        <v>115629</v>
      </c>
      <c r="E115" s="243">
        <f t="shared" si="14"/>
        <v>74781</v>
      </c>
      <c r="F115" s="244">
        <f t="shared" si="15"/>
        <v>1.8307138660399529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18723</v>
      </c>
      <c r="D118" s="237">
        <v>1146001</v>
      </c>
      <c r="E118" s="237">
        <f t="shared" ref="E118:E128" si="16">D118-C118</f>
        <v>1127278</v>
      </c>
      <c r="F118" s="238">
        <f t="shared" ref="F118:F128" si="17">IF(C118=0,0,E118/C118)</f>
        <v>60.208193131442613</v>
      </c>
    </row>
    <row r="119" spans="1:6" ht="20.25" customHeight="1" x14ac:dyDescent="0.3">
      <c r="A119" s="235">
        <v>2</v>
      </c>
      <c r="B119" s="236" t="s">
        <v>447</v>
      </c>
      <c r="C119" s="237">
        <v>6024</v>
      </c>
      <c r="D119" s="237">
        <v>271600</v>
      </c>
      <c r="E119" s="237">
        <f t="shared" si="16"/>
        <v>265576</v>
      </c>
      <c r="F119" s="238">
        <f t="shared" si="17"/>
        <v>44.086321381142099</v>
      </c>
    </row>
    <row r="120" spans="1:6" ht="20.25" customHeight="1" x14ac:dyDescent="0.3">
      <c r="A120" s="235">
        <v>3</v>
      </c>
      <c r="B120" s="236" t="s">
        <v>448</v>
      </c>
      <c r="C120" s="237">
        <v>69088</v>
      </c>
      <c r="D120" s="237">
        <v>586187</v>
      </c>
      <c r="E120" s="237">
        <f t="shared" si="16"/>
        <v>517099</v>
      </c>
      <c r="F120" s="238">
        <f t="shared" si="17"/>
        <v>7.4846427744326078</v>
      </c>
    </row>
    <row r="121" spans="1:6" ht="20.25" customHeight="1" x14ac:dyDescent="0.3">
      <c r="A121" s="235">
        <v>4</v>
      </c>
      <c r="B121" s="236" t="s">
        <v>449</v>
      </c>
      <c r="C121" s="237">
        <v>17112</v>
      </c>
      <c r="D121" s="237">
        <v>153498</v>
      </c>
      <c r="E121" s="237">
        <f t="shared" si="16"/>
        <v>136386</v>
      </c>
      <c r="F121" s="238">
        <f t="shared" si="17"/>
        <v>7.9701963534361848</v>
      </c>
    </row>
    <row r="122" spans="1:6" ht="20.25" customHeight="1" x14ac:dyDescent="0.3">
      <c r="A122" s="235">
        <v>5</v>
      </c>
      <c r="B122" s="236" t="s">
        <v>385</v>
      </c>
      <c r="C122" s="239">
        <v>1</v>
      </c>
      <c r="D122" s="239">
        <v>30</v>
      </c>
      <c r="E122" s="239">
        <f t="shared" si="16"/>
        <v>29</v>
      </c>
      <c r="F122" s="238">
        <f t="shared" si="17"/>
        <v>29</v>
      </c>
    </row>
    <row r="123" spans="1:6" ht="20.25" customHeight="1" x14ac:dyDescent="0.3">
      <c r="A123" s="235">
        <v>6</v>
      </c>
      <c r="B123" s="236" t="s">
        <v>384</v>
      </c>
      <c r="C123" s="239">
        <v>3</v>
      </c>
      <c r="D123" s="239">
        <v>174</v>
      </c>
      <c r="E123" s="239">
        <f t="shared" si="16"/>
        <v>171</v>
      </c>
      <c r="F123" s="238">
        <f t="shared" si="17"/>
        <v>57</v>
      </c>
    </row>
    <row r="124" spans="1:6" ht="20.25" customHeight="1" x14ac:dyDescent="0.3">
      <c r="A124" s="235">
        <v>7</v>
      </c>
      <c r="B124" s="236" t="s">
        <v>450</v>
      </c>
      <c r="C124" s="239">
        <v>189</v>
      </c>
      <c r="D124" s="239">
        <v>243</v>
      </c>
      <c r="E124" s="239">
        <f t="shared" si="16"/>
        <v>54</v>
      </c>
      <c r="F124" s="238">
        <f t="shared" si="17"/>
        <v>0.2857142857142857</v>
      </c>
    </row>
    <row r="125" spans="1:6" ht="20.25" customHeight="1" x14ac:dyDescent="0.3">
      <c r="A125" s="235">
        <v>8</v>
      </c>
      <c r="B125" s="236" t="s">
        <v>451</v>
      </c>
      <c r="C125" s="239">
        <v>23</v>
      </c>
      <c r="D125" s="239">
        <v>36</v>
      </c>
      <c r="E125" s="239">
        <f t="shared" si="16"/>
        <v>13</v>
      </c>
      <c r="F125" s="238">
        <f t="shared" si="17"/>
        <v>0.56521739130434778</v>
      </c>
    </row>
    <row r="126" spans="1:6" ht="20.25" customHeight="1" x14ac:dyDescent="0.3">
      <c r="A126" s="235">
        <v>9</v>
      </c>
      <c r="B126" s="236" t="s">
        <v>452</v>
      </c>
      <c r="C126" s="239">
        <v>14</v>
      </c>
      <c r="D126" s="239">
        <v>25</v>
      </c>
      <c r="E126" s="239">
        <f t="shared" si="16"/>
        <v>11</v>
      </c>
      <c r="F126" s="238">
        <f t="shared" si="17"/>
        <v>0.7857142857142857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87811</v>
      </c>
      <c r="D127" s="243">
        <f>+D118+D120</f>
        <v>1732188</v>
      </c>
      <c r="E127" s="243">
        <f t="shared" si="16"/>
        <v>1644377</v>
      </c>
      <c r="F127" s="244">
        <f t="shared" si="17"/>
        <v>18.726321303709103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23136</v>
      </c>
      <c r="D128" s="243">
        <f>+D119+D121</f>
        <v>425098</v>
      </c>
      <c r="E128" s="243">
        <f t="shared" si="16"/>
        <v>401962</v>
      </c>
      <c r="F128" s="244">
        <f t="shared" si="17"/>
        <v>17.373876210235132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132482</v>
      </c>
      <c r="D131" s="237">
        <v>686976</v>
      </c>
      <c r="E131" s="237">
        <f t="shared" ref="E131:E141" si="18">D131-C131</f>
        <v>554494</v>
      </c>
      <c r="F131" s="238">
        <f t="shared" ref="F131:F141" si="19">IF(C131=0,0,E131/C131)</f>
        <v>4.1854289639347231</v>
      </c>
    </row>
    <row r="132" spans="1:6" ht="20.25" customHeight="1" x14ac:dyDescent="0.3">
      <c r="A132" s="235">
        <v>2</v>
      </c>
      <c r="B132" s="236" t="s">
        <v>447</v>
      </c>
      <c r="C132" s="237">
        <v>51975</v>
      </c>
      <c r="D132" s="237">
        <v>179323</v>
      </c>
      <c r="E132" s="237">
        <f t="shared" si="18"/>
        <v>127348</v>
      </c>
      <c r="F132" s="238">
        <f t="shared" si="19"/>
        <v>2.45017797017797</v>
      </c>
    </row>
    <row r="133" spans="1:6" ht="20.25" customHeight="1" x14ac:dyDescent="0.3">
      <c r="A133" s="235">
        <v>3</v>
      </c>
      <c r="B133" s="236" t="s">
        <v>448</v>
      </c>
      <c r="C133" s="237">
        <v>63960</v>
      </c>
      <c r="D133" s="237">
        <v>123301</v>
      </c>
      <c r="E133" s="237">
        <f t="shared" si="18"/>
        <v>59341</v>
      </c>
      <c r="F133" s="238">
        <f t="shared" si="19"/>
        <v>0.92778298936835524</v>
      </c>
    </row>
    <row r="134" spans="1:6" ht="20.25" customHeight="1" x14ac:dyDescent="0.3">
      <c r="A134" s="235">
        <v>4</v>
      </c>
      <c r="B134" s="236" t="s">
        <v>449</v>
      </c>
      <c r="C134" s="237">
        <v>12454</v>
      </c>
      <c r="D134" s="237">
        <v>31110</v>
      </c>
      <c r="E134" s="237">
        <f t="shared" si="18"/>
        <v>18656</v>
      </c>
      <c r="F134" s="238">
        <f t="shared" si="19"/>
        <v>1.4979926128151597</v>
      </c>
    </row>
    <row r="135" spans="1:6" ht="20.25" customHeight="1" x14ac:dyDescent="0.3">
      <c r="A135" s="235">
        <v>5</v>
      </c>
      <c r="B135" s="236" t="s">
        <v>385</v>
      </c>
      <c r="C135" s="239">
        <v>7</v>
      </c>
      <c r="D135" s="239">
        <v>11</v>
      </c>
      <c r="E135" s="239">
        <f t="shared" si="18"/>
        <v>4</v>
      </c>
      <c r="F135" s="238">
        <f t="shared" si="19"/>
        <v>0.5714285714285714</v>
      </c>
    </row>
    <row r="136" spans="1:6" ht="20.25" customHeight="1" x14ac:dyDescent="0.3">
      <c r="A136" s="235">
        <v>6</v>
      </c>
      <c r="B136" s="236" t="s">
        <v>384</v>
      </c>
      <c r="C136" s="239">
        <v>20</v>
      </c>
      <c r="D136" s="239">
        <v>83</v>
      </c>
      <c r="E136" s="239">
        <f t="shared" si="18"/>
        <v>63</v>
      </c>
      <c r="F136" s="238">
        <f t="shared" si="19"/>
        <v>3.15</v>
      </c>
    </row>
    <row r="137" spans="1:6" ht="20.25" customHeight="1" x14ac:dyDescent="0.3">
      <c r="A137" s="235">
        <v>7</v>
      </c>
      <c r="B137" s="236" t="s">
        <v>450</v>
      </c>
      <c r="C137" s="239">
        <v>20</v>
      </c>
      <c r="D137" s="239">
        <v>37</v>
      </c>
      <c r="E137" s="239">
        <f t="shared" si="18"/>
        <v>17</v>
      </c>
      <c r="F137" s="238">
        <f t="shared" si="19"/>
        <v>0.85</v>
      </c>
    </row>
    <row r="138" spans="1:6" ht="20.25" customHeight="1" x14ac:dyDescent="0.3">
      <c r="A138" s="235">
        <v>8</v>
      </c>
      <c r="B138" s="236" t="s">
        <v>451</v>
      </c>
      <c r="C138" s="239">
        <v>12</v>
      </c>
      <c r="D138" s="239">
        <v>17</v>
      </c>
      <c r="E138" s="239">
        <f t="shared" si="18"/>
        <v>5</v>
      </c>
      <c r="F138" s="238">
        <f t="shared" si="19"/>
        <v>0.41666666666666669</v>
      </c>
    </row>
    <row r="139" spans="1:6" ht="20.25" customHeight="1" x14ac:dyDescent="0.3">
      <c r="A139" s="235">
        <v>9</v>
      </c>
      <c r="B139" s="236" t="s">
        <v>452</v>
      </c>
      <c r="C139" s="239">
        <v>7</v>
      </c>
      <c r="D139" s="239">
        <v>10</v>
      </c>
      <c r="E139" s="239">
        <f t="shared" si="18"/>
        <v>3</v>
      </c>
      <c r="F139" s="238">
        <f t="shared" si="19"/>
        <v>0.42857142857142855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196442</v>
      </c>
      <c r="D140" s="243">
        <f>+D131+D133</f>
        <v>810277</v>
      </c>
      <c r="E140" s="243">
        <f t="shared" si="18"/>
        <v>613835</v>
      </c>
      <c r="F140" s="244">
        <f t="shared" si="19"/>
        <v>3.124764561549974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64429</v>
      </c>
      <c r="D141" s="243">
        <f>+D132+D134</f>
        <v>210433</v>
      </c>
      <c r="E141" s="243">
        <f t="shared" si="18"/>
        <v>146004</v>
      </c>
      <c r="F141" s="244">
        <f t="shared" si="19"/>
        <v>2.2661223982989025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1129816</v>
      </c>
      <c r="D183" s="237">
        <v>454960</v>
      </c>
      <c r="E183" s="237">
        <f t="shared" ref="E183:E193" si="26">D183-C183</f>
        <v>-674856</v>
      </c>
      <c r="F183" s="238">
        <f t="shared" ref="F183:F193" si="27">IF(C183=0,0,E183/C183)</f>
        <v>-0.59731496102020154</v>
      </c>
    </row>
    <row r="184" spans="1:6" ht="20.25" customHeight="1" x14ac:dyDescent="0.3">
      <c r="A184" s="235">
        <v>2</v>
      </c>
      <c r="B184" s="236" t="s">
        <v>447</v>
      </c>
      <c r="C184" s="237">
        <v>278117</v>
      </c>
      <c r="D184" s="237">
        <v>147480</v>
      </c>
      <c r="E184" s="237">
        <f t="shared" si="26"/>
        <v>-130637</v>
      </c>
      <c r="F184" s="238">
        <f t="shared" si="27"/>
        <v>-0.46971957845079587</v>
      </c>
    </row>
    <row r="185" spans="1:6" ht="20.25" customHeight="1" x14ac:dyDescent="0.3">
      <c r="A185" s="235">
        <v>3</v>
      </c>
      <c r="B185" s="236" t="s">
        <v>448</v>
      </c>
      <c r="C185" s="237">
        <v>206321</v>
      </c>
      <c r="D185" s="237">
        <v>166118</v>
      </c>
      <c r="E185" s="237">
        <f t="shared" si="26"/>
        <v>-40203</v>
      </c>
      <c r="F185" s="238">
        <f t="shared" si="27"/>
        <v>-0.19485655846956926</v>
      </c>
    </row>
    <row r="186" spans="1:6" ht="20.25" customHeight="1" x14ac:dyDescent="0.3">
      <c r="A186" s="235">
        <v>4</v>
      </c>
      <c r="B186" s="236" t="s">
        <v>449</v>
      </c>
      <c r="C186" s="237">
        <v>46942</v>
      </c>
      <c r="D186" s="237">
        <v>35934</v>
      </c>
      <c r="E186" s="237">
        <f t="shared" si="26"/>
        <v>-11008</v>
      </c>
      <c r="F186" s="238">
        <f t="shared" si="27"/>
        <v>-0.23450215159132545</v>
      </c>
    </row>
    <row r="187" spans="1:6" ht="20.25" customHeight="1" x14ac:dyDescent="0.3">
      <c r="A187" s="235">
        <v>5</v>
      </c>
      <c r="B187" s="236" t="s">
        <v>385</v>
      </c>
      <c r="C187" s="239">
        <v>27</v>
      </c>
      <c r="D187" s="239">
        <v>11</v>
      </c>
      <c r="E187" s="239">
        <f t="shared" si="26"/>
        <v>-16</v>
      </c>
      <c r="F187" s="238">
        <f t="shared" si="27"/>
        <v>-0.59259259259259256</v>
      </c>
    </row>
    <row r="188" spans="1:6" ht="20.25" customHeight="1" x14ac:dyDescent="0.3">
      <c r="A188" s="235">
        <v>6</v>
      </c>
      <c r="B188" s="236" t="s">
        <v>384</v>
      </c>
      <c r="C188" s="239">
        <v>176</v>
      </c>
      <c r="D188" s="239">
        <v>66</v>
      </c>
      <c r="E188" s="239">
        <f t="shared" si="26"/>
        <v>-110</v>
      </c>
      <c r="F188" s="238">
        <f t="shared" si="27"/>
        <v>-0.625</v>
      </c>
    </row>
    <row r="189" spans="1:6" ht="20.25" customHeight="1" x14ac:dyDescent="0.3">
      <c r="A189" s="235">
        <v>7</v>
      </c>
      <c r="B189" s="236" t="s">
        <v>450</v>
      </c>
      <c r="C189" s="239">
        <v>89</v>
      </c>
      <c r="D189" s="239">
        <v>68</v>
      </c>
      <c r="E189" s="239">
        <f t="shared" si="26"/>
        <v>-21</v>
      </c>
      <c r="F189" s="238">
        <f t="shared" si="27"/>
        <v>-0.23595505617977527</v>
      </c>
    </row>
    <row r="190" spans="1:6" ht="20.25" customHeight="1" x14ac:dyDescent="0.3">
      <c r="A190" s="235">
        <v>8</v>
      </c>
      <c r="B190" s="236" t="s">
        <v>451</v>
      </c>
      <c r="C190" s="239">
        <v>35</v>
      </c>
      <c r="D190" s="239">
        <v>6</v>
      </c>
      <c r="E190" s="239">
        <f t="shared" si="26"/>
        <v>-29</v>
      </c>
      <c r="F190" s="238">
        <f t="shared" si="27"/>
        <v>-0.82857142857142863</v>
      </c>
    </row>
    <row r="191" spans="1:6" ht="20.25" customHeight="1" x14ac:dyDescent="0.3">
      <c r="A191" s="235">
        <v>9</v>
      </c>
      <c r="B191" s="236" t="s">
        <v>452</v>
      </c>
      <c r="C191" s="239">
        <v>25</v>
      </c>
      <c r="D191" s="239">
        <v>9</v>
      </c>
      <c r="E191" s="239">
        <f t="shared" si="26"/>
        <v>-16</v>
      </c>
      <c r="F191" s="238">
        <f t="shared" si="27"/>
        <v>-0.64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1336137</v>
      </c>
      <c r="D192" s="243">
        <f>+D183+D185</f>
        <v>621078</v>
      </c>
      <c r="E192" s="243">
        <f t="shared" si="26"/>
        <v>-715059</v>
      </c>
      <c r="F192" s="244">
        <f t="shared" si="27"/>
        <v>-0.53516892354601364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325059</v>
      </c>
      <c r="D193" s="243">
        <f>+D184+D186</f>
        <v>183414</v>
      </c>
      <c r="E193" s="243">
        <f t="shared" si="26"/>
        <v>-141645</v>
      </c>
      <c r="F193" s="244">
        <f t="shared" si="27"/>
        <v>-0.43575166354415662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23049022</v>
      </c>
      <c r="D198" s="243">
        <f t="shared" si="28"/>
        <v>26976401</v>
      </c>
      <c r="E198" s="243">
        <f t="shared" ref="E198:E208" si="29">D198-C198</f>
        <v>3927379</v>
      </c>
      <c r="F198" s="251">
        <f t="shared" ref="F198:F208" si="30">IF(C198=0,0,E198/C198)</f>
        <v>0.17039243573978974</v>
      </c>
    </row>
    <row r="199" spans="1:9" ht="20.25" customHeight="1" x14ac:dyDescent="0.3">
      <c r="A199" s="249"/>
      <c r="B199" s="250" t="s">
        <v>473</v>
      </c>
      <c r="C199" s="243">
        <f t="shared" si="28"/>
        <v>6306677</v>
      </c>
      <c r="D199" s="243">
        <f t="shared" si="28"/>
        <v>7379091</v>
      </c>
      <c r="E199" s="243">
        <f t="shared" si="29"/>
        <v>1072414</v>
      </c>
      <c r="F199" s="251">
        <f t="shared" si="30"/>
        <v>0.17004422455756019</v>
      </c>
    </row>
    <row r="200" spans="1:9" ht="20.25" customHeight="1" x14ac:dyDescent="0.3">
      <c r="A200" s="249"/>
      <c r="B200" s="250" t="s">
        <v>474</v>
      </c>
      <c r="C200" s="243">
        <f t="shared" si="28"/>
        <v>10105935</v>
      </c>
      <c r="D200" s="243">
        <f t="shared" si="28"/>
        <v>14793586</v>
      </c>
      <c r="E200" s="243">
        <f t="shared" si="29"/>
        <v>4687651</v>
      </c>
      <c r="F200" s="251">
        <f t="shared" si="30"/>
        <v>0.46385129134513531</v>
      </c>
    </row>
    <row r="201" spans="1:9" ht="20.25" customHeight="1" x14ac:dyDescent="0.3">
      <c r="A201" s="249"/>
      <c r="B201" s="250" t="s">
        <v>475</v>
      </c>
      <c r="C201" s="243">
        <f t="shared" si="28"/>
        <v>2289821</v>
      </c>
      <c r="D201" s="243">
        <f t="shared" si="28"/>
        <v>3467265</v>
      </c>
      <c r="E201" s="243">
        <f t="shared" si="29"/>
        <v>1177444</v>
      </c>
      <c r="F201" s="251">
        <f t="shared" si="30"/>
        <v>0.5142078791311635</v>
      </c>
    </row>
    <row r="202" spans="1:9" ht="20.25" customHeight="1" x14ac:dyDescent="0.3">
      <c r="A202" s="249"/>
      <c r="B202" s="250" t="s">
        <v>476</v>
      </c>
      <c r="C202" s="252">
        <f t="shared" si="28"/>
        <v>524</v>
      </c>
      <c r="D202" s="252">
        <f t="shared" si="28"/>
        <v>653</v>
      </c>
      <c r="E202" s="252">
        <f t="shared" si="29"/>
        <v>129</v>
      </c>
      <c r="F202" s="251">
        <f t="shared" si="30"/>
        <v>0.24618320610687022</v>
      </c>
    </row>
    <row r="203" spans="1:9" ht="20.25" customHeight="1" x14ac:dyDescent="0.3">
      <c r="A203" s="249"/>
      <c r="B203" s="250" t="s">
        <v>477</v>
      </c>
      <c r="C203" s="252">
        <f t="shared" si="28"/>
        <v>3563</v>
      </c>
      <c r="D203" s="252">
        <f t="shared" si="28"/>
        <v>3619</v>
      </c>
      <c r="E203" s="252">
        <f t="shared" si="29"/>
        <v>56</v>
      </c>
      <c r="F203" s="251">
        <f t="shared" si="30"/>
        <v>1.5717092337917484E-2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4947</v>
      </c>
      <c r="D204" s="252">
        <f t="shared" si="28"/>
        <v>6930</v>
      </c>
      <c r="E204" s="252">
        <f t="shared" si="29"/>
        <v>1983</v>
      </c>
      <c r="F204" s="251">
        <f t="shared" si="30"/>
        <v>0.40084899939357188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617</v>
      </c>
      <c r="D205" s="252">
        <f t="shared" si="28"/>
        <v>736</v>
      </c>
      <c r="E205" s="252">
        <f t="shared" si="29"/>
        <v>119</v>
      </c>
      <c r="F205" s="251">
        <f t="shared" si="30"/>
        <v>0.19286871961102106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442</v>
      </c>
      <c r="D206" s="252">
        <f t="shared" si="28"/>
        <v>574</v>
      </c>
      <c r="E206" s="252">
        <f t="shared" si="29"/>
        <v>132</v>
      </c>
      <c r="F206" s="251">
        <f t="shared" si="30"/>
        <v>0.29864253393665158</v>
      </c>
    </row>
    <row r="207" spans="1:9" ht="20.25" customHeight="1" x14ac:dyDescent="0.3">
      <c r="A207" s="249"/>
      <c r="B207" s="242" t="s">
        <v>481</v>
      </c>
      <c r="C207" s="243">
        <f>+C198+C200</f>
        <v>33154957</v>
      </c>
      <c r="D207" s="243">
        <f>+D198+D200</f>
        <v>41769987</v>
      </c>
      <c r="E207" s="243">
        <f t="shared" si="29"/>
        <v>8615030</v>
      </c>
      <c r="F207" s="251">
        <f t="shared" si="30"/>
        <v>0.25984138661377243</v>
      </c>
    </row>
    <row r="208" spans="1:9" ht="20.25" customHeight="1" x14ac:dyDescent="0.3">
      <c r="A208" s="249"/>
      <c r="B208" s="242" t="s">
        <v>482</v>
      </c>
      <c r="C208" s="243">
        <f>+C199+C201</f>
        <v>8596498</v>
      </c>
      <c r="D208" s="243">
        <f>+D199+D201</f>
        <v>10846356</v>
      </c>
      <c r="E208" s="243">
        <f t="shared" si="29"/>
        <v>2249858</v>
      </c>
      <c r="F208" s="251">
        <f t="shared" si="30"/>
        <v>0.26171796934053843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FILING&amp;RNORWALK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14323370</v>
      </c>
      <c r="D26" s="237">
        <v>2010172</v>
      </c>
      <c r="E26" s="237">
        <f t="shared" ref="E26:E36" si="2">D26-C26</f>
        <v>-12313198</v>
      </c>
      <c r="F26" s="238">
        <f t="shared" ref="F26:F36" si="3">IF(C26=0,0,E26/C26)</f>
        <v>-0.85965788777361751</v>
      </c>
    </row>
    <row r="27" spans="1:6" ht="20.25" customHeight="1" x14ac:dyDescent="0.3">
      <c r="A27" s="235">
        <v>2</v>
      </c>
      <c r="B27" s="236" t="s">
        <v>447</v>
      </c>
      <c r="C27" s="237">
        <v>4067109</v>
      </c>
      <c r="D27" s="237">
        <v>503767</v>
      </c>
      <c r="E27" s="237">
        <f t="shared" si="2"/>
        <v>-3563342</v>
      </c>
      <c r="F27" s="238">
        <f t="shared" si="3"/>
        <v>-0.87613634156350373</v>
      </c>
    </row>
    <row r="28" spans="1:6" ht="20.25" customHeight="1" x14ac:dyDescent="0.3">
      <c r="A28" s="235">
        <v>3</v>
      </c>
      <c r="B28" s="236" t="s">
        <v>448</v>
      </c>
      <c r="C28" s="237">
        <v>15463412</v>
      </c>
      <c r="D28" s="237">
        <v>4057601</v>
      </c>
      <c r="E28" s="237">
        <f t="shared" si="2"/>
        <v>-11405811</v>
      </c>
      <c r="F28" s="238">
        <f t="shared" si="3"/>
        <v>-0.73759989063215803</v>
      </c>
    </row>
    <row r="29" spans="1:6" ht="20.25" customHeight="1" x14ac:dyDescent="0.3">
      <c r="A29" s="235">
        <v>4</v>
      </c>
      <c r="B29" s="236" t="s">
        <v>449</v>
      </c>
      <c r="C29" s="237">
        <v>3520088</v>
      </c>
      <c r="D29" s="237">
        <v>716724</v>
      </c>
      <c r="E29" s="237">
        <f t="shared" si="2"/>
        <v>-2803364</v>
      </c>
      <c r="F29" s="238">
        <f t="shared" si="3"/>
        <v>-0.79639031751478939</v>
      </c>
    </row>
    <row r="30" spans="1:6" ht="20.25" customHeight="1" x14ac:dyDescent="0.3">
      <c r="A30" s="235">
        <v>5</v>
      </c>
      <c r="B30" s="236" t="s">
        <v>385</v>
      </c>
      <c r="C30" s="239">
        <v>819</v>
      </c>
      <c r="D30" s="239">
        <v>124</v>
      </c>
      <c r="E30" s="239">
        <f t="shared" si="2"/>
        <v>-695</v>
      </c>
      <c r="F30" s="238">
        <f t="shared" si="3"/>
        <v>-0.84859584859584858</v>
      </c>
    </row>
    <row r="31" spans="1:6" ht="20.25" customHeight="1" x14ac:dyDescent="0.3">
      <c r="A31" s="235">
        <v>6</v>
      </c>
      <c r="B31" s="236" t="s">
        <v>384</v>
      </c>
      <c r="C31" s="239">
        <v>2509</v>
      </c>
      <c r="D31" s="239">
        <v>291</v>
      </c>
      <c r="E31" s="239">
        <f t="shared" si="2"/>
        <v>-2218</v>
      </c>
      <c r="F31" s="238">
        <f t="shared" si="3"/>
        <v>-0.8840175368672778</v>
      </c>
    </row>
    <row r="32" spans="1:6" ht="20.25" customHeight="1" x14ac:dyDescent="0.3">
      <c r="A32" s="235">
        <v>7</v>
      </c>
      <c r="B32" s="236" t="s">
        <v>450</v>
      </c>
      <c r="C32" s="239">
        <v>8851</v>
      </c>
      <c r="D32" s="239">
        <v>2163</v>
      </c>
      <c r="E32" s="239">
        <f t="shared" si="2"/>
        <v>-6688</v>
      </c>
      <c r="F32" s="238">
        <f t="shared" si="3"/>
        <v>-0.75562083380408995</v>
      </c>
    </row>
    <row r="33" spans="1:6" ht="20.25" customHeight="1" x14ac:dyDescent="0.3">
      <c r="A33" s="235">
        <v>8</v>
      </c>
      <c r="B33" s="236" t="s">
        <v>451</v>
      </c>
      <c r="C33" s="239">
        <v>3949</v>
      </c>
      <c r="D33" s="239">
        <v>984</v>
      </c>
      <c r="E33" s="239">
        <f t="shared" si="2"/>
        <v>-2965</v>
      </c>
      <c r="F33" s="238">
        <f t="shared" si="3"/>
        <v>-0.75082299316282608</v>
      </c>
    </row>
    <row r="34" spans="1:6" ht="20.25" customHeight="1" x14ac:dyDescent="0.3">
      <c r="A34" s="235">
        <v>9</v>
      </c>
      <c r="B34" s="236" t="s">
        <v>452</v>
      </c>
      <c r="C34" s="239">
        <v>262</v>
      </c>
      <c r="D34" s="239">
        <v>55</v>
      </c>
      <c r="E34" s="239">
        <f t="shared" si="2"/>
        <v>-207</v>
      </c>
      <c r="F34" s="238">
        <f t="shared" si="3"/>
        <v>-0.79007633587786263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29786782</v>
      </c>
      <c r="D35" s="243">
        <f>+D26+D28</f>
        <v>6067773</v>
      </c>
      <c r="E35" s="243">
        <f t="shared" si="2"/>
        <v>-23719009</v>
      </c>
      <c r="F35" s="244">
        <f t="shared" si="3"/>
        <v>-0.79629310074515602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7587197</v>
      </c>
      <c r="D36" s="243">
        <f>+D27+D29</f>
        <v>1220491</v>
      </c>
      <c r="E36" s="243">
        <f t="shared" si="2"/>
        <v>-6366706</v>
      </c>
      <c r="F36" s="244">
        <f t="shared" si="3"/>
        <v>-0.8391380901273553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5731727</v>
      </c>
      <c r="D50" s="237">
        <v>2274677</v>
      </c>
      <c r="E50" s="237">
        <f t="shared" ref="E50:E60" si="6">D50-C50</f>
        <v>-3457050</v>
      </c>
      <c r="F50" s="238">
        <f t="shared" ref="F50:F60" si="7">IF(C50=0,0,E50/C50)</f>
        <v>-0.60314282239890349</v>
      </c>
    </row>
    <row r="51" spans="1:6" ht="20.25" customHeight="1" x14ac:dyDescent="0.3">
      <c r="A51" s="235">
        <v>2</v>
      </c>
      <c r="B51" s="236" t="s">
        <v>447</v>
      </c>
      <c r="C51" s="237">
        <v>567130</v>
      </c>
      <c r="D51" s="237">
        <v>395173</v>
      </c>
      <c r="E51" s="237">
        <f t="shared" si="6"/>
        <v>-171957</v>
      </c>
      <c r="F51" s="238">
        <f t="shared" si="7"/>
        <v>-0.30320561423306824</v>
      </c>
    </row>
    <row r="52" spans="1:6" ht="20.25" customHeight="1" x14ac:dyDescent="0.3">
      <c r="A52" s="235">
        <v>3</v>
      </c>
      <c r="B52" s="236" t="s">
        <v>448</v>
      </c>
      <c r="C52" s="237">
        <v>7222119</v>
      </c>
      <c r="D52" s="237">
        <v>1654096</v>
      </c>
      <c r="E52" s="237">
        <f t="shared" si="6"/>
        <v>-5568023</v>
      </c>
      <c r="F52" s="238">
        <f t="shared" si="7"/>
        <v>-0.77096804968181776</v>
      </c>
    </row>
    <row r="53" spans="1:6" ht="20.25" customHeight="1" x14ac:dyDescent="0.3">
      <c r="A53" s="235">
        <v>4</v>
      </c>
      <c r="B53" s="236" t="s">
        <v>449</v>
      </c>
      <c r="C53" s="237">
        <v>2095618</v>
      </c>
      <c r="D53" s="237">
        <v>367546</v>
      </c>
      <c r="E53" s="237">
        <f t="shared" si="6"/>
        <v>-1728072</v>
      </c>
      <c r="F53" s="238">
        <f t="shared" si="7"/>
        <v>-0.82461211919347899</v>
      </c>
    </row>
    <row r="54" spans="1:6" ht="20.25" customHeight="1" x14ac:dyDescent="0.3">
      <c r="A54" s="235">
        <v>5</v>
      </c>
      <c r="B54" s="236" t="s">
        <v>385</v>
      </c>
      <c r="C54" s="239">
        <v>286</v>
      </c>
      <c r="D54" s="239">
        <v>73</v>
      </c>
      <c r="E54" s="239">
        <f t="shared" si="6"/>
        <v>-213</v>
      </c>
      <c r="F54" s="238">
        <f t="shared" si="7"/>
        <v>-0.74475524475524479</v>
      </c>
    </row>
    <row r="55" spans="1:6" ht="20.25" customHeight="1" x14ac:dyDescent="0.3">
      <c r="A55" s="235">
        <v>6</v>
      </c>
      <c r="B55" s="236" t="s">
        <v>384</v>
      </c>
      <c r="C55" s="239">
        <v>1011</v>
      </c>
      <c r="D55" s="239">
        <v>350</v>
      </c>
      <c r="E55" s="239">
        <f t="shared" si="6"/>
        <v>-661</v>
      </c>
      <c r="F55" s="238">
        <f t="shared" si="7"/>
        <v>-0.65380811078140455</v>
      </c>
    </row>
    <row r="56" spans="1:6" ht="20.25" customHeight="1" x14ac:dyDescent="0.3">
      <c r="A56" s="235">
        <v>7</v>
      </c>
      <c r="B56" s="236" t="s">
        <v>450</v>
      </c>
      <c r="C56" s="239">
        <v>4968</v>
      </c>
      <c r="D56" s="239">
        <v>1056</v>
      </c>
      <c r="E56" s="239">
        <f t="shared" si="6"/>
        <v>-3912</v>
      </c>
      <c r="F56" s="238">
        <f t="shared" si="7"/>
        <v>-0.7874396135265701</v>
      </c>
    </row>
    <row r="57" spans="1:6" ht="20.25" customHeight="1" x14ac:dyDescent="0.3">
      <c r="A57" s="235">
        <v>8</v>
      </c>
      <c r="B57" s="236" t="s">
        <v>451</v>
      </c>
      <c r="C57" s="239">
        <v>1364</v>
      </c>
      <c r="D57" s="239">
        <v>351</v>
      </c>
      <c r="E57" s="239">
        <f t="shared" si="6"/>
        <v>-1013</v>
      </c>
      <c r="F57" s="238">
        <f t="shared" si="7"/>
        <v>-0.74266862170087977</v>
      </c>
    </row>
    <row r="58" spans="1:6" ht="20.25" customHeight="1" x14ac:dyDescent="0.3">
      <c r="A58" s="235">
        <v>9</v>
      </c>
      <c r="B58" s="236" t="s">
        <v>452</v>
      </c>
      <c r="C58" s="239">
        <v>110</v>
      </c>
      <c r="D58" s="239">
        <v>16</v>
      </c>
      <c r="E58" s="239">
        <f t="shared" si="6"/>
        <v>-94</v>
      </c>
      <c r="F58" s="238">
        <f t="shared" si="7"/>
        <v>-0.8545454545454545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12953846</v>
      </c>
      <c r="D59" s="243">
        <f>+D50+D52</f>
        <v>3928773</v>
      </c>
      <c r="E59" s="243">
        <f t="shared" si="6"/>
        <v>-9025073</v>
      </c>
      <c r="F59" s="244">
        <f t="shared" si="7"/>
        <v>-0.69670991920083036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2662748</v>
      </c>
      <c r="D60" s="243">
        <f>+D51+D53</f>
        <v>762719</v>
      </c>
      <c r="E60" s="243">
        <f t="shared" si="6"/>
        <v>-1900029</v>
      </c>
      <c r="F60" s="244">
        <f t="shared" si="7"/>
        <v>-0.71355945061267534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447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448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449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385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384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450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451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452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3052045</v>
      </c>
      <c r="D98" s="237">
        <v>945104</v>
      </c>
      <c r="E98" s="237">
        <f t="shared" ref="E98:E108" si="14">D98-C98</f>
        <v>-2106941</v>
      </c>
      <c r="F98" s="238">
        <f t="shared" ref="F98:F108" si="15">IF(C98=0,0,E98/C98)</f>
        <v>-0.69033746225891168</v>
      </c>
    </row>
    <row r="99" spans="1:7" ht="20.25" customHeight="1" x14ac:dyDescent="0.3">
      <c r="A99" s="235">
        <v>2</v>
      </c>
      <c r="B99" s="236" t="s">
        <v>447</v>
      </c>
      <c r="C99" s="237">
        <v>881818</v>
      </c>
      <c r="D99" s="237">
        <v>193547</v>
      </c>
      <c r="E99" s="237">
        <f t="shared" si="14"/>
        <v>-688271</v>
      </c>
      <c r="F99" s="238">
        <f t="shared" si="15"/>
        <v>-0.78051366608529194</v>
      </c>
    </row>
    <row r="100" spans="1:7" ht="20.25" customHeight="1" x14ac:dyDescent="0.3">
      <c r="A100" s="235">
        <v>3</v>
      </c>
      <c r="B100" s="236" t="s">
        <v>448</v>
      </c>
      <c r="C100" s="237">
        <v>3601922</v>
      </c>
      <c r="D100" s="237">
        <v>827532</v>
      </c>
      <c r="E100" s="237">
        <f t="shared" si="14"/>
        <v>-2774390</v>
      </c>
      <c r="F100" s="238">
        <f t="shared" si="15"/>
        <v>-0.77025265955231681</v>
      </c>
    </row>
    <row r="101" spans="1:7" ht="20.25" customHeight="1" x14ac:dyDescent="0.3">
      <c r="A101" s="235">
        <v>4</v>
      </c>
      <c r="B101" s="236" t="s">
        <v>449</v>
      </c>
      <c r="C101" s="237">
        <v>846538</v>
      </c>
      <c r="D101" s="237">
        <v>182945</v>
      </c>
      <c r="E101" s="237">
        <f t="shared" si="14"/>
        <v>-663593</v>
      </c>
      <c r="F101" s="238">
        <f t="shared" si="15"/>
        <v>-0.78389038649180542</v>
      </c>
    </row>
    <row r="102" spans="1:7" ht="20.25" customHeight="1" x14ac:dyDescent="0.3">
      <c r="A102" s="235">
        <v>5</v>
      </c>
      <c r="B102" s="236" t="s">
        <v>385</v>
      </c>
      <c r="C102" s="239">
        <v>206</v>
      </c>
      <c r="D102" s="239">
        <v>47</v>
      </c>
      <c r="E102" s="239">
        <f t="shared" si="14"/>
        <v>-159</v>
      </c>
      <c r="F102" s="238">
        <f t="shared" si="15"/>
        <v>-0.77184466019417475</v>
      </c>
    </row>
    <row r="103" spans="1:7" ht="20.25" customHeight="1" x14ac:dyDescent="0.3">
      <c r="A103" s="235">
        <v>6</v>
      </c>
      <c r="B103" s="236" t="s">
        <v>384</v>
      </c>
      <c r="C103" s="239">
        <v>558</v>
      </c>
      <c r="D103" s="239">
        <v>153</v>
      </c>
      <c r="E103" s="239">
        <f t="shared" si="14"/>
        <v>-405</v>
      </c>
      <c r="F103" s="238">
        <f t="shared" si="15"/>
        <v>-0.72580645161290325</v>
      </c>
    </row>
    <row r="104" spans="1:7" ht="20.25" customHeight="1" x14ac:dyDescent="0.3">
      <c r="A104" s="235">
        <v>7</v>
      </c>
      <c r="B104" s="236" t="s">
        <v>450</v>
      </c>
      <c r="C104" s="239">
        <v>1829</v>
      </c>
      <c r="D104" s="239">
        <v>372</v>
      </c>
      <c r="E104" s="239">
        <f t="shared" si="14"/>
        <v>-1457</v>
      </c>
      <c r="F104" s="238">
        <f t="shared" si="15"/>
        <v>-0.79661016949152541</v>
      </c>
    </row>
    <row r="105" spans="1:7" ht="20.25" customHeight="1" x14ac:dyDescent="0.3">
      <c r="A105" s="235">
        <v>8</v>
      </c>
      <c r="B105" s="236" t="s">
        <v>451</v>
      </c>
      <c r="C105" s="239">
        <v>899</v>
      </c>
      <c r="D105" s="239">
        <v>191</v>
      </c>
      <c r="E105" s="239">
        <f t="shared" si="14"/>
        <v>-708</v>
      </c>
      <c r="F105" s="238">
        <f t="shared" si="15"/>
        <v>-0.78754171301446052</v>
      </c>
    </row>
    <row r="106" spans="1:7" ht="20.25" customHeight="1" x14ac:dyDescent="0.3">
      <c r="A106" s="235">
        <v>9</v>
      </c>
      <c r="B106" s="236" t="s">
        <v>452</v>
      </c>
      <c r="C106" s="239">
        <v>57</v>
      </c>
      <c r="D106" s="239">
        <v>23</v>
      </c>
      <c r="E106" s="239">
        <f t="shared" si="14"/>
        <v>-34</v>
      </c>
      <c r="F106" s="238">
        <f t="shared" si="15"/>
        <v>-0.59649122807017541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6653967</v>
      </c>
      <c r="D107" s="243">
        <f>+D98+D100</f>
        <v>1772636</v>
      </c>
      <c r="E107" s="243">
        <f t="shared" si="14"/>
        <v>-4881331</v>
      </c>
      <c r="F107" s="244">
        <f t="shared" si="15"/>
        <v>-0.73359711582579235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1728356</v>
      </c>
      <c r="D108" s="243">
        <f>+D99+D101</f>
        <v>376492</v>
      </c>
      <c r="E108" s="243">
        <f t="shared" si="14"/>
        <v>-1351864</v>
      </c>
      <c r="F108" s="244">
        <f t="shared" si="15"/>
        <v>-0.7821675627012028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23107142</v>
      </c>
      <c r="D112" s="243">
        <f t="shared" si="16"/>
        <v>5229953</v>
      </c>
      <c r="E112" s="243">
        <f t="shared" ref="E112:E122" si="17">D112-C112</f>
        <v>-17877189</v>
      </c>
      <c r="F112" s="244">
        <f t="shared" ref="F112:F122" si="18">IF(C112=0,0,E112/C112)</f>
        <v>-0.77366508588556737</v>
      </c>
    </row>
    <row r="113" spans="1:6" ht="20.25" customHeight="1" x14ac:dyDescent="0.3">
      <c r="A113" s="249"/>
      <c r="B113" s="250" t="s">
        <v>473</v>
      </c>
      <c r="C113" s="243">
        <f t="shared" si="16"/>
        <v>5516057</v>
      </c>
      <c r="D113" s="243">
        <f t="shared" si="16"/>
        <v>1092487</v>
      </c>
      <c r="E113" s="243">
        <f t="shared" si="17"/>
        <v>-4423570</v>
      </c>
      <c r="F113" s="244">
        <f t="shared" si="18"/>
        <v>-0.80194421486217415</v>
      </c>
    </row>
    <row r="114" spans="1:6" ht="20.25" customHeight="1" x14ac:dyDescent="0.3">
      <c r="A114" s="249"/>
      <c r="B114" s="250" t="s">
        <v>474</v>
      </c>
      <c r="C114" s="243">
        <f t="shared" si="16"/>
        <v>26287453</v>
      </c>
      <c r="D114" s="243">
        <f t="shared" si="16"/>
        <v>6539229</v>
      </c>
      <c r="E114" s="243">
        <f t="shared" si="17"/>
        <v>-19748224</v>
      </c>
      <c r="F114" s="244">
        <f t="shared" si="18"/>
        <v>-0.75124143826334178</v>
      </c>
    </row>
    <row r="115" spans="1:6" ht="20.25" customHeight="1" x14ac:dyDescent="0.3">
      <c r="A115" s="249"/>
      <c r="B115" s="250" t="s">
        <v>475</v>
      </c>
      <c r="C115" s="243">
        <f t="shared" si="16"/>
        <v>6462244</v>
      </c>
      <c r="D115" s="243">
        <f t="shared" si="16"/>
        <v>1267215</v>
      </c>
      <c r="E115" s="243">
        <f t="shared" si="17"/>
        <v>-5195029</v>
      </c>
      <c r="F115" s="244">
        <f t="shared" si="18"/>
        <v>-0.80390480458490887</v>
      </c>
    </row>
    <row r="116" spans="1:6" ht="20.25" customHeight="1" x14ac:dyDescent="0.3">
      <c r="A116" s="249"/>
      <c r="B116" s="250" t="s">
        <v>476</v>
      </c>
      <c r="C116" s="252">
        <f t="shared" si="16"/>
        <v>1311</v>
      </c>
      <c r="D116" s="252">
        <f t="shared" si="16"/>
        <v>244</v>
      </c>
      <c r="E116" s="252">
        <f t="shared" si="17"/>
        <v>-1067</v>
      </c>
      <c r="F116" s="244">
        <f t="shared" si="18"/>
        <v>-0.81388253241800157</v>
      </c>
    </row>
    <row r="117" spans="1:6" ht="20.25" customHeight="1" x14ac:dyDescent="0.3">
      <c r="A117" s="249"/>
      <c r="B117" s="250" t="s">
        <v>477</v>
      </c>
      <c r="C117" s="252">
        <f t="shared" si="16"/>
        <v>4078</v>
      </c>
      <c r="D117" s="252">
        <f t="shared" si="16"/>
        <v>794</v>
      </c>
      <c r="E117" s="252">
        <f t="shared" si="17"/>
        <v>-3284</v>
      </c>
      <c r="F117" s="244">
        <f t="shared" si="18"/>
        <v>-0.80529671407552716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15648</v>
      </c>
      <c r="D118" s="252">
        <f t="shared" si="16"/>
        <v>3591</v>
      </c>
      <c r="E118" s="252">
        <f t="shared" si="17"/>
        <v>-12057</v>
      </c>
      <c r="F118" s="244">
        <f t="shared" si="18"/>
        <v>-0.77051380368098155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6212</v>
      </c>
      <c r="D119" s="252">
        <f t="shared" si="16"/>
        <v>1526</v>
      </c>
      <c r="E119" s="252">
        <f t="shared" si="17"/>
        <v>-4686</v>
      </c>
      <c r="F119" s="244">
        <f t="shared" si="18"/>
        <v>-0.7543464262717321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429</v>
      </c>
      <c r="D120" s="252">
        <f t="shared" si="16"/>
        <v>94</v>
      </c>
      <c r="E120" s="252">
        <f t="shared" si="17"/>
        <v>-335</v>
      </c>
      <c r="F120" s="244">
        <f t="shared" si="18"/>
        <v>-0.78088578088578087</v>
      </c>
    </row>
    <row r="121" spans="1:6" ht="39.950000000000003" customHeight="1" x14ac:dyDescent="0.3">
      <c r="A121" s="249"/>
      <c r="B121" s="242" t="s">
        <v>453</v>
      </c>
      <c r="C121" s="243">
        <f>+C112+C114</f>
        <v>49394595</v>
      </c>
      <c r="D121" s="243">
        <f>+D112+D114</f>
        <v>11769182</v>
      </c>
      <c r="E121" s="243">
        <f t="shared" si="17"/>
        <v>-37625413</v>
      </c>
      <c r="F121" s="244">
        <f t="shared" si="18"/>
        <v>-0.76173137971877292</v>
      </c>
    </row>
    <row r="122" spans="1:6" ht="39.950000000000003" customHeight="1" x14ac:dyDescent="0.3">
      <c r="A122" s="249"/>
      <c r="B122" s="242" t="s">
        <v>482</v>
      </c>
      <c r="C122" s="243">
        <f>+C113+C115</f>
        <v>11978301</v>
      </c>
      <c r="D122" s="243">
        <f>+D113+D115</f>
        <v>2359702</v>
      </c>
      <c r="E122" s="243">
        <f t="shared" si="17"/>
        <v>-9618599</v>
      </c>
      <c r="F122" s="244">
        <f t="shared" si="18"/>
        <v>-0.80300194493359278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FILING&amp;RNORWALK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77594791</v>
      </c>
      <c r="D13" s="23">
        <v>85492679</v>
      </c>
      <c r="E13" s="23">
        <f t="shared" ref="E13:E22" si="0">D13-C13</f>
        <v>7897888</v>
      </c>
      <c r="F13" s="24">
        <f t="shared" ref="F13:F22" si="1">IF(C13=0,0,E13/C13)</f>
        <v>0.10178373958117884</v>
      </c>
    </row>
    <row r="14" spans="1:8" ht="24" customHeight="1" x14ac:dyDescent="0.2">
      <c r="A14" s="21">
        <v>2</v>
      </c>
      <c r="B14" s="22" t="s">
        <v>17</v>
      </c>
      <c r="C14" s="23">
        <v>38584167</v>
      </c>
      <c r="D14" s="23">
        <v>45487085</v>
      </c>
      <c r="E14" s="23">
        <f t="shared" si="0"/>
        <v>6902918</v>
      </c>
      <c r="F14" s="24">
        <f t="shared" si="1"/>
        <v>0.17890545621990492</v>
      </c>
    </row>
    <row r="15" spans="1:8" ht="35.1" customHeight="1" x14ac:dyDescent="0.2">
      <c r="A15" s="21">
        <v>3</v>
      </c>
      <c r="B15" s="22" t="s">
        <v>18</v>
      </c>
      <c r="C15" s="23">
        <v>38601542</v>
      </c>
      <c r="D15" s="23">
        <v>32330519</v>
      </c>
      <c r="E15" s="23">
        <f t="shared" si="0"/>
        <v>-6271023</v>
      </c>
      <c r="F15" s="24">
        <f t="shared" si="1"/>
        <v>-0.16245524595882724</v>
      </c>
    </row>
    <row r="16" spans="1:8" ht="35.1" customHeight="1" x14ac:dyDescent="0.2">
      <c r="A16" s="21">
        <v>4</v>
      </c>
      <c r="B16" s="22" t="s">
        <v>19</v>
      </c>
      <c r="C16" s="23">
        <v>686510</v>
      </c>
      <c r="D16" s="23">
        <v>278083</v>
      </c>
      <c r="E16" s="23">
        <f t="shared" si="0"/>
        <v>-408427</v>
      </c>
      <c r="F16" s="24">
        <f t="shared" si="1"/>
        <v>-0.59493233893169806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81421</v>
      </c>
      <c r="D18" s="23">
        <v>2368715</v>
      </c>
      <c r="E18" s="23">
        <f t="shared" si="0"/>
        <v>2287294</v>
      </c>
      <c r="F18" s="24">
        <f t="shared" si="1"/>
        <v>28.092187519190382</v>
      </c>
    </row>
    <row r="19" spans="1:11" ht="24" customHeight="1" x14ac:dyDescent="0.2">
      <c r="A19" s="21">
        <v>7</v>
      </c>
      <c r="B19" s="22" t="s">
        <v>22</v>
      </c>
      <c r="C19" s="23">
        <v>2296832</v>
      </c>
      <c r="D19" s="23">
        <v>2568063</v>
      </c>
      <c r="E19" s="23">
        <f t="shared" si="0"/>
        <v>271231</v>
      </c>
      <c r="F19" s="24">
        <f t="shared" si="1"/>
        <v>0.11808917674431565</v>
      </c>
    </row>
    <row r="20" spans="1:11" ht="24" customHeight="1" x14ac:dyDescent="0.2">
      <c r="A20" s="21">
        <v>8</v>
      </c>
      <c r="B20" s="22" t="s">
        <v>23</v>
      </c>
      <c r="C20" s="23">
        <v>2698590</v>
      </c>
      <c r="D20" s="23">
        <v>2373762</v>
      </c>
      <c r="E20" s="23">
        <f t="shared" si="0"/>
        <v>-324828</v>
      </c>
      <c r="F20" s="24">
        <f t="shared" si="1"/>
        <v>-0.12036952630818316</v>
      </c>
    </row>
    <row r="21" spans="1:11" ht="24" customHeight="1" x14ac:dyDescent="0.2">
      <c r="A21" s="21">
        <v>9</v>
      </c>
      <c r="B21" s="22" t="s">
        <v>24</v>
      </c>
      <c r="C21" s="23">
        <v>2452789</v>
      </c>
      <c r="D21" s="23">
        <v>4508486</v>
      </c>
      <c r="E21" s="23">
        <f t="shared" si="0"/>
        <v>2055697</v>
      </c>
      <c r="F21" s="24">
        <f t="shared" si="1"/>
        <v>0.83810592757876845</v>
      </c>
    </row>
    <row r="22" spans="1:11" ht="24" customHeight="1" x14ac:dyDescent="0.25">
      <c r="A22" s="25"/>
      <c r="B22" s="26" t="s">
        <v>25</v>
      </c>
      <c r="C22" s="27">
        <f>SUM(C13:C21)</f>
        <v>162996642</v>
      </c>
      <c r="D22" s="27">
        <f>SUM(D13:D21)</f>
        <v>175407392</v>
      </c>
      <c r="E22" s="27">
        <f t="shared" si="0"/>
        <v>12410750</v>
      </c>
      <c r="F22" s="28">
        <f t="shared" si="1"/>
        <v>7.6141139153038509E-2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16662446</v>
      </c>
      <c r="D25" s="23">
        <v>2366125</v>
      </c>
      <c r="E25" s="23">
        <f>D25-C25</f>
        <v>-14296321</v>
      </c>
      <c r="F25" s="24">
        <f>IF(C25=0,0,E25/C25)</f>
        <v>-0.85799653904354733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4567394</v>
      </c>
      <c r="D28" s="23">
        <v>2450281</v>
      </c>
      <c r="E28" s="23">
        <f>D28-C28</f>
        <v>-2117113</v>
      </c>
      <c r="F28" s="24">
        <f>IF(C28=0,0,E28/C28)</f>
        <v>-0.46352756079287227</v>
      </c>
    </row>
    <row r="29" spans="1:11" ht="35.1" customHeight="1" x14ac:dyDescent="0.25">
      <c r="A29" s="25"/>
      <c r="B29" s="26" t="s">
        <v>32</v>
      </c>
      <c r="C29" s="27">
        <f>SUM(C25:C28)</f>
        <v>21229840</v>
      </c>
      <c r="D29" s="27">
        <f>SUM(D25:D28)</f>
        <v>4816406</v>
      </c>
      <c r="E29" s="27">
        <f>D29-C29</f>
        <v>-16413434</v>
      </c>
      <c r="F29" s="28">
        <f>IF(C29=0,0,E29/C29)</f>
        <v>-0.77313036744506791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75128737</v>
      </c>
      <c r="D32" s="23">
        <v>104476656</v>
      </c>
      <c r="E32" s="23">
        <f>D32-C32</f>
        <v>29347919</v>
      </c>
      <c r="F32" s="24">
        <f>IF(C32=0,0,E32/C32)</f>
        <v>0.39063506418322991</v>
      </c>
    </row>
    <row r="33" spans="1:8" ht="24" customHeight="1" x14ac:dyDescent="0.2">
      <c r="A33" s="21">
        <v>7</v>
      </c>
      <c r="B33" s="22" t="s">
        <v>35</v>
      </c>
      <c r="C33" s="23">
        <v>42632111</v>
      </c>
      <c r="D33" s="23">
        <v>59332269</v>
      </c>
      <c r="E33" s="23">
        <f>D33-C33</f>
        <v>16700158</v>
      </c>
      <c r="F33" s="24">
        <f>IF(C33=0,0,E33/C33)</f>
        <v>0.39172721238223462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385416737</v>
      </c>
      <c r="D36" s="23">
        <v>424678503</v>
      </c>
      <c r="E36" s="23">
        <f>D36-C36</f>
        <v>39261766</v>
      </c>
      <c r="F36" s="24">
        <f>IF(C36=0,0,E36/C36)</f>
        <v>0.10186834724824106</v>
      </c>
    </row>
    <row r="37" spans="1:8" ht="24" customHeight="1" x14ac:dyDescent="0.2">
      <c r="A37" s="21">
        <v>2</v>
      </c>
      <c r="B37" s="22" t="s">
        <v>39</v>
      </c>
      <c r="C37" s="23">
        <v>278652974</v>
      </c>
      <c r="D37" s="23">
        <v>293885243</v>
      </c>
      <c r="E37" s="23">
        <f>D37-C37</f>
        <v>15232269</v>
      </c>
      <c r="F37" s="23">
        <f>IF(C37=0,0,E37/C37)</f>
        <v>5.4663938379498511E-2</v>
      </c>
    </row>
    <row r="38" spans="1:8" ht="24" customHeight="1" x14ac:dyDescent="0.25">
      <c r="A38" s="25"/>
      <c r="B38" s="26" t="s">
        <v>40</v>
      </c>
      <c r="C38" s="27">
        <f>C36-C37</f>
        <v>106763763</v>
      </c>
      <c r="D38" s="27">
        <f>D36-D37</f>
        <v>130793260</v>
      </c>
      <c r="E38" s="27">
        <f>D38-C38</f>
        <v>24029497</v>
      </c>
      <c r="F38" s="28">
        <f>IF(C38=0,0,E38/C38)</f>
        <v>0.22507165656946729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22713647</v>
      </c>
      <c r="D40" s="23">
        <v>8602012</v>
      </c>
      <c r="E40" s="23">
        <f>D40-C40</f>
        <v>-14111635</v>
      </c>
      <c r="F40" s="24">
        <f>IF(C40=0,0,E40/C40)</f>
        <v>-0.62128441989082595</v>
      </c>
    </row>
    <row r="41" spans="1:8" ht="24" customHeight="1" x14ac:dyDescent="0.25">
      <c r="A41" s="25"/>
      <c r="B41" s="26" t="s">
        <v>42</v>
      </c>
      <c r="C41" s="27">
        <f>+C38+C40</f>
        <v>129477410</v>
      </c>
      <c r="D41" s="27">
        <f>+D38+D40</f>
        <v>139395272</v>
      </c>
      <c r="E41" s="27">
        <f>D41-C41</f>
        <v>9917862</v>
      </c>
      <c r="F41" s="28">
        <f>IF(C41=0,0,E41/C41)</f>
        <v>7.6599168920663457E-2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431464740</v>
      </c>
      <c r="D43" s="27">
        <f>D22+D29+D31+D32+D33+D41</f>
        <v>483427995</v>
      </c>
      <c r="E43" s="27">
        <f>D43-C43</f>
        <v>51963255</v>
      </c>
      <c r="F43" s="28">
        <f>IF(C43=0,0,E43/C43)</f>
        <v>0.1204345342333188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28263882</v>
      </c>
      <c r="D49" s="23">
        <v>27132332</v>
      </c>
      <c r="E49" s="23">
        <f t="shared" ref="E49:E56" si="2">D49-C49</f>
        <v>-1131550</v>
      </c>
      <c r="F49" s="24">
        <f t="shared" ref="F49:F56" si="3">IF(C49=0,0,E49/C49)</f>
        <v>-4.0035194033148029E-2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20097511</v>
      </c>
      <c r="D50" s="23">
        <v>20982422</v>
      </c>
      <c r="E50" s="23">
        <f t="shared" si="2"/>
        <v>884911</v>
      </c>
      <c r="F50" s="24">
        <f t="shared" si="3"/>
        <v>4.4030875266096385E-2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4640299</v>
      </c>
      <c r="D51" s="23">
        <v>5022080</v>
      </c>
      <c r="E51" s="23">
        <f t="shared" si="2"/>
        <v>381781</v>
      </c>
      <c r="F51" s="24">
        <f t="shared" si="3"/>
        <v>8.2275086152853519E-2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11522966</v>
      </c>
      <c r="D53" s="23">
        <v>3820000</v>
      </c>
      <c r="E53" s="23">
        <f t="shared" si="2"/>
        <v>-7702966</v>
      </c>
      <c r="F53" s="24">
        <f t="shared" si="3"/>
        <v>-0.66848813057332634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1169597</v>
      </c>
      <c r="D54" s="23">
        <v>1854419</v>
      </c>
      <c r="E54" s="23">
        <f t="shared" si="2"/>
        <v>684822</v>
      </c>
      <c r="F54" s="24">
        <f t="shared" si="3"/>
        <v>0.58551962770082344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1887837</v>
      </c>
      <c r="D55" s="23">
        <v>1056636</v>
      </c>
      <c r="E55" s="23">
        <f t="shared" si="2"/>
        <v>-831201</v>
      </c>
      <c r="F55" s="24">
        <f t="shared" si="3"/>
        <v>-0.44029277951433304</v>
      </c>
    </row>
    <row r="56" spans="1:6" ht="24" customHeight="1" x14ac:dyDescent="0.25">
      <c r="A56" s="25"/>
      <c r="B56" s="26" t="s">
        <v>54</v>
      </c>
      <c r="C56" s="27">
        <f>SUM(C49:C55)</f>
        <v>67582092</v>
      </c>
      <c r="D56" s="27">
        <f>SUM(D49:D55)</f>
        <v>59867889</v>
      </c>
      <c r="E56" s="27">
        <f t="shared" si="2"/>
        <v>-7714203</v>
      </c>
      <c r="F56" s="28">
        <f t="shared" si="3"/>
        <v>-0.11414566746468872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52395000</v>
      </c>
      <c r="D59" s="23">
        <v>48574999</v>
      </c>
      <c r="E59" s="23">
        <f>D59-C59</f>
        <v>-3820001</v>
      </c>
      <c r="F59" s="24">
        <f>IF(C59=0,0,E59/C59)</f>
        <v>-7.2907739288100015E-2</v>
      </c>
    </row>
    <row r="60" spans="1:6" ht="24" customHeight="1" x14ac:dyDescent="0.2">
      <c r="A60" s="21">
        <v>2</v>
      </c>
      <c r="B60" s="22" t="s">
        <v>57</v>
      </c>
      <c r="C60" s="23">
        <v>9322853</v>
      </c>
      <c r="D60" s="23">
        <v>7521400</v>
      </c>
      <c r="E60" s="23">
        <f>D60-C60</f>
        <v>-1801453</v>
      </c>
      <c r="F60" s="24">
        <f>IF(C60=0,0,E60/C60)</f>
        <v>-0.19322979778829508</v>
      </c>
    </row>
    <row r="61" spans="1:6" ht="24" customHeight="1" x14ac:dyDescent="0.25">
      <c r="A61" s="25"/>
      <c r="B61" s="26" t="s">
        <v>58</v>
      </c>
      <c r="C61" s="27">
        <f>SUM(C59:C60)</f>
        <v>61717853</v>
      </c>
      <c r="D61" s="27">
        <f>SUM(D59:D60)</f>
        <v>56096399</v>
      </c>
      <c r="E61" s="27">
        <f>D61-C61</f>
        <v>-5621454</v>
      </c>
      <c r="F61" s="28">
        <f>IF(C61=0,0,E61/C61)</f>
        <v>-9.108311010105942E-2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60019814</v>
      </c>
      <c r="D63" s="23">
        <v>64741651</v>
      </c>
      <c r="E63" s="23">
        <f>D63-C63</f>
        <v>4721837</v>
      </c>
      <c r="F63" s="24">
        <f>IF(C63=0,0,E63/C63)</f>
        <v>7.8671303446558496E-2</v>
      </c>
    </row>
    <row r="64" spans="1:6" ht="24" customHeight="1" x14ac:dyDescent="0.2">
      <c r="A64" s="21">
        <v>4</v>
      </c>
      <c r="B64" s="22" t="s">
        <v>60</v>
      </c>
      <c r="C64" s="23">
        <v>72225284</v>
      </c>
      <c r="D64" s="23">
        <v>98583332</v>
      </c>
      <c r="E64" s="23">
        <f>D64-C64</f>
        <v>26358048</v>
      </c>
      <c r="F64" s="24">
        <f>IF(C64=0,0,E64/C64)</f>
        <v>0.36494211639237029</v>
      </c>
    </row>
    <row r="65" spans="1:6" ht="24" customHeight="1" x14ac:dyDescent="0.25">
      <c r="A65" s="25"/>
      <c r="B65" s="26" t="s">
        <v>61</v>
      </c>
      <c r="C65" s="27">
        <f>SUM(C61:C64)</f>
        <v>193962951</v>
      </c>
      <c r="D65" s="27">
        <f>SUM(D61:D64)</f>
        <v>219421382</v>
      </c>
      <c r="E65" s="27">
        <f>D65-C65</f>
        <v>25458431</v>
      </c>
      <c r="F65" s="28">
        <f>IF(C65=0,0,E65/C65)</f>
        <v>0.13125409192191553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126940368</v>
      </c>
      <c r="D70" s="23">
        <v>147589726</v>
      </c>
      <c r="E70" s="23">
        <f>D70-C70</f>
        <v>20649358</v>
      </c>
      <c r="F70" s="24">
        <f>IF(C70=0,0,E70/C70)</f>
        <v>0.16266975057138641</v>
      </c>
    </row>
    <row r="71" spans="1:6" ht="24" customHeight="1" x14ac:dyDescent="0.2">
      <c r="A71" s="21">
        <v>2</v>
      </c>
      <c r="B71" s="22" t="s">
        <v>65</v>
      </c>
      <c r="C71" s="23">
        <v>33540087</v>
      </c>
      <c r="D71" s="23">
        <v>47103146</v>
      </c>
      <c r="E71" s="23">
        <f>D71-C71</f>
        <v>13563059</v>
      </c>
      <c r="F71" s="24">
        <f>IF(C71=0,0,E71/C71)</f>
        <v>0.40438353663185189</v>
      </c>
    </row>
    <row r="72" spans="1:6" ht="24" customHeight="1" x14ac:dyDescent="0.2">
      <c r="A72" s="21">
        <v>3</v>
      </c>
      <c r="B72" s="22" t="s">
        <v>66</v>
      </c>
      <c r="C72" s="23">
        <v>9439242</v>
      </c>
      <c r="D72" s="23">
        <v>9445852</v>
      </c>
      <c r="E72" s="23">
        <f>D72-C72</f>
        <v>6610</v>
      </c>
      <c r="F72" s="24">
        <f>IF(C72=0,0,E72/C72)</f>
        <v>7.002680935609025E-4</v>
      </c>
    </row>
    <row r="73" spans="1:6" ht="24" customHeight="1" x14ac:dyDescent="0.25">
      <c r="A73" s="21"/>
      <c r="B73" s="26" t="s">
        <v>67</v>
      </c>
      <c r="C73" s="27">
        <f>SUM(C70:C72)</f>
        <v>169919697</v>
      </c>
      <c r="D73" s="27">
        <f>SUM(D70:D72)</f>
        <v>204138724</v>
      </c>
      <c r="E73" s="27">
        <f>D73-C73</f>
        <v>34219027</v>
      </c>
      <c r="F73" s="28">
        <f>IF(C73=0,0,E73/C73)</f>
        <v>0.20138352177028659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431464740</v>
      </c>
      <c r="D75" s="27">
        <f>D56+D65+D67+D73</f>
        <v>483427995</v>
      </c>
      <c r="E75" s="27">
        <f>D75-C75</f>
        <v>51963255</v>
      </c>
      <c r="F75" s="28">
        <f>IF(C75=0,0,E75/C75)</f>
        <v>0.1204345342333188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FILING&amp;RNORWALK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882784404</v>
      </c>
      <c r="D12" s="51">
        <v>961852662</v>
      </c>
      <c r="E12" s="51">
        <f t="shared" ref="E12:E19" si="0">D12-C12</f>
        <v>79068258</v>
      </c>
      <c r="F12" s="70">
        <f t="shared" ref="F12:F19" si="1">IF(C12=0,0,E12/C12)</f>
        <v>8.9566894976545144E-2</v>
      </c>
    </row>
    <row r="13" spans="1:8" ht="23.1" customHeight="1" x14ac:dyDescent="0.2">
      <c r="A13" s="25">
        <v>2</v>
      </c>
      <c r="B13" s="48" t="s">
        <v>72</v>
      </c>
      <c r="C13" s="51">
        <v>490474522</v>
      </c>
      <c r="D13" s="51">
        <v>555261117</v>
      </c>
      <c r="E13" s="51">
        <f t="shared" si="0"/>
        <v>64786595</v>
      </c>
      <c r="F13" s="70">
        <f t="shared" si="1"/>
        <v>0.13208962360740117</v>
      </c>
    </row>
    <row r="14" spans="1:8" ht="23.1" customHeight="1" x14ac:dyDescent="0.2">
      <c r="A14" s="25">
        <v>3</v>
      </c>
      <c r="B14" s="48" t="s">
        <v>73</v>
      </c>
      <c r="C14" s="51">
        <v>17327000</v>
      </c>
      <c r="D14" s="51">
        <v>17929000</v>
      </c>
      <c r="E14" s="51">
        <f t="shared" si="0"/>
        <v>602000</v>
      </c>
      <c r="F14" s="70">
        <f t="shared" si="1"/>
        <v>3.4743463957984645E-2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374982882</v>
      </c>
      <c r="D16" s="27">
        <f>D12-D13-D14-D15</f>
        <v>388662545</v>
      </c>
      <c r="E16" s="27">
        <f t="shared" si="0"/>
        <v>13679663</v>
      </c>
      <c r="F16" s="28">
        <f t="shared" si="1"/>
        <v>3.6480766607367425E-2</v>
      </c>
    </row>
    <row r="17" spans="1:7" ht="23.1" customHeight="1" x14ac:dyDescent="0.2">
      <c r="A17" s="25">
        <v>5</v>
      </c>
      <c r="B17" s="48" t="s">
        <v>76</v>
      </c>
      <c r="C17" s="51">
        <v>20756420</v>
      </c>
      <c r="D17" s="51">
        <v>18207098</v>
      </c>
      <c r="E17" s="51">
        <f t="shared" si="0"/>
        <v>-2549322</v>
      </c>
      <c r="F17" s="70">
        <f t="shared" si="1"/>
        <v>-0.12282089107851932</v>
      </c>
      <c r="G17" s="64"/>
    </row>
    <row r="18" spans="1:7" ht="33" customHeight="1" x14ac:dyDescent="0.2">
      <c r="A18" s="25">
        <v>6</v>
      </c>
      <c r="B18" s="45" t="s">
        <v>77</v>
      </c>
      <c r="C18" s="51">
        <v>2634499</v>
      </c>
      <c r="D18" s="51">
        <v>5341417</v>
      </c>
      <c r="E18" s="51">
        <f t="shared" si="0"/>
        <v>2706918</v>
      </c>
      <c r="F18" s="70">
        <f t="shared" si="1"/>
        <v>1.0274887179687675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398373801</v>
      </c>
      <c r="D19" s="27">
        <f>SUM(D16:D18)</f>
        <v>412211060</v>
      </c>
      <c r="E19" s="27">
        <f t="shared" si="0"/>
        <v>13837259</v>
      </c>
      <c r="F19" s="28">
        <f t="shared" si="1"/>
        <v>3.4734359953555276E-2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155446543</v>
      </c>
      <c r="D22" s="51">
        <v>157810131</v>
      </c>
      <c r="E22" s="51">
        <f t="shared" ref="E22:E31" si="2">D22-C22</f>
        <v>2363588</v>
      </c>
      <c r="F22" s="70">
        <f t="shared" ref="F22:F31" si="3">IF(C22=0,0,E22/C22)</f>
        <v>1.5205149978793674E-2</v>
      </c>
    </row>
    <row r="23" spans="1:7" ht="23.1" customHeight="1" x14ac:dyDescent="0.2">
      <c r="A23" s="25">
        <v>2</v>
      </c>
      <c r="B23" s="48" t="s">
        <v>81</v>
      </c>
      <c r="C23" s="51">
        <v>48287799</v>
      </c>
      <c r="D23" s="51">
        <v>52400162</v>
      </c>
      <c r="E23" s="51">
        <f t="shared" si="2"/>
        <v>4112363</v>
      </c>
      <c r="F23" s="70">
        <f t="shared" si="3"/>
        <v>8.516360416427346E-2</v>
      </c>
    </row>
    <row r="24" spans="1:7" ht="23.1" customHeight="1" x14ac:dyDescent="0.2">
      <c r="A24" s="25">
        <v>3</v>
      </c>
      <c r="B24" s="48" t="s">
        <v>82</v>
      </c>
      <c r="C24" s="51">
        <v>6365516</v>
      </c>
      <c r="D24" s="51">
        <v>8163443</v>
      </c>
      <c r="E24" s="51">
        <f t="shared" si="2"/>
        <v>1797927</v>
      </c>
      <c r="F24" s="70">
        <f t="shared" si="3"/>
        <v>0.28244795865724004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37858591</v>
      </c>
      <c r="D25" s="51">
        <v>38780255</v>
      </c>
      <c r="E25" s="51">
        <f t="shared" si="2"/>
        <v>921664</v>
      </c>
      <c r="F25" s="70">
        <f t="shared" si="3"/>
        <v>2.4344910247716296E-2</v>
      </c>
    </row>
    <row r="26" spans="1:7" ht="23.1" customHeight="1" x14ac:dyDescent="0.2">
      <c r="A26" s="25">
        <v>5</v>
      </c>
      <c r="B26" s="48" t="s">
        <v>84</v>
      </c>
      <c r="C26" s="51">
        <v>19689489</v>
      </c>
      <c r="D26" s="51">
        <v>20774884</v>
      </c>
      <c r="E26" s="51">
        <f t="shared" si="2"/>
        <v>1085395</v>
      </c>
      <c r="F26" s="70">
        <f t="shared" si="3"/>
        <v>5.5125605342017762E-2</v>
      </c>
    </row>
    <row r="27" spans="1:7" ht="23.1" customHeight="1" x14ac:dyDescent="0.2">
      <c r="A27" s="25">
        <v>6</v>
      </c>
      <c r="B27" s="48" t="s">
        <v>85</v>
      </c>
      <c r="C27" s="51">
        <v>21118227</v>
      </c>
      <c r="D27" s="51">
        <v>22763777</v>
      </c>
      <c r="E27" s="51">
        <f t="shared" si="2"/>
        <v>1645550</v>
      </c>
      <c r="F27" s="70">
        <f t="shared" si="3"/>
        <v>7.7920840608446909E-2</v>
      </c>
    </row>
    <row r="28" spans="1:7" ht="23.1" customHeight="1" x14ac:dyDescent="0.2">
      <c r="A28" s="25">
        <v>7</v>
      </c>
      <c r="B28" s="48" t="s">
        <v>86</v>
      </c>
      <c r="C28" s="51">
        <v>1915549</v>
      </c>
      <c r="D28" s="51">
        <v>2273303</v>
      </c>
      <c r="E28" s="51">
        <f t="shared" si="2"/>
        <v>357754</v>
      </c>
      <c r="F28" s="70">
        <f t="shared" si="3"/>
        <v>0.18676316815701399</v>
      </c>
    </row>
    <row r="29" spans="1:7" ht="23.1" customHeight="1" x14ac:dyDescent="0.2">
      <c r="A29" s="25">
        <v>8</v>
      </c>
      <c r="B29" s="48" t="s">
        <v>87</v>
      </c>
      <c r="C29" s="51">
        <v>9183846</v>
      </c>
      <c r="D29" s="51">
        <v>8984043</v>
      </c>
      <c r="E29" s="51">
        <f t="shared" si="2"/>
        <v>-199803</v>
      </c>
      <c r="F29" s="70">
        <f t="shared" si="3"/>
        <v>-2.1755917945488198E-2</v>
      </c>
    </row>
    <row r="30" spans="1:7" ht="23.1" customHeight="1" x14ac:dyDescent="0.2">
      <c r="A30" s="25">
        <v>9</v>
      </c>
      <c r="B30" s="48" t="s">
        <v>88</v>
      </c>
      <c r="C30" s="51">
        <v>82883223</v>
      </c>
      <c r="D30" s="51">
        <v>80162424</v>
      </c>
      <c r="E30" s="51">
        <f t="shared" si="2"/>
        <v>-2720799</v>
      </c>
      <c r="F30" s="70">
        <f t="shared" si="3"/>
        <v>-3.2826896705018337E-2</v>
      </c>
    </row>
    <row r="31" spans="1:7" ht="23.1" customHeight="1" x14ac:dyDescent="0.25">
      <c r="A31" s="29"/>
      <c r="B31" s="71" t="s">
        <v>89</v>
      </c>
      <c r="C31" s="27">
        <f>SUM(C22:C30)</f>
        <v>382748783</v>
      </c>
      <c r="D31" s="27">
        <f>SUM(D22:D30)</f>
        <v>392112422</v>
      </c>
      <c r="E31" s="27">
        <f t="shared" si="2"/>
        <v>9363639</v>
      </c>
      <c r="F31" s="28">
        <f t="shared" si="3"/>
        <v>2.4464190131729301E-2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15625018</v>
      </c>
      <c r="D33" s="27">
        <f>+D19-D31</f>
        <v>20098638</v>
      </c>
      <c r="E33" s="27">
        <f>D33-C33</f>
        <v>4473620</v>
      </c>
      <c r="F33" s="28">
        <f>IF(C33=0,0,E33/C33)</f>
        <v>0.28631135016932463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798565</v>
      </c>
      <c r="D36" s="51">
        <v>1275016</v>
      </c>
      <c r="E36" s="51">
        <f>D36-C36</f>
        <v>476451</v>
      </c>
      <c r="F36" s="70">
        <f>IF(C36=0,0,E36/C36)</f>
        <v>0.59663396216964182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-945589</v>
      </c>
      <c r="E38" s="51">
        <f>D38-C38</f>
        <v>-945589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798565</v>
      </c>
      <c r="D39" s="27">
        <f>SUM(D36:D38)</f>
        <v>329427</v>
      </c>
      <c r="E39" s="27">
        <f>D39-C39</f>
        <v>-469138</v>
      </c>
      <c r="F39" s="28">
        <f>IF(C39=0,0,E39/C39)</f>
        <v>-0.58747628558727216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16423583</v>
      </c>
      <c r="D41" s="27">
        <f>D33+D39</f>
        <v>20428065</v>
      </c>
      <c r="E41" s="27">
        <f>D41-C41</f>
        <v>4004482</v>
      </c>
      <c r="F41" s="28">
        <f>IF(C41=0,0,E41/C41)</f>
        <v>0.24382511416662248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-2552586</v>
      </c>
      <c r="D44" s="51">
        <v>6210984</v>
      </c>
      <c r="E44" s="51">
        <f>D44-C44</f>
        <v>8763570</v>
      </c>
      <c r="F44" s="70">
        <f>IF(C44=0,0,E44/C44)</f>
        <v>-3.4332124363292755</v>
      </c>
    </row>
    <row r="45" spans="1:6" ht="23.1" customHeight="1" x14ac:dyDescent="0.2">
      <c r="A45" s="44"/>
      <c r="B45" s="48" t="s">
        <v>99</v>
      </c>
      <c r="C45" s="51">
        <v>-2272790</v>
      </c>
      <c r="D45" s="51">
        <v>-283937</v>
      </c>
      <c r="E45" s="51">
        <f>D45-C45</f>
        <v>1988853</v>
      </c>
      <c r="F45" s="70">
        <f>IF(C45=0,0,E45/C45)</f>
        <v>-0.87507116803576224</v>
      </c>
    </row>
    <row r="46" spans="1:6" ht="23.1" customHeight="1" x14ac:dyDescent="0.25">
      <c r="A46" s="20"/>
      <c r="B46" s="74" t="s">
        <v>100</v>
      </c>
      <c r="C46" s="27">
        <f>SUM(C44:C45)</f>
        <v>-4825376</v>
      </c>
      <c r="D46" s="27">
        <f>SUM(D44:D45)</f>
        <v>5927047</v>
      </c>
      <c r="E46" s="27">
        <f>D46-C46</f>
        <v>10752423</v>
      </c>
      <c r="F46" s="28">
        <f>IF(C46=0,0,E46/C46)</f>
        <v>-2.2283078044073665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11598207</v>
      </c>
      <c r="D48" s="27">
        <f>D41+D46</f>
        <v>26355112</v>
      </c>
      <c r="E48" s="27">
        <f>D48-C48</f>
        <v>14756905</v>
      </c>
      <c r="F48" s="28">
        <f>IF(C48=0,0,E48/C48)</f>
        <v>1.2723436476000127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FILING&amp;R&amp;8NORWALK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2013-09-11T13:10:12Z</cp:lastPrinted>
  <dcterms:created xsi:type="dcterms:W3CDTF">2006-08-03T13:49:12Z</dcterms:created>
  <dcterms:modified xsi:type="dcterms:W3CDTF">2013-09-12T14:59:18Z</dcterms:modified>
</cp:coreProperties>
</file>