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4" i="22"/>
  <c r="C12" i="22"/>
  <c r="C33" i="22"/>
  <c r="D21" i="21"/>
  <c r="E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15" i="19"/>
  <c r="C105" i="19"/>
  <c r="C137" i="19"/>
  <c r="C139" i="19"/>
  <c r="C143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E301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/>
  <c r="E240" i="18"/>
  <c r="C216" i="18"/>
  <c r="C240" i="18"/>
  <c r="D215" i="18"/>
  <c r="D239" i="18"/>
  <c r="E239" i="18"/>
  <c r="C215" i="18"/>
  <c r="C239" i="18"/>
  <c r="E209" i="18"/>
  <c r="E208" i="18"/>
  <c r="E207" i="18"/>
  <c r="E206" i="18"/>
  <c r="D205" i="18"/>
  <c r="D210" i="18"/>
  <c r="C205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8" i="18"/>
  <c r="D261" i="18"/>
  <c r="C188" i="18"/>
  <c r="E188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C71" i="18"/>
  <c r="D70" i="18"/>
  <c r="C70" i="18"/>
  <c r="C76" i="18"/>
  <c r="D69" i="18"/>
  <c r="C69" i="18"/>
  <c r="C77" i="18"/>
  <c r="C65" i="18"/>
  <c r="C66" i="18"/>
  <c r="E64" i="18"/>
  <c r="E63" i="18"/>
  <c r="E62" i="18"/>
  <c r="E61" i="18"/>
  <c r="D60" i="18"/>
  <c r="C60" i="18"/>
  <c r="C289" i="18"/>
  <c r="E59" i="18"/>
  <c r="E58" i="18"/>
  <c r="D54" i="18"/>
  <c r="D55" i="18"/>
  <c r="C54" i="18"/>
  <c r="E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C259" i="18"/>
  <c r="D36" i="18"/>
  <c r="D44" i="18"/>
  <c r="C36" i="18"/>
  <c r="C44" i="18"/>
  <c r="D33" i="18"/>
  <c r="D32" i="18"/>
  <c r="C32" i="18"/>
  <c r="C294" i="18"/>
  <c r="E31" i="18"/>
  <c r="E30" i="18"/>
  <c r="E29" i="18"/>
  <c r="E28" i="18"/>
  <c r="E27" i="18"/>
  <c r="E26" i="18"/>
  <c r="E25" i="18"/>
  <c r="C22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C239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C204" i="17"/>
  <c r="C285" i="17"/>
  <c r="D203" i="17"/>
  <c r="C203" i="17"/>
  <c r="C283" i="17"/>
  <c r="C199" i="17"/>
  <c r="D198" i="17"/>
  <c r="C198" i="17"/>
  <c r="D191" i="17"/>
  <c r="D280" i="17"/>
  <c r="C191" i="17"/>
  <c r="D189" i="17"/>
  <c r="D278" i="17"/>
  <c r="C189" i="17"/>
  <c r="D188" i="17"/>
  <c r="D277" i="17"/>
  <c r="C188" i="17"/>
  <c r="D180" i="17"/>
  <c r="C180" i="17"/>
  <c r="D179" i="17"/>
  <c r="D181" i="17"/>
  <c r="C179" i="17"/>
  <c r="C172" i="17"/>
  <c r="D171" i="17"/>
  <c r="D172" i="17"/>
  <c r="D173" i="17"/>
  <c r="C171" i="17"/>
  <c r="D170" i="17"/>
  <c r="C170" i="17"/>
  <c r="E169" i="17"/>
  <c r="F169" i="17"/>
  <c r="E168" i="17"/>
  <c r="F168" i="17"/>
  <c r="D165" i="17"/>
  <c r="C165" i="17"/>
  <c r="D164" i="17"/>
  <c r="C164" i="17"/>
  <c r="E163" i="17"/>
  <c r="F163" i="17"/>
  <c r="D158" i="17"/>
  <c r="D159" i="17"/>
  <c r="C158" i="17"/>
  <c r="C159" i="17"/>
  <c r="E157" i="17"/>
  <c r="F157" i="17"/>
  <c r="E156" i="17"/>
  <c r="F156" i="17"/>
  <c r="D155" i="17"/>
  <c r="C155" i="17"/>
  <c r="E154" i="17"/>
  <c r="F154" i="17"/>
  <c r="E153" i="17"/>
  <c r="F153" i="17"/>
  <c r="D145" i="17"/>
  <c r="E145" i="17"/>
  <c r="F145" i="17"/>
  <c r="C145" i="17"/>
  <c r="D144" i="17"/>
  <c r="D146" i="17"/>
  <c r="C144" i="17"/>
  <c r="C146" i="17"/>
  <c r="D136" i="17"/>
  <c r="D137" i="17"/>
  <c r="C136" i="17"/>
  <c r="C137" i="17"/>
  <c r="D135" i="17"/>
  <c r="E135" i="17"/>
  <c r="F135" i="17"/>
  <c r="C135" i="17"/>
  <c r="E134" i="17"/>
  <c r="F134" i="17"/>
  <c r="E133" i="17"/>
  <c r="F133" i="17"/>
  <c r="D130" i="17"/>
  <c r="E130" i="17"/>
  <c r="F130" i="17"/>
  <c r="C130" i="17"/>
  <c r="D129" i="17"/>
  <c r="E129" i="17"/>
  <c r="F129" i="17"/>
  <c r="C129" i="17"/>
  <c r="E128" i="17"/>
  <c r="F128" i="17"/>
  <c r="D123" i="17"/>
  <c r="C123" i="17"/>
  <c r="C193" i="17"/>
  <c r="E122" i="17"/>
  <c r="F122" i="17"/>
  <c r="E121" i="17"/>
  <c r="F121" i="17"/>
  <c r="D120" i="17"/>
  <c r="E120" i="17"/>
  <c r="F120" i="17"/>
  <c r="C120" i="17"/>
  <c r="E119" i="17"/>
  <c r="F119" i="17"/>
  <c r="E118" i="17"/>
  <c r="F118" i="17"/>
  <c r="D110" i="17"/>
  <c r="E110" i="17"/>
  <c r="F110" i="17"/>
  <c r="C110" i="17"/>
  <c r="D109" i="17"/>
  <c r="D111" i="17"/>
  <c r="C109" i="17"/>
  <c r="C111" i="17"/>
  <c r="D101" i="17"/>
  <c r="D102" i="17"/>
  <c r="C101" i="17"/>
  <c r="C102" i="17"/>
  <c r="D100" i="17"/>
  <c r="E100" i="17"/>
  <c r="F100" i="17"/>
  <c r="C100" i="17"/>
  <c r="E99" i="17"/>
  <c r="F99" i="17"/>
  <c r="E98" i="17"/>
  <c r="F98" i="17"/>
  <c r="D95" i="17"/>
  <c r="E95" i="17"/>
  <c r="F95" i="17"/>
  <c r="C95" i="17"/>
  <c r="D94" i="17"/>
  <c r="E94" i="17"/>
  <c r="F94" i="17"/>
  <c r="C94" i="17"/>
  <c r="E93" i="17"/>
  <c r="F93" i="17"/>
  <c r="D88" i="17"/>
  <c r="D89" i="17"/>
  <c r="C88" i="17"/>
  <c r="C89" i="17"/>
  <c r="E87" i="17"/>
  <c r="F87" i="17"/>
  <c r="E86" i="17"/>
  <c r="F86" i="17"/>
  <c r="D85" i="17"/>
  <c r="E85" i="17"/>
  <c r="F85" i="17"/>
  <c r="C85" i="17"/>
  <c r="E84" i="17"/>
  <c r="F84" i="17"/>
  <c r="E83" i="17"/>
  <c r="F83" i="17"/>
  <c r="D76" i="17"/>
  <c r="D77" i="17"/>
  <c r="C76" i="17"/>
  <c r="C77" i="17"/>
  <c r="E74" i="17"/>
  <c r="F74" i="17"/>
  <c r="E73" i="17"/>
  <c r="F73" i="17"/>
  <c r="D67" i="17"/>
  <c r="C67" i="17"/>
  <c r="D66" i="17"/>
  <c r="D68" i="17"/>
  <c r="C66" i="17"/>
  <c r="C68" i="17"/>
  <c r="D59" i="17"/>
  <c r="D60" i="17"/>
  <c r="C59" i="17"/>
  <c r="C60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D30" i="17"/>
  <c r="D31" i="17"/>
  <c r="C30" i="17"/>
  <c r="C31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1" i="16"/>
  <c r="C21" i="16"/>
  <c r="E20" i="16"/>
  <c r="F20" i="16"/>
  <c r="D17" i="16"/>
  <c r="C17" i="16"/>
  <c r="E16" i="16"/>
  <c r="F16" i="16"/>
  <c r="D13" i="16"/>
  <c r="C13" i="16"/>
  <c r="E12" i="16"/>
  <c r="F12" i="16"/>
  <c r="D107" i="15"/>
  <c r="E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F45" i="15"/>
  <c r="D45" i="15"/>
  <c r="E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D75" i="13"/>
  <c r="E73" i="13"/>
  <c r="E75" i="13"/>
  <c r="D73" i="13"/>
  <c r="C73" i="13"/>
  <c r="C75" i="13"/>
  <c r="E71" i="13"/>
  <c r="D71" i="13"/>
  <c r="C71" i="13"/>
  <c r="E66" i="13"/>
  <c r="D66" i="13"/>
  <c r="D65" i="13"/>
  <c r="C66" i="13"/>
  <c r="E65" i="13"/>
  <c r="C65" i="13"/>
  <c r="E60" i="13"/>
  <c r="D60" i="13"/>
  <c r="C60" i="13"/>
  <c r="E58" i="13"/>
  <c r="D58" i="13"/>
  <c r="C58" i="13"/>
  <c r="E55" i="13"/>
  <c r="D55" i="13"/>
  <c r="C55" i="13"/>
  <c r="E54" i="13"/>
  <c r="D54" i="13"/>
  <c r="D50" i="13"/>
  <c r="C54" i="13"/>
  <c r="E50" i="13"/>
  <c r="C50" i="13"/>
  <c r="D48" i="13"/>
  <c r="D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D15" i="13"/>
  <c r="D24" i="13"/>
  <c r="E13" i="13"/>
  <c r="E25" i="13"/>
  <c r="E27" i="13"/>
  <c r="D13" i="13"/>
  <c r="D25" i="13"/>
  <c r="D27" i="13"/>
  <c r="C13" i="13"/>
  <c r="C25" i="13"/>
  <c r="C27" i="13"/>
  <c r="D47" i="12"/>
  <c r="C47" i="12"/>
  <c r="F47" i="12"/>
  <c r="F46" i="12"/>
  <c r="E46" i="12"/>
  <c r="F45" i="12"/>
  <c r="E45" i="12"/>
  <c r="D40" i="12"/>
  <c r="C40" i="12"/>
  <c r="E39" i="12"/>
  <c r="F39" i="12"/>
  <c r="E38" i="12"/>
  <c r="F38" i="12"/>
  <c r="E37" i="12"/>
  <c r="F37" i="12"/>
  <c r="D32" i="12"/>
  <c r="C32" i="12"/>
  <c r="E31" i="12"/>
  <c r="F31" i="12"/>
  <c r="E30" i="12"/>
  <c r="F30" i="12"/>
  <c r="E29" i="12"/>
  <c r="F29" i="12"/>
  <c r="F28" i="12"/>
  <c r="E28" i="12"/>
  <c r="E27" i="12"/>
  <c r="F27" i="12"/>
  <c r="E26" i="12"/>
  <c r="F26" i="12"/>
  <c r="E25" i="12"/>
  <c r="F25" i="12"/>
  <c r="E24" i="12"/>
  <c r="F24" i="12"/>
  <c r="E23" i="12"/>
  <c r="F23" i="12"/>
  <c r="E19" i="12"/>
  <c r="F19" i="12"/>
  <c r="E18" i="12"/>
  <c r="F18" i="12"/>
  <c r="E16" i="12"/>
  <c r="F16" i="12"/>
  <c r="D15" i="12"/>
  <c r="D17" i="12"/>
  <c r="C15" i="12"/>
  <c r="F14" i="12"/>
  <c r="E14" i="12"/>
  <c r="E13" i="12"/>
  <c r="F13" i="12"/>
  <c r="E12" i="12"/>
  <c r="F12" i="12"/>
  <c r="E11" i="12"/>
  <c r="F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C205" i="9"/>
  <c r="D204" i="9"/>
  <c r="E204" i="9"/>
  <c r="C204" i="9"/>
  <c r="D203" i="9"/>
  <c r="E203" i="9"/>
  <c r="C203" i="9"/>
  <c r="D202" i="9"/>
  <c r="E202" i="9"/>
  <c r="C202" i="9"/>
  <c r="D201" i="9"/>
  <c r="E201" i="9"/>
  <c r="C201" i="9"/>
  <c r="D200" i="9"/>
  <c r="E200" i="9"/>
  <c r="C200" i="9"/>
  <c r="D199" i="9"/>
  <c r="D208" i="9"/>
  <c r="E208" i="9"/>
  <c r="C199" i="9"/>
  <c r="C208" i="9"/>
  <c r="D198" i="9"/>
  <c r="D207" i="9"/>
  <c r="E207" i="9"/>
  <c r="C198" i="9"/>
  <c r="C207" i="9"/>
  <c r="F193" i="9"/>
  <c r="D193" i="9"/>
  <c r="E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8" i="8"/>
  <c r="E90" i="8"/>
  <c r="E86" i="8"/>
  <c r="C88" i="8"/>
  <c r="C90" i="8"/>
  <c r="C86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D75" i="8"/>
  <c r="D88" i="8"/>
  <c r="D90" i="8"/>
  <c r="D86" i="8"/>
  <c r="C75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F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E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F41" i="5"/>
  <c r="D41" i="5"/>
  <c r="E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F54" i="4"/>
  <c r="E54" i="4"/>
  <c r="F53" i="4"/>
  <c r="E53" i="4"/>
  <c r="E52" i="4"/>
  <c r="F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E41" i="4"/>
  <c r="C38" i="4"/>
  <c r="C41" i="4"/>
  <c r="F37" i="4"/>
  <c r="E37" i="4"/>
  <c r="F36" i="4"/>
  <c r="E36" i="4"/>
  <c r="F33" i="4"/>
  <c r="E33" i="4"/>
  <c r="F32" i="4"/>
  <c r="E32" i="4"/>
  <c r="F31" i="4"/>
  <c r="E31" i="4"/>
  <c r="F29" i="4"/>
  <c r="D29" i="4"/>
  <c r="E29" i="4"/>
  <c r="C29" i="4"/>
  <c r="F28" i="4"/>
  <c r="E28" i="4"/>
  <c r="F27" i="4"/>
  <c r="E27" i="4"/>
  <c r="F26" i="4"/>
  <c r="E26" i="4"/>
  <c r="F25" i="4"/>
  <c r="E25" i="4"/>
  <c r="D22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D22" i="22"/>
  <c r="C23" i="22"/>
  <c r="E23" i="22"/>
  <c r="D33" i="22"/>
  <c r="C34" i="22"/>
  <c r="E34" i="22"/>
  <c r="D101" i="22"/>
  <c r="D103" i="22"/>
  <c r="C102" i="22"/>
  <c r="C103" i="22"/>
  <c r="E102" i="22"/>
  <c r="E103" i="22"/>
  <c r="D111" i="22"/>
  <c r="C22" i="22"/>
  <c r="E22" i="22"/>
  <c r="D30" i="22"/>
  <c r="D36" i="22"/>
  <c r="D40" i="22"/>
  <c r="D46" i="22"/>
  <c r="F21" i="21"/>
  <c r="D192" i="17"/>
  <c r="F20" i="20"/>
  <c r="C41" i="20"/>
  <c r="E20" i="20"/>
  <c r="D41" i="20"/>
  <c r="E39" i="20"/>
  <c r="E40" i="20"/>
  <c r="F40" i="20"/>
  <c r="E23" i="17"/>
  <c r="E24" i="17"/>
  <c r="E29" i="17"/>
  <c r="E36" i="17"/>
  <c r="E44" i="17"/>
  <c r="E19" i="20"/>
  <c r="F19" i="20"/>
  <c r="E43" i="20"/>
  <c r="C38" i="19"/>
  <c r="C127" i="19"/>
  <c r="C129" i="19"/>
  <c r="C133" i="19"/>
  <c r="E229" i="17"/>
  <c r="E230" i="17"/>
  <c r="E238" i="17"/>
  <c r="E298" i="17"/>
  <c r="E299" i="17"/>
  <c r="C22" i="19"/>
  <c r="C258" i="18"/>
  <c r="C101" i="18"/>
  <c r="C99" i="18"/>
  <c r="C97" i="18"/>
  <c r="C95" i="18"/>
  <c r="C88" i="18"/>
  <c r="C86" i="18"/>
  <c r="C84" i="18"/>
  <c r="C100" i="18"/>
  <c r="C98" i="18"/>
  <c r="C96" i="18"/>
  <c r="C102" i="18"/>
  <c r="C89" i="18"/>
  <c r="C87" i="18"/>
  <c r="C85" i="18"/>
  <c r="C83" i="18"/>
  <c r="D258" i="18"/>
  <c r="D100" i="18"/>
  <c r="E100" i="18"/>
  <c r="D98" i="18"/>
  <c r="E98" i="18"/>
  <c r="D96" i="18"/>
  <c r="D89" i="18"/>
  <c r="E89" i="18"/>
  <c r="D87" i="18"/>
  <c r="E87" i="18"/>
  <c r="D85" i="18"/>
  <c r="E85" i="18"/>
  <c r="D83" i="18"/>
  <c r="D101" i="18"/>
  <c r="E101" i="18"/>
  <c r="D99" i="18"/>
  <c r="E99" i="18"/>
  <c r="D97" i="18"/>
  <c r="E97" i="18"/>
  <c r="D95" i="18"/>
  <c r="D88" i="18"/>
  <c r="E88" i="18"/>
  <c r="D86" i="18"/>
  <c r="E86" i="18"/>
  <c r="D84" i="18"/>
  <c r="E44" i="18"/>
  <c r="E43" i="18"/>
  <c r="E223" i="17"/>
  <c r="C283" i="18"/>
  <c r="E283" i="18"/>
  <c r="E21" i="18"/>
  <c r="D22" i="18"/>
  <c r="C33" i="18"/>
  <c r="C295" i="18"/>
  <c r="E37" i="18"/>
  <c r="C55" i="18"/>
  <c r="E55" i="18"/>
  <c r="E17" i="17"/>
  <c r="E52" i="17"/>
  <c r="E53" i="17"/>
  <c r="E58" i="17"/>
  <c r="E67" i="17"/>
  <c r="C284" i="18"/>
  <c r="E32" i="18"/>
  <c r="E36" i="18"/>
  <c r="D289" i="18"/>
  <c r="E289" i="18"/>
  <c r="D71" i="18"/>
  <c r="E71" i="18"/>
  <c r="D65" i="18"/>
  <c r="D294" i="18"/>
  <c r="E294" i="18"/>
  <c r="E60" i="18"/>
  <c r="C126" i="18"/>
  <c r="C124" i="18"/>
  <c r="C122" i="18"/>
  <c r="C128" i="18"/>
  <c r="C115" i="18"/>
  <c r="C113" i="18"/>
  <c r="C111" i="18"/>
  <c r="C109" i="18"/>
  <c r="C117" i="18"/>
  <c r="C127" i="18"/>
  <c r="C125" i="18"/>
  <c r="C123" i="18"/>
  <c r="C121" i="18"/>
  <c r="C129" i="18"/>
  <c r="C114" i="18"/>
  <c r="C112" i="18"/>
  <c r="C110" i="18"/>
  <c r="C116" i="18"/>
  <c r="E69" i="18"/>
  <c r="D76" i="18"/>
  <c r="E76" i="18"/>
  <c r="E70" i="18"/>
  <c r="E139" i="18"/>
  <c r="D144" i="18"/>
  <c r="C145" i="18"/>
  <c r="C156" i="18"/>
  <c r="C157" i="18"/>
  <c r="E157" i="18"/>
  <c r="E156" i="18"/>
  <c r="C163" i="18"/>
  <c r="E163" i="18"/>
  <c r="D175" i="18"/>
  <c r="E175" i="18"/>
  <c r="E261" i="18"/>
  <c r="D241" i="18"/>
  <c r="E241" i="18"/>
  <c r="E242" i="18"/>
  <c r="E243" i="18"/>
  <c r="E244" i="18"/>
  <c r="E245" i="18"/>
  <c r="D252" i="18"/>
  <c r="D253" i="18"/>
  <c r="E253" i="18"/>
  <c r="E302" i="18"/>
  <c r="C303" i="18"/>
  <c r="C306" i="18"/>
  <c r="C310" i="18"/>
  <c r="E260" i="18"/>
  <c r="D234" i="18"/>
  <c r="D211" i="18"/>
  <c r="E210" i="18"/>
  <c r="C253" i="18"/>
  <c r="D320" i="18"/>
  <c r="E320" i="18"/>
  <c r="E316" i="18"/>
  <c r="E326" i="18"/>
  <c r="D330" i="18"/>
  <c r="E330" i="18"/>
  <c r="C189" i="18"/>
  <c r="E195" i="18"/>
  <c r="C210" i="18"/>
  <c r="E215" i="18"/>
  <c r="C217" i="18"/>
  <c r="C241" i="18"/>
  <c r="E217" i="18"/>
  <c r="E219" i="18"/>
  <c r="E221" i="18"/>
  <c r="D222" i="18"/>
  <c r="D229" i="18"/>
  <c r="E229" i="18"/>
  <c r="C252" i="18"/>
  <c r="C254" i="18"/>
  <c r="C261" i="18"/>
  <c r="C263" i="18"/>
  <c r="E265" i="18"/>
  <c r="D303" i="18"/>
  <c r="E314" i="18"/>
  <c r="D189" i="18"/>
  <c r="E189" i="18"/>
  <c r="E205" i="18"/>
  <c r="E216" i="18"/>
  <c r="E218" i="18"/>
  <c r="E220" i="18"/>
  <c r="C222" i="18"/>
  <c r="C246" i="18"/>
  <c r="D223" i="18"/>
  <c r="E233" i="18"/>
  <c r="E251" i="18"/>
  <c r="E324" i="18"/>
  <c r="C32" i="17"/>
  <c r="C160" i="17"/>
  <c r="C90" i="17"/>
  <c r="E60" i="17"/>
  <c r="D61" i="17"/>
  <c r="E68" i="17"/>
  <c r="F68" i="17"/>
  <c r="E77" i="17"/>
  <c r="E89" i="17"/>
  <c r="F89" i="17"/>
  <c r="D103" i="17"/>
  <c r="E102" i="17"/>
  <c r="F102" i="17"/>
  <c r="E111" i="17"/>
  <c r="F111" i="17"/>
  <c r="D207" i="17"/>
  <c r="D138" i="17"/>
  <c r="E137" i="17"/>
  <c r="E146" i="17"/>
  <c r="F146" i="17"/>
  <c r="E31" i="17"/>
  <c r="F31" i="17"/>
  <c r="D32" i="17"/>
  <c r="D160" i="17"/>
  <c r="D90" i="17"/>
  <c r="E48" i="17"/>
  <c r="F48" i="17"/>
  <c r="C61" i="17"/>
  <c r="F60" i="17"/>
  <c r="C103" i="17"/>
  <c r="C194" i="17"/>
  <c r="C207" i="17"/>
  <c r="F137" i="17"/>
  <c r="C138" i="17"/>
  <c r="F159" i="17"/>
  <c r="E159" i="17"/>
  <c r="F17" i="17"/>
  <c r="D21" i="17"/>
  <c r="F23" i="17"/>
  <c r="F24" i="17"/>
  <c r="F29" i="17"/>
  <c r="F36" i="17"/>
  <c r="F44" i="17"/>
  <c r="F52" i="17"/>
  <c r="F53" i="17"/>
  <c r="F58" i="17"/>
  <c r="F67" i="17"/>
  <c r="E88" i="17"/>
  <c r="F88" i="17"/>
  <c r="E101" i="17"/>
  <c r="F101" i="17"/>
  <c r="E109" i="17"/>
  <c r="F109" i="17"/>
  <c r="E123" i="17"/>
  <c r="F123" i="17"/>
  <c r="C124" i="17"/>
  <c r="C125" i="17"/>
  <c r="E136" i="17"/>
  <c r="F136" i="17"/>
  <c r="E144" i="17"/>
  <c r="F144" i="17"/>
  <c r="E155" i="17"/>
  <c r="F155" i="17"/>
  <c r="E165" i="17"/>
  <c r="F165" i="17"/>
  <c r="E171" i="17"/>
  <c r="F171" i="17"/>
  <c r="E172" i="17"/>
  <c r="F180" i="17"/>
  <c r="E180" i="17"/>
  <c r="C278" i="17"/>
  <c r="C262" i="17"/>
  <c r="C255" i="17"/>
  <c r="C215" i="17"/>
  <c r="F189" i="17"/>
  <c r="E189" i="17"/>
  <c r="C192" i="17"/>
  <c r="C290" i="17"/>
  <c r="C274" i="17"/>
  <c r="E198" i="17"/>
  <c r="F198" i="17"/>
  <c r="C286" i="17"/>
  <c r="F227" i="17"/>
  <c r="E239" i="17"/>
  <c r="F239" i="17"/>
  <c r="C282" i="17"/>
  <c r="C266" i="17"/>
  <c r="E20" i="17"/>
  <c r="F20" i="17"/>
  <c r="C21" i="17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/>
  <c r="D124" i="17"/>
  <c r="E124" i="17"/>
  <c r="E158" i="17"/>
  <c r="F158" i="17"/>
  <c r="E164" i="17"/>
  <c r="F164" i="17"/>
  <c r="E170" i="17"/>
  <c r="F170" i="17"/>
  <c r="F172" i="17"/>
  <c r="C173" i="17"/>
  <c r="E179" i="17"/>
  <c r="F179" i="17"/>
  <c r="C181" i="17"/>
  <c r="C277" i="17"/>
  <c r="C261" i="17"/>
  <c r="C254" i="17"/>
  <c r="C214" i="17"/>
  <c r="C206" i="17"/>
  <c r="E188" i="17"/>
  <c r="F188" i="17"/>
  <c r="C190" i="17"/>
  <c r="C280" i="17"/>
  <c r="C264" i="17"/>
  <c r="C200" i="17"/>
  <c r="E191" i="17"/>
  <c r="F191" i="17"/>
  <c r="D279" i="17"/>
  <c r="D190" i="17"/>
  <c r="E190" i="17"/>
  <c r="D193" i="17"/>
  <c r="D290" i="17"/>
  <c r="E290" i="17"/>
  <c r="D274" i="17"/>
  <c r="D199" i="17"/>
  <c r="E199" i="17"/>
  <c r="F199" i="17"/>
  <c r="D200" i="17"/>
  <c r="D283" i="17"/>
  <c r="D267" i="17"/>
  <c r="D285" i="17"/>
  <c r="E285" i="17"/>
  <c r="F285" i="17"/>
  <c r="D269" i="17"/>
  <c r="D205" i="17"/>
  <c r="E205" i="17"/>
  <c r="D206" i="17"/>
  <c r="D214" i="17"/>
  <c r="D215" i="17"/>
  <c r="F223" i="17"/>
  <c r="F229" i="17"/>
  <c r="F230" i="17"/>
  <c r="F238" i="17"/>
  <c r="E306" i="17"/>
  <c r="D261" i="17"/>
  <c r="D262" i="17"/>
  <c r="D264" i="17"/>
  <c r="E277" i="17"/>
  <c r="E278" i="17"/>
  <c r="E280" i="17"/>
  <c r="E295" i="17"/>
  <c r="F295" i="17"/>
  <c r="E297" i="17"/>
  <c r="F297" i="17"/>
  <c r="E203" i="17"/>
  <c r="F203" i="17"/>
  <c r="E204" i="17"/>
  <c r="F204" i="17"/>
  <c r="C205" i="17"/>
  <c r="E226" i="17"/>
  <c r="F226" i="17"/>
  <c r="E237" i="17"/>
  <c r="F237" i="17"/>
  <c r="E250" i="17"/>
  <c r="F250" i="17"/>
  <c r="C267" i="17"/>
  <c r="C269" i="17"/>
  <c r="E294" i="17"/>
  <c r="F294" i="17"/>
  <c r="E296" i="17"/>
  <c r="F296" i="17"/>
  <c r="F298" i="17"/>
  <c r="F299" i="17"/>
  <c r="E13" i="16"/>
  <c r="F13" i="16"/>
  <c r="E17" i="16"/>
  <c r="F17" i="16"/>
  <c r="E21" i="16"/>
  <c r="F21" i="16"/>
  <c r="F107" i="15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D21" i="13"/>
  <c r="D20" i="13"/>
  <c r="C21" i="13"/>
  <c r="E21" i="13"/>
  <c r="C15" i="13"/>
  <c r="E15" i="13"/>
  <c r="D17" i="13"/>
  <c r="D28" i="13"/>
  <c r="D70" i="13"/>
  <c r="D72" i="13"/>
  <c r="D69" i="13"/>
  <c r="C48" i="13"/>
  <c r="C42" i="13"/>
  <c r="E48" i="13"/>
  <c r="E42" i="13"/>
  <c r="F40" i="12"/>
  <c r="D20" i="12"/>
  <c r="E17" i="12"/>
  <c r="E15" i="12"/>
  <c r="F15" i="12"/>
  <c r="C17" i="12"/>
  <c r="E32" i="12"/>
  <c r="F32" i="12"/>
  <c r="E40" i="12"/>
  <c r="E47" i="12"/>
  <c r="E43" i="11"/>
  <c r="E41" i="11"/>
  <c r="F75" i="11"/>
  <c r="F65" i="11"/>
  <c r="F43" i="11"/>
  <c r="F41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F200" i="9"/>
  <c r="F201" i="9"/>
  <c r="F202" i="9"/>
  <c r="F203" i="9"/>
  <c r="F204" i="9"/>
  <c r="F205" i="9"/>
  <c r="F206" i="9"/>
  <c r="E198" i="9"/>
  <c r="F198" i="9"/>
  <c r="E199" i="9"/>
  <c r="F199" i="9"/>
  <c r="D21" i="8"/>
  <c r="C20" i="8"/>
  <c r="C21" i="8"/>
  <c r="C140" i="8"/>
  <c r="C138" i="8"/>
  <c r="C136" i="8"/>
  <c r="C139" i="8"/>
  <c r="C137" i="8"/>
  <c r="C135" i="8"/>
  <c r="E157" i="8"/>
  <c r="E155" i="8"/>
  <c r="E153" i="8"/>
  <c r="E156" i="8"/>
  <c r="E154" i="8"/>
  <c r="E152" i="8"/>
  <c r="D156" i="8"/>
  <c r="D154" i="8"/>
  <c r="D152" i="8"/>
  <c r="D157" i="8"/>
  <c r="D155" i="8"/>
  <c r="D153" i="8"/>
  <c r="E20" i="8"/>
  <c r="E21" i="8"/>
  <c r="E140" i="8"/>
  <c r="E138" i="8"/>
  <c r="E136" i="8"/>
  <c r="E139" i="8"/>
  <c r="E137" i="8"/>
  <c r="E135" i="8"/>
  <c r="D139" i="8"/>
  <c r="D137" i="8"/>
  <c r="D135" i="8"/>
  <c r="D141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F95" i="7"/>
  <c r="F188" i="7"/>
  <c r="E90" i="7"/>
  <c r="F90" i="7"/>
  <c r="E183" i="7"/>
  <c r="F183" i="7"/>
  <c r="F52" i="6"/>
  <c r="F95" i="6"/>
  <c r="E41" i="6"/>
  <c r="F41" i="6"/>
  <c r="E84" i="6"/>
  <c r="F84" i="6"/>
  <c r="D21" i="5"/>
  <c r="E18" i="5"/>
  <c r="F18" i="5"/>
  <c r="C21" i="5"/>
  <c r="E16" i="5"/>
  <c r="F16" i="5"/>
  <c r="D43" i="4"/>
  <c r="E43" i="4"/>
  <c r="F43" i="4"/>
  <c r="F41" i="4"/>
  <c r="F75" i="4"/>
  <c r="F65" i="4"/>
  <c r="F73" i="4"/>
  <c r="E22" i="4"/>
  <c r="F22" i="4"/>
  <c r="E38" i="4"/>
  <c r="F38" i="4"/>
  <c r="E56" i="4"/>
  <c r="F56" i="4"/>
  <c r="E61" i="4"/>
  <c r="F61" i="4"/>
  <c r="E53" i="22"/>
  <c r="E45" i="22"/>
  <c r="E39" i="22"/>
  <c r="E35" i="22"/>
  <c r="E29" i="22"/>
  <c r="E110" i="22"/>
  <c r="C111" i="22"/>
  <c r="C54" i="22"/>
  <c r="C46" i="22"/>
  <c r="C40" i="22"/>
  <c r="C36" i="22"/>
  <c r="C30" i="22"/>
  <c r="D56" i="22"/>
  <c r="D48" i="22"/>
  <c r="D38" i="22"/>
  <c r="D113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43" i="20"/>
  <c r="E46" i="20"/>
  <c r="F46" i="20"/>
  <c r="E41" i="20"/>
  <c r="F39" i="20"/>
  <c r="F41" i="20"/>
  <c r="D288" i="17"/>
  <c r="E303" i="18"/>
  <c r="D306" i="18"/>
  <c r="E222" i="18"/>
  <c r="D246" i="18"/>
  <c r="E246" i="18"/>
  <c r="C211" i="18"/>
  <c r="C235" i="18"/>
  <c r="C234" i="18"/>
  <c r="E211" i="18"/>
  <c r="D235" i="18"/>
  <c r="E235" i="18"/>
  <c r="D254" i="18"/>
  <c r="E254" i="18"/>
  <c r="E252" i="18"/>
  <c r="C180" i="18"/>
  <c r="D180" i="18"/>
  <c r="E180" i="18"/>
  <c r="D145" i="18"/>
  <c r="E144" i="18"/>
  <c r="D168" i="18"/>
  <c r="C168" i="18"/>
  <c r="D77" i="18"/>
  <c r="D259" i="18"/>
  <c r="E84" i="18"/>
  <c r="D90" i="18"/>
  <c r="E258" i="18"/>
  <c r="C90" i="18"/>
  <c r="C223" i="18"/>
  <c r="C247" i="18"/>
  <c r="E234" i="18"/>
  <c r="C181" i="18"/>
  <c r="C169" i="18"/>
  <c r="C131" i="18"/>
  <c r="E65" i="18"/>
  <c r="D66" i="18"/>
  <c r="D284" i="18"/>
  <c r="E284" i="18"/>
  <c r="E22" i="18"/>
  <c r="E95" i="18"/>
  <c r="D91" i="18"/>
  <c r="E83" i="18"/>
  <c r="D102" i="18"/>
  <c r="E102" i="18"/>
  <c r="E96" i="18"/>
  <c r="E33" i="18"/>
  <c r="C91" i="18"/>
  <c r="C103" i="18"/>
  <c r="C264" i="18"/>
  <c r="C266" i="18"/>
  <c r="C267" i="18"/>
  <c r="E214" i="17"/>
  <c r="D254" i="17"/>
  <c r="D216" i="17"/>
  <c r="E216" i="17"/>
  <c r="E269" i="17"/>
  <c r="F269" i="17"/>
  <c r="D286" i="17"/>
  <c r="E286" i="17"/>
  <c r="E283" i="17"/>
  <c r="F283" i="17"/>
  <c r="F277" i="17"/>
  <c r="C287" i="17"/>
  <c r="C284" i="17"/>
  <c r="C279" i="17"/>
  <c r="C270" i="17"/>
  <c r="F205" i="17"/>
  <c r="D300" i="17"/>
  <c r="E264" i="17"/>
  <c r="D271" i="17"/>
  <c r="D268" i="17"/>
  <c r="E261" i="17"/>
  <c r="D263" i="17"/>
  <c r="E263" i="17"/>
  <c r="E215" i="17"/>
  <c r="D255" i="17"/>
  <c r="E255" i="17"/>
  <c r="F255" i="17"/>
  <c r="E206" i="17"/>
  <c r="F206" i="17"/>
  <c r="D270" i="17"/>
  <c r="E270" i="17"/>
  <c r="E267" i="17"/>
  <c r="F267" i="17"/>
  <c r="E200" i="17"/>
  <c r="F200" i="17"/>
  <c r="E274" i="17"/>
  <c r="D194" i="17"/>
  <c r="D196" i="17"/>
  <c r="E193" i="17"/>
  <c r="F193" i="17"/>
  <c r="E279" i="17"/>
  <c r="D287" i="17"/>
  <c r="C300" i="17"/>
  <c r="C265" i="17"/>
  <c r="F264" i="17"/>
  <c r="F190" i="17"/>
  <c r="C216" i="17"/>
  <c r="F214" i="17"/>
  <c r="C271" i="17"/>
  <c r="C268" i="17"/>
  <c r="C263" i="17"/>
  <c r="F261" i="17"/>
  <c r="C304" i="17"/>
  <c r="C49" i="17"/>
  <c r="C196" i="17"/>
  <c r="C161" i="17"/>
  <c r="C126" i="17"/>
  <c r="C91" i="17"/>
  <c r="F290" i="17"/>
  <c r="F215" i="17"/>
  <c r="C272" i="17"/>
  <c r="D266" i="17"/>
  <c r="E266" i="17"/>
  <c r="F266" i="17"/>
  <c r="C174" i="17"/>
  <c r="C139" i="17"/>
  <c r="C104" i="17"/>
  <c r="E90" i="17"/>
  <c r="E160" i="17"/>
  <c r="E37" i="17"/>
  <c r="F37" i="17"/>
  <c r="E181" i="17"/>
  <c r="F181" i="17"/>
  <c r="E207" i="17"/>
  <c r="F207" i="17"/>
  <c r="D208" i="17"/>
  <c r="D210" i="17"/>
  <c r="E103" i="17"/>
  <c r="D209" i="17"/>
  <c r="D174" i="17"/>
  <c r="E174" i="17"/>
  <c r="D139" i="17"/>
  <c r="E139" i="17"/>
  <c r="D104" i="17"/>
  <c r="E104" i="17"/>
  <c r="E61" i="17"/>
  <c r="F61" i="17"/>
  <c r="C195" i="17"/>
  <c r="D272" i="17"/>
  <c r="E272" i="17"/>
  <c r="E262" i="17"/>
  <c r="F262" i="17"/>
  <c r="D284" i="17"/>
  <c r="E284" i="17"/>
  <c r="F280" i="17"/>
  <c r="C281" i="17"/>
  <c r="F286" i="17"/>
  <c r="F274" i="17"/>
  <c r="F278" i="17"/>
  <c r="C288" i="17"/>
  <c r="F124" i="17"/>
  <c r="D161" i="17"/>
  <c r="D126" i="17"/>
  <c r="D91" i="17"/>
  <c r="E21" i="17"/>
  <c r="F21" i="17"/>
  <c r="D49" i="17"/>
  <c r="D282" i="17"/>
  <c r="E173" i="17"/>
  <c r="F173" i="17"/>
  <c r="C208" i="17"/>
  <c r="F103" i="17"/>
  <c r="D125" i="17"/>
  <c r="E125" i="17"/>
  <c r="F125" i="17"/>
  <c r="D175" i="17"/>
  <c r="D140" i="17"/>
  <c r="D105" i="17"/>
  <c r="E32" i="17"/>
  <c r="F32" i="17"/>
  <c r="D62" i="17"/>
  <c r="E138" i="17"/>
  <c r="F138" i="17"/>
  <c r="E192" i="17"/>
  <c r="F192" i="17"/>
  <c r="F90" i="17"/>
  <c r="F160" i="17"/>
  <c r="C210" i="17"/>
  <c r="C175" i="17"/>
  <c r="C62" i="17"/>
  <c r="C140" i="17"/>
  <c r="C105" i="17"/>
  <c r="G36" i="14"/>
  <c r="G38" i="14"/>
  <c r="G40" i="14"/>
  <c r="I33" i="14"/>
  <c r="I36" i="14"/>
  <c r="I38" i="14"/>
  <c r="I40" i="14"/>
  <c r="H33" i="14"/>
  <c r="H36" i="14"/>
  <c r="H38" i="14"/>
  <c r="H40" i="14"/>
  <c r="E24" i="13"/>
  <c r="E20" i="13"/>
  <c r="E17" i="13"/>
  <c r="E28" i="13"/>
  <c r="D22" i="13"/>
  <c r="C24" i="13"/>
  <c r="C20" i="13"/>
  <c r="C17" i="13"/>
  <c r="C28" i="13"/>
  <c r="F17" i="12"/>
  <c r="C20" i="12"/>
  <c r="D34" i="12"/>
  <c r="E20" i="12"/>
  <c r="E112" i="8"/>
  <c r="E111" i="8"/>
  <c r="E28" i="8"/>
  <c r="C112" i="8"/>
  <c r="C111" i="8"/>
  <c r="C28" i="8"/>
  <c r="C158" i="8"/>
  <c r="E141" i="8"/>
  <c r="E158" i="8"/>
  <c r="C141" i="8"/>
  <c r="D24" i="8"/>
  <c r="D20" i="8"/>
  <c r="D17" i="8"/>
  <c r="D158" i="8"/>
  <c r="D35" i="5"/>
  <c r="E21" i="5"/>
  <c r="F21" i="5"/>
  <c r="C35" i="5"/>
  <c r="D112" i="22"/>
  <c r="D55" i="22"/>
  <c r="D47" i="22"/>
  <c r="D37" i="22"/>
  <c r="E113" i="22"/>
  <c r="E56" i="22"/>
  <c r="E48" i="22"/>
  <c r="E38" i="22"/>
  <c r="C113" i="22"/>
  <c r="C56" i="22"/>
  <c r="C48" i="22"/>
  <c r="C38" i="22"/>
  <c r="C55" i="22"/>
  <c r="C47" i="22"/>
  <c r="C37" i="22"/>
  <c r="C112" i="22"/>
  <c r="E55" i="22"/>
  <c r="E47" i="22"/>
  <c r="E37" i="22"/>
  <c r="E112" i="22"/>
  <c r="C105" i="18"/>
  <c r="D103" i="18"/>
  <c r="E103" i="18"/>
  <c r="E66" i="18"/>
  <c r="D295" i="18"/>
  <c r="E295" i="18"/>
  <c r="D127" i="18"/>
  <c r="E127" i="18"/>
  <c r="D125" i="18"/>
  <c r="E125" i="18"/>
  <c r="D123" i="18"/>
  <c r="E123" i="18"/>
  <c r="D121" i="18"/>
  <c r="D114" i="18"/>
  <c r="E114" i="18"/>
  <c r="D112" i="18"/>
  <c r="E112" i="18"/>
  <c r="D110" i="18"/>
  <c r="E77" i="18"/>
  <c r="D126" i="18"/>
  <c r="E126" i="18"/>
  <c r="D124" i="18"/>
  <c r="E124" i="18"/>
  <c r="D122" i="18"/>
  <c r="D115" i="18"/>
  <c r="E115" i="18"/>
  <c r="D113" i="18"/>
  <c r="E113" i="18"/>
  <c r="D111" i="18"/>
  <c r="E111" i="18"/>
  <c r="D109" i="18"/>
  <c r="E168" i="18"/>
  <c r="D169" i="18"/>
  <c r="E169" i="18"/>
  <c r="D181" i="18"/>
  <c r="E181" i="18"/>
  <c r="E145" i="18"/>
  <c r="D247" i="18"/>
  <c r="E247" i="18"/>
  <c r="D265" i="17"/>
  <c r="E265" i="17"/>
  <c r="C269" i="18"/>
  <c r="C268" i="18"/>
  <c r="C271" i="18"/>
  <c r="D105" i="18"/>
  <c r="E105" i="18"/>
  <c r="E91" i="18"/>
  <c r="E90" i="18"/>
  <c r="D263" i="18"/>
  <c r="E259" i="18"/>
  <c r="E306" i="18"/>
  <c r="D310" i="18"/>
  <c r="E310" i="18"/>
  <c r="E223" i="18"/>
  <c r="D197" i="17"/>
  <c r="E196" i="17"/>
  <c r="C106" i="17"/>
  <c r="E210" i="17"/>
  <c r="F210" i="17"/>
  <c r="D211" i="17"/>
  <c r="E49" i="17"/>
  <c r="F49" i="17"/>
  <c r="D50" i="17"/>
  <c r="D162" i="17"/>
  <c r="E161" i="17"/>
  <c r="F174" i="17"/>
  <c r="C50" i="17"/>
  <c r="C141" i="17"/>
  <c r="C176" i="17"/>
  <c r="E62" i="17"/>
  <c r="D63" i="17"/>
  <c r="D106" i="17"/>
  <c r="E106" i="17"/>
  <c r="E105" i="17"/>
  <c r="F105" i="17"/>
  <c r="D176" i="17"/>
  <c r="E176" i="17"/>
  <c r="E175" i="17"/>
  <c r="F175" i="17"/>
  <c r="E282" i="17"/>
  <c r="F282" i="17"/>
  <c r="D281" i="17"/>
  <c r="E281" i="17"/>
  <c r="F281" i="17"/>
  <c r="D127" i="17"/>
  <c r="E126" i="17"/>
  <c r="F126" i="17"/>
  <c r="E209" i="17"/>
  <c r="E208" i="17"/>
  <c r="F208" i="17"/>
  <c r="F139" i="17"/>
  <c r="C209" i="17"/>
  <c r="F272" i="17"/>
  <c r="C127" i="17"/>
  <c r="F196" i="17"/>
  <c r="F263" i="17"/>
  <c r="C273" i="17"/>
  <c r="F216" i="17"/>
  <c r="F265" i="17"/>
  <c r="D291" i="17"/>
  <c r="D289" i="17"/>
  <c r="E287" i="17"/>
  <c r="D304" i="17"/>
  <c r="D273" i="17"/>
  <c r="E273" i="17"/>
  <c r="E271" i="17"/>
  <c r="F271" i="17"/>
  <c r="F284" i="17"/>
  <c r="E254" i="17"/>
  <c r="F254" i="17"/>
  <c r="C63" i="17"/>
  <c r="F62" i="17"/>
  <c r="D141" i="17"/>
  <c r="E140" i="17"/>
  <c r="F140" i="17"/>
  <c r="D92" i="17"/>
  <c r="E91" i="17"/>
  <c r="F104" i="17"/>
  <c r="F91" i="17"/>
  <c r="C92" i="17"/>
  <c r="F161" i="17"/>
  <c r="C162" i="17"/>
  <c r="E194" i="17"/>
  <c r="F194" i="17"/>
  <c r="D195" i="17"/>
  <c r="E195" i="17"/>
  <c r="F195" i="17"/>
  <c r="E268" i="17"/>
  <c r="F268" i="17"/>
  <c r="E300" i="17"/>
  <c r="F300" i="17"/>
  <c r="F270" i="17"/>
  <c r="F279" i="17"/>
  <c r="F287" i="17"/>
  <c r="C291" i="17"/>
  <c r="C289" i="17"/>
  <c r="E288" i="17"/>
  <c r="F288" i="17"/>
  <c r="E70" i="13"/>
  <c r="E72" i="13"/>
  <c r="E69" i="13"/>
  <c r="E22" i="13"/>
  <c r="C70" i="13"/>
  <c r="C72" i="13"/>
  <c r="C69" i="13"/>
  <c r="C22" i="13"/>
  <c r="F20" i="12"/>
  <c r="C34" i="12"/>
  <c r="D42" i="12"/>
  <c r="E34" i="12"/>
  <c r="D28" i="8"/>
  <c r="D112" i="8"/>
  <c r="D111" i="8"/>
  <c r="C99" i="8"/>
  <c r="C101" i="8"/>
  <c r="C98" i="8"/>
  <c r="C22" i="8"/>
  <c r="E99" i="8"/>
  <c r="E101" i="8"/>
  <c r="E98" i="8"/>
  <c r="E22" i="8"/>
  <c r="D43" i="5"/>
  <c r="E35" i="5"/>
  <c r="F35" i="5"/>
  <c r="C43" i="5"/>
  <c r="D129" i="18"/>
  <c r="E129" i="18"/>
  <c r="E121" i="18"/>
  <c r="E263" i="18"/>
  <c r="D264" i="18"/>
  <c r="E109" i="18"/>
  <c r="E122" i="18"/>
  <c r="D128" i="18"/>
  <c r="E128" i="18"/>
  <c r="D116" i="18"/>
  <c r="E116" i="18"/>
  <c r="E110" i="18"/>
  <c r="C305" i="17"/>
  <c r="C323" i="17"/>
  <c r="C183" i="17"/>
  <c r="C324" i="17"/>
  <c r="C113" i="17"/>
  <c r="D324" i="17"/>
  <c r="D113" i="17"/>
  <c r="E113" i="17"/>
  <c r="E92" i="17"/>
  <c r="F92" i="17"/>
  <c r="D322" i="17"/>
  <c r="E322" i="17"/>
  <c r="E141" i="17"/>
  <c r="F141" i="17"/>
  <c r="E304" i="17"/>
  <c r="F304" i="17"/>
  <c r="E289" i="17"/>
  <c r="F289" i="17"/>
  <c r="F273" i="17"/>
  <c r="F209" i="17"/>
  <c r="E63" i="17"/>
  <c r="F63" i="17"/>
  <c r="F176" i="17"/>
  <c r="C322" i="17"/>
  <c r="C211" i="17"/>
  <c r="E50" i="17"/>
  <c r="F50" i="17"/>
  <c r="D70" i="17"/>
  <c r="F106" i="17"/>
  <c r="D305" i="17"/>
  <c r="E291" i="17"/>
  <c r="F291" i="17"/>
  <c r="C197" i="17"/>
  <c r="C148" i="17"/>
  <c r="D148" i="17"/>
  <c r="E148" i="17"/>
  <c r="E127" i="17"/>
  <c r="F127" i="17"/>
  <c r="C70" i="17"/>
  <c r="D323" i="17"/>
  <c r="E323" i="17"/>
  <c r="D183" i="17"/>
  <c r="E183" i="17"/>
  <c r="E162" i="17"/>
  <c r="F162" i="17"/>
  <c r="E197" i="17"/>
  <c r="F34" i="12"/>
  <c r="C42" i="12"/>
  <c r="D49" i="12"/>
  <c r="E42" i="12"/>
  <c r="D99" i="8"/>
  <c r="D101" i="8"/>
  <c r="D98" i="8"/>
  <c r="D22" i="8"/>
  <c r="D50" i="5"/>
  <c r="E50" i="5"/>
  <c r="E43" i="5"/>
  <c r="F43" i="5"/>
  <c r="C50" i="5"/>
  <c r="D117" i="18"/>
  <c r="E264" i="18"/>
  <c r="D266" i="18"/>
  <c r="F197" i="17"/>
  <c r="C325" i="17"/>
  <c r="E211" i="17"/>
  <c r="F211" i="17"/>
  <c r="F148" i="17"/>
  <c r="D309" i="17"/>
  <c r="E305" i="17"/>
  <c r="E70" i="17"/>
  <c r="F70" i="17"/>
  <c r="F322" i="17"/>
  <c r="D325" i="17"/>
  <c r="E325" i="17"/>
  <c r="E324" i="17"/>
  <c r="F324" i="17"/>
  <c r="F183" i="17"/>
  <c r="F323" i="17"/>
  <c r="C309" i="17"/>
  <c r="F305" i="17"/>
  <c r="F113" i="17"/>
  <c r="F42" i="12"/>
  <c r="C49" i="12"/>
  <c r="F50" i="5"/>
  <c r="E266" i="18"/>
  <c r="D267" i="18"/>
  <c r="E117" i="18"/>
  <c r="D131" i="18"/>
  <c r="E131" i="18"/>
  <c r="C310" i="17"/>
  <c r="E309" i="17"/>
  <c r="F309" i="17"/>
  <c r="D310" i="17"/>
  <c r="F325" i="17"/>
  <c r="E49" i="12"/>
  <c r="F49" i="12"/>
  <c r="D269" i="18"/>
  <c r="E269" i="18"/>
  <c r="E267" i="18"/>
  <c r="D268" i="18"/>
  <c r="D312" i="17"/>
  <c r="E310" i="17"/>
  <c r="F310" i="17"/>
  <c r="C312" i="17"/>
  <c r="D271" i="18"/>
  <c r="E271" i="18"/>
  <c r="E268" i="18"/>
  <c r="E312" i="17"/>
  <c r="D313" i="17"/>
  <c r="F312" i="17"/>
  <c r="C313" i="17"/>
  <c r="F313" i="17"/>
  <c r="C314" i="17"/>
  <c r="C251" i="17"/>
  <c r="C315" i="17"/>
  <c r="C256" i="17"/>
  <c r="D315" i="17"/>
  <c r="E315" i="17"/>
  <c r="D314" i="17"/>
  <c r="E313" i="17"/>
  <c r="D251" i="17"/>
  <c r="E251" i="17"/>
  <c r="D256" i="17"/>
  <c r="D318" i="17"/>
  <c r="E318" i="17"/>
  <c r="E314" i="17"/>
  <c r="C257" i="17"/>
  <c r="F251" i="17"/>
  <c r="E256" i="17"/>
  <c r="F256" i="17"/>
  <c r="D257" i="17"/>
  <c r="E257" i="17"/>
  <c r="F315" i="17"/>
  <c r="F314" i="17"/>
  <c r="C318" i="17"/>
  <c r="F257" i="17"/>
  <c r="F318" i="17"/>
</calcChain>
</file>

<file path=xl/sharedStrings.xml><?xml version="1.0" encoding="utf-8"?>
<sst xmlns="http://schemas.openxmlformats.org/spreadsheetml/2006/main" count="2333" uniqueCount="1008">
  <si>
    <t>NEW MILFORD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</si>
  <si>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</si>
  <si>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</si>
  <si>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</si>
  <si>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</si>
  <si>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</si>
  <si>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</si>
  <si>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</si>
  <si>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</si>
  <si>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</si>
  <si>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</si>
  <si>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</si>
  <si>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</si>
  <si>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</si>
  <si>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</si>
  <si>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</si>
  <si>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</si>
  <si>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</si>
  <si>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</si>
  <si>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</si>
  <si>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</si>
  <si>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</si>
  <si>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</si>
  <si>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</si>
  <si>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</si>
  <si>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</si>
  <si>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</si>
  <si>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</si>
  <si>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</si>
  <si>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</si>
  <si>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</si>
  <si>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</si>
  <si>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</si>
  <si>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</si>
  <si>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</si>
  <si>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</si>
  <si>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</si>
  <si>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</si>
  <si>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</si>
  <si>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</si>
  <si>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</si>
  <si>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</si>
  <si>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</si>
  <si>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</si>
  <si>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</si>
  <si>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</si>
  <si>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</si>
  <si>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</si>
  <si>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</si>
  <si>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</si>
  <si>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</si>
  <si>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</si>
  <si>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</si>
  <si>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</si>
  <si>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</si>
  <si>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</si>
  <si>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</si>
  <si>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</si>
  <si>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</si>
  <si>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</si>
  <si>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</si>
  <si>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</si>
  <si>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</si>
  <si>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</si>
  <si>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</si>
  <si>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</si>
  <si>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</si>
  <si>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</si>
  <si>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</si>
  <si>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</si>
  <si>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</si>
  <si>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</si>
  <si>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</si>
  <si>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</si>
  <si>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</si>
  <si>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</si>
  <si>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</si>
  <si>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</si>
  <si>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</si>
  <si>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</si>
  <si>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</si>
  <si>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</si>
  <si>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</si>
  <si>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</si>
  <si>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</si>
  <si>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</si>
  <si>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</si>
  <si>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</si>
  <si>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</si>
  <si>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</si>
  <si>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</si>
  <si>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</si>
  <si>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</si>
  <si>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</si>
  <si>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</si>
  <si>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</si>
  <si>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</si>
  <si>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</si>
  <si>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</si>
  <si>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</si>
  <si>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</si>
  <si>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</si>
  <si>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</si>
  <si>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</si>
  <si>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</si>
  <si>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</si>
  <si>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</si>
  <si>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</si>
  <si>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</si>
  <si>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</si>
  <si>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</si>
  <si>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</si>
  <si>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</si>
  <si>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</si>
  <si>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</si>
  <si>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</si>
  <si>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</si>
  <si>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</si>
  <si>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</si>
  <si>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</si>
  <si>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</si>
  <si>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</si>
  <si>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</si>
  <si>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</si>
  <si>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</si>
  <si>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</si>
  <si>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</si>
  <si>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</si>
  <si>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</si>
  <si>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</si>
  <si>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</si>
  <si>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</si>
  <si>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</si>
  <si>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</si>
  <si>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</si>
  <si>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</si>
  <si>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</si>
  <si>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</si>
  <si>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</si>
  <si>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</si>
  <si>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</si>
  <si>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</si>
  <si>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</si>
  <si>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</si>
  <si>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</si>
  <si>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</si>
  <si>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</si>
  <si>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</si>
  <si>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</si>
  <si>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</si>
  <si>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</si>
  <si>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</si>
  <si>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</si>
  <si>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</si>
  <si>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</si>
  <si>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</si>
  <si>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</si>
  <si>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</si>
  <si>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</si>
  <si>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</si>
  <si>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</si>
  <si>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</si>
  <si>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</si>
  <si>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</si>
  <si>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</si>
  <si>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</si>
  <si>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</si>
  <si>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</si>
  <si>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</si>
  <si>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</si>
  <si>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</si>
  <si>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</si>
  <si>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</si>
  <si>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</si>
  <si>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</si>
  <si>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</si>
  <si>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</si>
  <si>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</si>
  <si>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</si>
  <si>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</si>
  <si>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</si>
  <si>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</si>
  <si>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</si>
  <si>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</si>
  <si>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</si>
  <si>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</si>
  <si>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</si>
  <si>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</si>
  <si>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</si>
  <si>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</si>
  <si>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</si>
  <si>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</si>
  <si>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</si>
  <si>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</si>
  <si>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</si>
  <si>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</si>
  <si>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</si>
  <si>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</si>
  <si>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</si>
  <si>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</si>
  <si>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</si>
  <si>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</si>
  <si>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</si>
  <si>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</si>
  <si>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</si>
  <si>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</si>
  <si>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</si>
  <si>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</si>
  <si>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</si>
  <si>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</si>
  <si>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</si>
  <si>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</si>
  <si>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</si>
  <si>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</si>
  <si>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</si>
  <si>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</si>
  <si>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</si>
  <si>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</si>
  <si>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</si>
  <si>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</si>
  <si>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</si>
  <si>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</si>
  <si>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</si>
  <si>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</si>
  <si>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</si>
  <si>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</si>
  <si>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</si>
  <si>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</si>
  <si>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</si>
  <si>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</si>
  <si>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</si>
  <si>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</si>
  <si>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</si>
  <si>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</si>
  <si>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</si>
  <si>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</si>
  <si>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</si>
  <si>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</si>
  <si>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</si>
  <si>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</si>
  <si>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</si>
  <si>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</si>
  <si>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</si>
  <si>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</si>
  <si>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</si>
  <si>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</si>
  <si>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</si>
  <si>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</si>
  <si>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</si>
  <si>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</si>
  <si>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</si>
  <si>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</si>
  <si>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</si>
  <si>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</si>
  <si>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</si>
  <si>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</si>
  <si>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</si>
  <si>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</si>
  <si>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</si>
  <si>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</si>
  <si>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</si>
  <si>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</si>
  <si>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</si>
  <si>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</si>
  <si>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</si>
  <si>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</si>
  <si>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</si>
  <si>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</si>
  <si>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</si>
  <si>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</si>
  <si>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</si>
  <si>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</si>
  <si>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</si>
  <si>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</si>
  <si>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</si>
  <si>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</si>
  <si>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</si>
  <si>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</si>
  <si>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</si>
  <si>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</si>
  <si>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</si>
  <si>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</si>
  <si>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</si>
  <si>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</si>
  <si>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</si>
  <si>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</si>
  <si>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</si>
  <si>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</si>
  <si>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</si>
  <si>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</si>
  <si>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</si>
  <si>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</si>
  <si>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</si>
  <si>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</si>
  <si>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</si>
  <si>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</si>
  <si>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</si>
  <si>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</si>
  <si>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</si>
  <si>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</si>
  <si>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</si>
  <si>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</si>
  <si>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</si>
  <si>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</si>
  <si>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</si>
  <si>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</si>
  <si>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</si>
  <si>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</si>
  <si>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</si>
  <si>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</si>
  <si>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</si>
  <si>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</si>
  <si>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</si>
  <si>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</si>
  <si>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</si>
  <si>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</si>
  <si>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</si>
  <si>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</si>
  <si>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</si>
  <si>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</si>
  <si>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</si>
  <si>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</si>
  <si>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</si>
  <si>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</si>
  <si>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</si>
  <si>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</si>
  <si>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</si>
  <si>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</si>
  <si>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</si>
  <si>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</si>
  <si>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</si>
  <si>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</si>
  <si>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</si>
  <si>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</si>
  <si>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</si>
  <si>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</si>
  <si>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</si>
  <si>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</si>
  <si>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</si>
  <si>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</si>
  <si>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</si>
  <si>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</si>
  <si>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</si>
  <si>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</si>
  <si>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</si>
  <si>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</si>
  <si>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</si>
  <si>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</si>
  <si>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</si>
  <si>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</si>
  <si>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</si>
  <si>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</si>
  <si>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</si>
  <si>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</si>
  <si>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</si>
  <si>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</si>
  <si>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</si>
  <si>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</si>
  <si>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</si>
  <si>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</si>
  <si>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</si>
  <si>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</si>
  <si>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</si>
  <si>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</si>
  <si>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</si>
  <si>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</si>
  <si>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</si>
  <si>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</si>
  <si>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</si>
  <si>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</si>
  <si>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</si>
  <si>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</si>
  <si>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</si>
  <si>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</si>
  <si>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</si>
  <si>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</si>
  <si>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</si>
  <si>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</si>
  <si>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</si>
  <si>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</si>
  <si>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</si>
  <si>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</si>
  <si>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</si>
  <si>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</si>
  <si>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</si>
  <si>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</si>
  <si>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</si>
  <si>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</si>
  <si>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</si>
  <si>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</si>
  <si>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</si>
  <si>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</si>
  <si>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</si>
  <si>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</si>
  <si>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</si>
  <si>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</si>
  <si>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</si>
  <si>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</si>
  <si>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</si>
  <si>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</si>
  <si>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</si>
  <si>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</si>
  <si>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</si>
  <si>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</si>
  <si>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</si>
  <si>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</si>
  <si>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</si>
  <si>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</si>
  <si>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</si>
  <si>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</si>
  <si>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</si>
  <si>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</si>
  <si>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</si>
  <si>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</si>
  <si>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</si>
  <si>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</si>
  <si>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</si>
  <si>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</si>
  <si>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</si>
  <si>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</si>
  <si>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</si>
  <si>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</si>
  <si>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</si>
  <si>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</si>
  <si>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</si>
  <si>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</si>
  <si>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</si>
  <si>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</si>
  <si>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</si>
  <si>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</si>
  <si>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</si>
  <si>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</si>
  <si>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</si>
  <si>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</si>
  <si>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</si>
  <si>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</si>
  <si>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</si>
  <si>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</si>
  <si>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</si>
  <si>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</si>
  <si>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</si>
  <si>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</si>
  <si>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</si>
  <si>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</si>
  <si>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</si>
  <si>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</si>
  <si>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</si>
  <si>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</si>
  <si>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</si>
  <si>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</si>
  <si>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</si>
  <si>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</si>
  <si>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</si>
  <si>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</si>
  <si>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</si>
  <si>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</si>
  <si>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</si>
  <si>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</si>
  <si>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</si>
  <si>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</si>
  <si>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</si>
  <si>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</si>
  <si>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</si>
  <si>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</si>
  <si>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</si>
  <si>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</si>
  <si>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</si>
  <si>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</si>
  <si>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</si>
  <si>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</si>
  <si>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</si>
  <si>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</si>
  <si>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</si>
  <si>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</si>
  <si>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</si>
  <si>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</si>
  <si>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</si>
  <si>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</si>
  <si>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</si>
  <si>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</si>
  <si>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</si>
  <si>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</si>
  <si>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</si>
  <si>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</si>
  <si>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</si>
  <si>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</si>
  <si>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</si>
  <si>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</si>
  <si>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</si>
  <si>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</si>
  <si>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</si>
  <si>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</si>
  <si>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</si>
  <si>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</si>
  <si>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</si>
  <si>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</si>
  <si>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</si>
  <si>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</si>
  <si>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</si>
  <si>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</si>
  <si>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WESTERN CONNECTICUT HEALTH NETWORK INC.(FORMERLY WESTERN CONNECTICUT HEALTHCARE, INC.)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</si>
  <si>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</si>
  <si>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</si>
  <si>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</si>
  <si>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</si>
  <si>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</si>
  <si>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</si>
  <si>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</si>
  <si>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</si>
  <si>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</si>
  <si>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</si>
  <si>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</si>
  <si>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</si>
  <si>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</si>
  <si>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</si>
  <si>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</si>
  <si>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</si>
  <si>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</si>
  <si>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</si>
  <si>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</si>
  <si>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</si>
  <si>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</si>
  <si>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</si>
  <si>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</si>
  <si>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</si>
  <si>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</si>
  <si>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</si>
  <si>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</si>
  <si>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</si>
  <si>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</si>
  <si>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</si>
  <si>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</si>
  <si>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</si>
  <si>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</si>
  <si>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</si>
  <si>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</si>
  <si>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</si>
  <si>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</si>
  <si>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</si>
  <si>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</si>
  <si>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</si>
  <si>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</si>
  <si>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</si>
  <si>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</si>
  <si>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</si>
  <si>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</si>
  <si>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</si>
  <si>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</si>
  <si>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</si>
  <si>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</si>
  <si>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</si>
  <si>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</si>
  <si>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</si>
  <si>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</si>
  <si>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</si>
  <si>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</si>
  <si>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</si>
  <si>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</si>
  <si>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</si>
  <si>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</si>
  <si>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</si>
  <si>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</si>
  <si>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</si>
  <si>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</si>
  <si>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</si>
  <si>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</si>
  <si>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</si>
  <si>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</si>
  <si>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</si>
  <si>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</si>
  <si>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</si>
  <si>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</si>
  <si>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</si>
  <si>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</si>
  <si>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</si>
  <si>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</si>
  <si>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</si>
  <si>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</si>
  <si>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</si>
  <si>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</si>
  <si>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</si>
  <si>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</si>
  <si>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</si>
  <si>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</si>
  <si>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</si>
  <si>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</si>
  <si>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</si>
  <si>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</si>
  <si>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</si>
  <si>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</si>
  <si>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</si>
  <si>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</si>
  <si>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</si>
  <si>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</si>
  <si>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</si>
  <si>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</si>
  <si>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</si>
  <si>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</si>
  <si>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</si>
  <si>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</si>
  <si>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</si>
  <si>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</si>
  <si>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</si>
  <si>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</si>
  <si>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</si>
  <si>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</si>
  <si>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</si>
  <si>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</si>
  <si>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</si>
  <si>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</si>
  <si>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</si>
  <si>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</si>
  <si>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</si>
  <si>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</si>
  <si>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</si>
  <si>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</si>
  <si>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</si>
  <si>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</si>
  <si>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</si>
  <si>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</si>
  <si>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</si>
  <si>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New Milford Hospital Inc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</si>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</sst>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2221385</v>
      </c>
      <c r="D13" s="22">
        <v>1731840</v>
      </c>
      <c r="E13" s="22">
        <f t="shared" ref="E13:E22" si="0">D13-C13</f>
        <v>-489545</v>
      </c>
      <c r="F13" s="23">
        <f t="shared" ref="F13:F22" si="1">IF(C13=0,0,E13/C13)</f>
        <v>-0.22037827751605418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7314799</v>
      </c>
      <c r="D15" s="22">
        <v>6782651</v>
      </c>
      <c r="E15" s="22">
        <f t="shared" si="0"/>
        <v>-532148</v>
      </c>
      <c r="F15" s="23">
        <f t="shared" si="1"/>
        <v>-7.2749504121712702E-2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1521171</v>
      </c>
      <c r="D19" s="22">
        <v>1588724</v>
      </c>
      <c r="E19" s="22">
        <f t="shared" si="0"/>
        <v>67553</v>
      </c>
      <c r="F19" s="23">
        <f t="shared" si="1"/>
        <v>4.4408551043899736E-2</v>
      </c>
    </row>
    <row r="20" spans="1:11" ht="24" customHeight="1" x14ac:dyDescent="0.2">
      <c r="A20" s="20">
        <v>8</v>
      </c>
      <c r="B20" s="21" t="s">
        <v>23</v>
      </c>
      <c r="C20" s="22">
        <v>371475</v>
      </c>
      <c r="D20" s="22">
        <v>411351</v>
      </c>
      <c r="E20" s="22">
        <f t="shared" si="0"/>
        <v>39876</v>
      </c>
      <c r="F20" s="23">
        <f t="shared" si="1"/>
        <v>0.10734504340803554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11428830</v>
      </c>
      <c r="D22" s="26">
        <f>SUM(D13:D21)</f>
        <v>10514566</v>
      </c>
      <c r="E22" s="26">
        <f t="shared" si="0"/>
        <v>-914264</v>
      </c>
      <c r="F22" s="27">
        <f t="shared" si="1"/>
        <v>-7.9996290083936855E-2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0</v>
      </c>
      <c r="D29" s="26">
        <f>SUM(D25:D28)</f>
        <v>0</v>
      </c>
      <c r="E29" s="26">
        <f>D29-C29</f>
        <v>0</v>
      </c>
      <c r="F29" s="27">
        <f>IF(C29=0,0,E29/C29)</f>
        <v>0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11319493</v>
      </c>
      <c r="D31" s="22">
        <v>10840989</v>
      </c>
      <c r="E31" s="22">
        <f>D31-C31</f>
        <v>-478504</v>
      </c>
      <c r="F31" s="23">
        <f>IF(C31=0,0,E31/C31)</f>
        <v>-4.2272564681121318E-2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4652903</v>
      </c>
      <c r="D33" s="22">
        <v>4789007</v>
      </c>
      <c r="E33" s="22">
        <f>D33-C33</f>
        <v>136104</v>
      </c>
      <c r="F33" s="23">
        <f>IF(C33=0,0,E33/C33)</f>
        <v>2.925141572906205E-2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93199231</v>
      </c>
      <c r="D36" s="22">
        <v>97225461</v>
      </c>
      <c r="E36" s="22">
        <f>D36-C36</f>
        <v>4026230</v>
      </c>
      <c r="F36" s="23">
        <f>IF(C36=0,0,E36/C36)</f>
        <v>4.3200249152270366E-2</v>
      </c>
    </row>
    <row r="37" spans="1:8" ht="24" customHeight="1" x14ac:dyDescent="0.2">
      <c r="A37" s="20">
        <v>2</v>
      </c>
      <c r="B37" s="21" t="s">
        <v>39</v>
      </c>
      <c r="C37" s="22">
        <v>63868519</v>
      </c>
      <c r="D37" s="22">
        <v>69346293</v>
      </c>
      <c r="E37" s="22">
        <f>D37-C37</f>
        <v>5477774</v>
      </c>
      <c r="F37" s="23">
        <f>IF(C37=0,0,E37/C37)</f>
        <v>8.5766416471939805E-2</v>
      </c>
    </row>
    <row r="38" spans="1:8" ht="24" customHeight="1" x14ac:dyDescent="0.25">
      <c r="A38" s="24"/>
      <c r="B38" s="25" t="s">
        <v>40</v>
      </c>
      <c r="C38" s="26">
        <f>C36-C37</f>
        <v>29330712</v>
      </c>
      <c r="D38" s="26">
        <f>D36-D37</f>
        <v>27879168</v>
      </c>
      <c r="E38" s="26">
        <f>D38-C38</f>
        <v>-1451544</v>
      </c>
      <c r="F38" s="27">
        <f>IF(C38=0,0,E38/C38)</f>
        <v>-4.9488877051467414E-2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4537992</v>
      </c>
      <c r="D40" s="22">
        <v>12765062</v>
      </c>
      <c r="E40" s="22">
        <f>D40-C40</f>
        <v>8227070</v>
      </c>
      <c r="F40" s="23">
        <f>IF(C40=0,0,E40/C40)</f>
        <v>1.8129317989101787</v>
      </c>
    </row>
    <row r="41" spans="1:8" ht="24" customHeight="1" x14ac:dyDescent="0.25">
      <c r="A41" s="24"/>
      <c r="B41" s="25" t="s">
        <v>42</v>
      </c>
      <c r="C41" s="26">
        <f>+C38+C40</f>
        <v>33868704</v>
      </c>
      <c r="D41" s="26">
        <f>+D38+D40</f>
        <v>40644230</v>
      </c>
      <c r="E41" s="26">
        <f>D41-C41</f>
        <v>6775526</v>
      </c>
      <c r="F41" s="27">
        <f>IF(C41=0,0,E41/C41)</f>
        <v>0.20005270942755884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61269930</v>
      </c>
      <c r="D43" s="26">
        <f>D22+D29+D31+D32+D33+D41</f>
        <v>66788792</v>
      </c>
      <c r="E43" s="26">
        <f>D43-C43</f>
        <v>5518862</v>
      </c>
      <c r="F43" s="27">
        <f>IF(C43=0,0,E43/C43)</f>
        <v>9.0074560228810441E-2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2903944</v>
      </c>
      <c r="D49" s="22">
        <v>3789982</v>
      </c>
      <c r="E49" s="22">
        <f t="shared" ref="E49:E56" si="2">D49-C49</f>
        <v>886038</v>
      </c>
      <c r="F49" s="23">
        <f t="shared" ref="F49:F56" si="3">IF(C49=0,0,E49/C49)</f>
        <v>0.30511538790004217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2391153</v>
      </c>
      <c r="D50" s="22">
        <v>2394662</v>
      </c>
      <c r="E50" s="22">
        <f t="shared" si="2"/>
        <v>3509</v>
      </c>
      <c r="F50" s="23">
        <f t="shared" si="3"/>
        <v>1.4674928789583936E-3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1973652</v>
      </c>
      <c r="D51" s="22">
        <v>2776797</v>
      </c>
      <c r="E51" s="22">
        <f t="shared" si="2"/>
        <v>803145</v>
      </c>
      <c r="F51" s="23">
        <f t="shared" si="3"/>
        <v>0.40693344115375962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6514591</v>
      </c>
      <c r="D52" s="22">
        <v>4086934</v>
      </c>
      <c r="E52" s="22">
        <f t="shared" si="2"/>
        <v>-2427657</v>
      </c>
      <c r="F52" s="23">
        <f t="shared" si="3"/>
        <v>-0.37264918089255333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13783340</v>
      </c>
      <c r="D56" s="26">
        <f>SUM(D49:D55)</f>
        <v>13048375</v>
      </c>
      <c r="E56" s="26">
        <f t="shared" si="2"/>
        <v>-734965</v>
      </c>
      <c r="F56" s="27">
        <f t="shared" si="3"/>
        <v>-5.3322706978134474E-2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2476284</v>
      </c>
      <c r="D60" s="22">
        <v>1082488</v>
      </c>
      <c r="E60" s="22">
        <f>D60-C60</f>
        <v>-1393796</v>
      </c>
      <c r="F60" s="23">
        <f>IF(C60=0,0,E60/C60)</f>
        <v>-0.56285789513642215</v>
      </c>
    </row>
    <row r="61" spans="1:6" ht="24" customHeight="1" x14ac:dyDescent="0.25">
      <c r="A61" s="24"/>
      <c r="B61" s="25" t="s">
        <v>58</v>
      </c>
      <c r="C61" s="26">
        <f>SUM(C59:C60)</f>
        <v>2476284</v>
      </c>
      <c r="D61" s="26">
        <f>SUM(D59:D60)</f>
        <v>1082488</v>
      </c>
      <c r="E61" s="26">
        <f>D61-C61</f>
        <v>-1393796</v>
      </c>
      <c r="F61" s="27">
        <f>IF(C61=0,0,E61/C61)</f>
        <v>-0.56285789513642215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13282674</v>
      </c>
      <c r="D63" s="22">
        <v>18529628</v>
      </c>
      <c r="E63" s="22">
        <f>D63-C63</f>
        <v>5246954</v>
      </c>
      <c r="F63" s="23">
        <f>IF(C63=0,0,E63/C63)</f>
        <v>0.39502241792578813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0</v>
      </c>
      <c r="E64" s="22">
        <f>D64-C64</f>
        <v>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15758958</v>
      </c>
      <c r="D65" s="26">
        <f>SUM(D61:D64)</f>
        <v>19612116</v>
      </c>
      <c r="E65" s="26">
        <f>D65-C65</f>
        <v>3853158</v>
      </c>
      <c r="F65" s="27">
        <f>IF(C65=0,0,E65/C65)</f>
        <v>0.24450588674708063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23332942</v>
      </c>
      <c r="D70" s="22">
        <v>26205321</v>
      </c>
      <c r="E70" s="22">
        <f>D70-C70</f>
        <v>2872379</v>
      </c>
      <c r="F70" s="23">
        <f>IF(C70=0,0,E70/C70)</f>
        <v>0.12310402177316516</v>
      </c>
    </row>
    <row r="71" spans="1:6" ht="24" customHeight="1" x14ac:dyDescent="0.2">
      <c r="A71" s="20">
        <v>2</v>
      </c>
      <c r="B71" s="21" t="s">
        <v>65</v>
      </c>
      <c r="C71" s="22">
        <v>4125215</v>
      </c>
      <c r="D71" s="22">
        <v>3596815</v>
      </c>
      <c r="E71" s="22">
        <f>D71-C71</f>
        <v>-528400</v>
      </c>
      <c r="F71" s="23">
        <f>IF(C71=0,0,E71/C71)</f>
        <v>-0.12809029347561279</v>
      </c>
    </row>
    <row r="72" spans="1:6" ht="24" customHeight="1" x14ac:dyDescent="0.2">
      <c r="A72" s="20">
        <v>3</v>
      </c>
      <c r="B72" s="21" t="s">
        <v>66</v>
      </c>
      <c r="C72" s="22">
        <v>4269475</v>
      </c>
      <c r="D72" s="22">
        <v>4326165</v>
      </c>
      <c r="E72" s="22">
        <f>D72-C72</f>
        <v>56690</v>
      </c>
      <c r="F72" s="23">
        <f>IF(C72=0,0,E72/C72)</f>
        <v>1.3277979142634634E-2</v>
      </c>
    </row>
    <row r="73" spans="1:6" ht="24" customHeight="1" x14ac:dyDescent="0.25">
      <c r="A73" s="20"/>
      <c r="B73" s="25" t="s">
        <v>67</v>
      </c>
      <c r="C73" s="26">
        <f>SUM(C70:C72)</f>
        <v>31727632</v>
      </c>
      <c r="D73" s="26">
        <f>SUM(D70:D72)</f>
        <v>34128301</v>
      </c>
      <c r="E73" s="26">
        <f>D73-C73</f>
        <v>2400669</v>
      </c>
      <c r="F73" s="27">
        <f>IF(C73=0,0,E73/C73)</f>
        <v>7.5664928287115782E-2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61269930</v>
      </c>
      <c r="D75" s="26">
        <f>D56+D65+D67+D73</f>
        <v>66788792</v>
      </c>
      <c r="E75" s="26">
        <f>D75-C75</f>
        <v>5518862</v>
      </c>
      <c r="F75" s="27">
        <f>IF(C75=0,0,E75/C75)</f>
        <v>9.0074560228810441E-2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736921369</v>
      </c>
      <c r="D11" s="76">
        <v>693630862</v>
      </c>
      <c r="E11" s="76">
        <v>961369530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29907285</v>
      </c>
      <c r="D12" s="185">
        <v>18878200</v>
      </c>
      <c r="E12" s="185">
        <v>32255500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766828654</v>
      </c>
      <c r="D13" s="76">
        <f>+D11+D12</f>
        <v>712509062</v>
      </c>
      <c r="E13" s="76">
        <f>+E11+E12</f>
        <v>993625030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748965294</v>
      </c>
      <c r="D14" s="185">
        <v>689272450</v>
      </c>
      <c r="E14" s="185">
        <v>961175602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17863360</v>
      </c>
      <c r="D15" s="76">
        <f>+D13-D14</f>
        <v>23236612</v>
      </c>
      <c r="E15" s="76">
        <f>+E13-E14</f>
        <v>32449428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24649093</v>
      </c>
      <c r="D16" s="185">
        <v>10485983</v>
      </c>
      <c r="E16" s="185">
        <v>316766946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42512453</v>
      </c>
      <c r="D17" s="76">
        <f>D15+D16</f>
        <v>33722595</v>
      </c>
      <c r="E17" s="76">
        <f>E15+E16</f>
        <v>349216374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2.2569630122525733E-2</v>
      </c>
      <c r="D20" s="189">
        <f>IF(+D27=0,0,+D24/+D27)</f>
        <v>3.2139379323132156E-2</v>
      </c>
      <c r="E20" s="189">
        <f>IF(+E27=0,0,+E24/+E27)</f>
        <v>2.4763146138190334E-2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3.1143128272941828E-2</v>
      </c>
      <c r="D21" s="189">
        <f>IF(+D27=0,0,+D26/+D27)</f>
        <v>1.4503533699874803E-2</v>
      </c>
      <c r="E21" s="189">
        <f>IF(+E27=0,0,+E26/+E27)</f>
        <v>0.2417344976172229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5.3712758395467561E-2</v>
      </c>
      <c r="D22" s="189">
        <f>IF(+D27=0,0,+D28/+D27)</f>
        <v>4.6642913023006959E-2</v>
      </c>
      <c r="E22" s="189">
        <f>IF(+E27=0,0,+E28/+E27)</f>
        <v>0.26649764375541324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17863360</v>
      </c>
      <c r="D24" s="76">
        <f>+D15</f>
        <v>23236612</v>
      </c>
      <c r="E24" s="76">
        <f>+E15</f>
        <v>32449428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766828654</v>
      </c>
      <c r="D25" s="76">
        <f>+D13</f>
        <v>712509062</v>
      </c>
      <c r="E25" s="76">
        <f>+E13</f>
        <v>993625030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24649093</v>
      </c>
      <c r="D26" s="76">
        <f>+D16</f>
        <v>10485983</v>
      </c>
      <c r="E26" s="76">
        <f>+E16</f>
        <v>316766946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791477747</v>
      </c>
      <c r="D27" s="76">
        <f>SUM(D25:D26)</f>
        <v>722995045</v>
      </c>
      <c r="E27" s="76">
        <f>SUM(E25:E26)</f>
        <v>1310391976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42512453</v>
      </c>
      <c r="D28" s="76">
        <f>+D17</f>
        <v>33722595</v>
      </c>
      <c r="E28" s="76">
        <f>+E17</f>
        <v>349216374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277089185</v>
      </c>
      <c r="D31" s="76">
        <v>404480146</v>
      </c>
      <c r="E31" s="76">
        <v>661351254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343874581</v>
      </c>
      <c r="D32" s="76">
        <v>500199140</v>
      </c>
      <c r="E32" s="76">
        <v>797554121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-4529861</v>
      </c>
      <c r="D33" s="76">
        <f>+D32-C32</f>
        <v>156324559</v>
      </c>
      <c r="E33" s="76">
        <f>+E32-D32</f>
        <v>297354981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0.9869</v>
      </c>
      <c r="D34" s="193">
        <f>IF(C32=0,0,+D33/C32)</f>
        <v>0.45459759934974664</v>
      </c>
      <c r="E34" s="193">
        <f>IF(D32=0,0,+E33/D32)</f>
        <v>0.59447319521580944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2.2618085678223792</v>
      </c>
      <c r="D38" s="338">
        <f>IF(+D40=0,0,+D39/+D40)</f>
        <v>1.9447954398784246</v>
      </c>
      <c r="E38" s="338">
        <f>IF(+E40=0,0,+E39/+E40)</f>
        <v>1.6806729621222469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187490183</v>
      </c>
      <c r="D39" s="341">
        <v>194314003</v>
      </c>
      <c r="E39" s="341">
        <v>358412968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82893922</v>
      </c>
      <c r="D40" s="341">
        <v>99914880</v>
      </c>
      <c r="E40" s="341">
        <v>213255628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38.088847164066088</v>
      </c>
      <c r="D42" s="343">
        <f>IF((D48/365)=0,0,+D45/(D48/365))</f>
        <v>40.183943063103619</v>
      </c>
      <c r="E42" s="343">
        <f>IF((E48/365)=0,0,+E45/(E48/365))</f>
        <v>63.660324233648275</v>
      </c>
    </row>
    <row r="43" spans="1:14" ht="24" customHeight="1" x14ac:dyDescent="0.2">
      <c r="A43" s="339">
        <v>5</v>
      </c>
      <c r="B43" s="344" t="s">
        <v>16</v>
      </c>
      <c r="C43" s="345">
        <v>74083960</v>
      </c>
      <c r="D43" s="345">
        <v>71777507</v>
      </c>
      <c r="E43" s="345">
        <v>144314483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14004464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74083960</v>
      </c>
      <c r="D45" s="341">
        <f>+D43+D44</f>
        <v>71777507</v>
      </c>
      <c r="E45" s="341">
        <f>+E43+E44</f>
        <v>158318947</v>
      </c>
    </row>
    <row r="46" spans="1:14" ht="24" customHeight="1" x14ac:dyDescent="0.2">
      <c r="A46" s="339">
        <v>8</v>
      </c>
      <c r="B46" s="340" t="s">
        <v>334</v>
      </c>
      <c r="C46" s="341">
        <f>+C14</f>
        <v>748965294</v>
      </c>
      <c r="D46" s="341">
        <f>+D14</f>
        <v>689272450</v>
      </c>
      <c r="E46" s="341">
        <f>+E14</f>
        <v>961175602</v>
      </c>
    </row>
    <row r="47" spans="1:14" ht="24" customHeight="1" x14ac:dyDescent="0.2">
      <c r="A47" s="339">
        <v>9</v>
      </c>
      <c r="B47" s="340" t="s">
        <v>356</v>
      </c>
      <c r="C47" s="341">
        <v>39029252</v>
      </c>
      <c r="D47" s="341">
        <v>37300840</v>
      </c>
      <c r="E47" s="341">
        <v>53445138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709936042</v>
      </c>
      <c r="D48" s="341">
        <f>+D46-D47</f>
        <v>651971610</v>
      </c>
      <c r="E48" s="341">
        <f>+E46-E47</f>
        <v>907730464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33.186873883419715</v>
      </c>
      <c r="D50" s="350">
        <f>IF((D55/365)=0,0,+D54/(D55/365))</f>
        <v>34.507593752366802</v>
      </c>
      <c r="E50" s="350">
        <f>IF((E55/365)=0,0,+E54/(E55/365))</f>
        <v>28.474026236300624</v>
      </c>
    </row>
    <row r="51" spans="1:5" ht="24" customHeight="1" x14ac:dyDescent="0.2">
      <c r="A51" s="339">
        <v>12</v>
      </c>
      <c r="B51" s="344" t="s">
        <v>359</v>
      </c>
      <c r="C51" s="351">
        <v>79495132</v>
      </c>
      <c r="D51" s="351">
        <v>76374995</v>
      </c>
      <c r="E51" s="351">
        <v>128633349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12492073</v>
      </c>
      <c r="D53" s="341">
        <v>10798195</v>
      </c>
      <c r="E53" s="341">
        <v>53635921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67003059</v>
      </c>
      <c r="D54" s="352">
        <f>+D51+D52-D53</f>
        <v>65576800</v>
      </c>
      <c r="E54" s="352">
        <f>+E51+E52-E53</f>
        <v>74997428</v>
      </c>
    </row>
    <row r="55" spans="1:5" ht="24" customHeight="1" x14ac:dyDescent="0.2">
      <c r="A55" s="339">
        <v>16</v>
      </c>
      <c r="B55" s="340" t="s">
        <v>75</v>
      </c>
      <c r="C55" s="341">
        <f>+C11</f>
        <v>736921369</v>
      </c>
      <c r="D55" s="341">
        <f>+D11</f>
        <v>693630862</v>
      </c>
      <c r="E55" s="341">
        <f>+E11</f>
        <v>961369530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42.618320158479854</v>
      </c>
      <c r="D57" s="355">
        <f>IF((D61/365)=0,0,+D58/(D61/365))</f>
        <v>55.936379192952892</v>
      </c>
      <c r="E57" s="355">
        <f>IF((E61/365)=0,0,+E58/(E61/365))</f>
        <v>85.750459312556458</v>
      </c>
    </row>
    <row r="58" spans="1:5" ht="24" customHeight="1" x14ac:dyDescent="0.2">
      <c r="A58" s="339">
        <v>18</v>
      </c>
      <c r="B58" s="340" t="s">
        <v>54</v>
      </c>
      <c r="C58" s="353">
        <f>+C40</f>
        <v>82893922</v>
      </c>
      <c r="D58" s="353">
        <f>+D40</f>
        <v>99914880</v>
      </c>
      <c r="E58" s="353">
        <f>+E40</f>
        <v>213255628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748965294</v>
      </c>
      <c r="D59" s="353">
        <f t="shared" si="0"/>
        <v>689272450</v>
      </c>
      <c r="E59" s="353">
        <f t="shared" si="0"/>
        <v>961175602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39029252</v>
      </c>
      <c r="D60" s="356">
        <f t="shared" si="0"/>
        <v>37300840</v>
      </c>
      <c r="E60" s="356">
        <f t="shared" si="0"/>
        <v>53445138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709936042</v>
      </c>
      <c r="D61" s="353">
        <f>+D59-D60</f>
        <v>651971610</v>
      </c>
      <c r="E61" s="353">
        <f>+E59-E60</f>
        <v>907730464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37.706809960592174</v>
      </c>
      <c r="D65" s="357">
        <f>IF(D67=0,0,(D66/D67)*100)</f>
        <v>51.398754304348657</v>
      </c>
      <c r="E65" s="357">
        <f>IF(E67=0,0,(E66/E67)*100)</f>
        <v>48.925563433152533</v>
      </c>
    </row>
    <row r="66" spans="1:5" ht="24" customHeight="1" x14ac:dyDescent="0.2">
      <c r="A66" s="339">
        <v>2</v>
      </c>
      <c r="B66" s="340" t="s">
        <v>67</v>
      </c>
      <c r="C66" s="353">
        <f>+C32</f>
        <v>343874581</v>
      </c>
      <c r="D66" s="353">
        <f>+D32</f>
        <v>500199140</v>
      </c>
      <c r="E66" s="353">
        <f>+E32</f>
        <v>797554121</v>
      </c>
    </row>
    <row r="67" spans="1:5" ht="24" customHeight="1" x14ac:dyDescent="0.2">
      <c r="A67" s="339">
        <v>3</v>
      </c>
      <c r="B67" s="340" t="s">
        <v>43</v>
      </c>
      <c r="C67" s="353">
        <v>911969433</v>
      </c>
      <c r="D67" s="353">
        <v>973173663</v>
      </c>
      <c r="E67" s="353">
        <v>1630137836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24.451189107920499</v>
      </c>
      <c r="D69" s="357">
        <f>IF(D75=0,0,(D72/D75)*100)</f>
        <v>20.490590305874925</v>
      </c>
      <c r="E69" s="357">
        <f>IF(E75=0,0,(E72/E75)*100)</f>
        <v>69.787529608373944</v>
      </c>
    </row>
    <row r="70" spans="1:5" ht="24" customHeight="1" x14ac:dyDescent="0.2">
      <c r="A70" s="339">
        <v>5</v>
      </c>
      <c r="B70" s="340" t="s">
        <v>366</v>
      </c>
      <c r="C70" s="353">
        <f>+C28</f>
        <v>42512453</v>
      </c>
      <c r="D70" s="353">
        <f>+D28</f>
        <v>33722595</v>
      </c>
      <c r="E70" s="353">
        <f>+E28</f>
        <v>349216374</v>
      </c>
    </row>
    <row r="71" spans="1:5" ht="24" customHeight="1" x14ac:dyDescent="0.2">
      <c r="A71" s="339">
        <v>6</v>
      </c>
      <c r="B71" s="340" t="s">
        <v>356</v>
      </c>
      <c r="C71" s="356">
        <f>+C47</f>
        <v>39029252</v>
      </c>
      <c r="D71" s="356">
        <f>+D47</f>
        <v>37300840</v>
      </c>
      <c r="E71" s="356">
        <f>+E47</f>
        <v>53445138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81541705</v>
      </c>
      <c r="D72" s="353">
        <f>+D70+D71</f>
        <v>71023435</v>
      </c>
      <c r="E72" s="353">
        <f>+E70+E71</f>
        <v>402661512</v>
      </c>
    </row>
    <row r="73" spans="1:5" ht="24" customHeight="1" x14ac:dyDescent="0.2">
      <c r="A73" s="339">
        <v>8</v>
      </c>
      <c r="B73" s="340" t="s">
        <v>54</v>
      </c>
      <c r="C73" s="341">
        <f>+C40</f>
        <v>82893922</v>
      </c>
      <c r="D73" s="341">
        <f>+D40</f>
        <v>99914880</v>
      </c>
      <c r="E73" s="341">
        <f>+E40</f>
        <v>213255628</v>
      </c>
    </row>
    <row r="74" spans="1:5" ht="24" customHeight="1" x14ac:dyDescent="0.2">
      <c r="A74" s="339">
        <v>9</v>
      </c>
      <c r="B74" s="340" t="s">
        <v>58</v>
      </c>
      <c r="C74" s="353">
        <v>250593765</v>
      </c>
      <c r="D74" s="353">
        <v>246700000</v>
      </c>
      <c r="E74" s="353">
        <v>363726412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333487687</v>
      </c>
      <c r="D75" s="341">
        <f>+D73+D74</f>
        <v>346614880</v>
      </c>
      <c r="E75" s="341">
        <f>+E73+E74</f>
        <v>576982040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42.154265519126568</v>
      </c>
      <c r="D77" s="359">
        <f>IF(D80=0,0,(D78/D80)*100)</f>
        <v>33.029894772673053</v>
      </c>
      <c r="E77" s="359">
        <f>IF(E80=0,0,(E78/E80)*100)</f>
        <v>31.321149512458074</v>
      </c>
    </row>
    <row r="78" spans="1:5" ht="24" customHeight="1" x14ac:dyDescent="0.2">
      <c r="A78" s="339">
        <v>12</v>
      </c>
      <c r="B78" s="340" t="s">
        <v>58</v>
      </c>
      <c r="C78" s="341">
        <f>+C74</f>
        <v>250593765</v>
      </c>
      <c r="D78" s="341">
        <f>+D74</f>
        <v>246700000</v>
      </c>
      <c r="E78" s="341">
        <f>+E74</f>
        <v>363726412</v>
      </c>
    </row>
    <row r="79" spans="1:5" ht="24" customHeight="1" x14ac:dyDescent="0.2">
      <c r="A79" s="339">
        <v>13</v>
      </c>
      <c r="B79" s="340" t="s">
        <v>67</v>
      </c>
      <c r="C79" s="341">
        <f>+C32</f>
        <v>343874581</v>
      </c>
      <c r="D79" s="341">
        <f>+D32</f>
        <v>500199140</v>
      </c>
      <c r="E79" s="341">
        <f>+E32</f>
        <v>797554121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594468346</v>
      </c>
      <c r="D80" s="341">
        <f>+D78+D79</f>
        <v>746899140</v>
      </c>
      <c r="E80" s="341">
        <f>+E78+E79</f>
        <v>1161280533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FILING&amp;R&amp;8WESTERN CONNECTICUT HEALTH NETWORK INC.(FORMERLY WESTERN CONNECTICUT HEALTHCARE, INC.)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5836</v>
      </c>
      <c r="D11" s="376">
        <v>1636</v>
      </c>
      <c r="E11" s="376">
        <v>1621</v>
      </c>
      <c r="F11" s="377">
        <v>16</v>
      </c>
      <c r="G11" s="377">
        <v>69</v>
      </c>
      <c r="H11" s="378">
        <f>IF(F11=0,0,$C11/(F11*365))</f>
        <v>0.99931506849315066</v>
      </c>
      <c r="I11" s="378">
        <f>IF(G11=0,0,$C11/(G11*365))</f>
        <v>0.23172523327377406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880</v>
      </c>
      <c r="D13" s="376">
        <v>121</v>
      </c>
      <c r="E13" s="376">
        <v>0</v>
      </c>
      <c r="F13" s="377">
        <v>3</v>
      </c>
      <c r="G13" s="377">
        <v>8</v>
      </c>
      <c r="H13" s="378">
        <f>IF(F13=0,0,$C13/(F13*365))</f>
        <v>0.80365296803652964</v>
      </c>
      <c r="I13" s="378">
        <f>IF(G13=0,0,$C13/(G13*365))</f>
        <v>0.30136986301369861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0</v>
      </c>
      <c r="D21" s="376">
        <v>0</v>
      </c>
      <c r="E21" s="376">
        <v>0</v>
      </c>
      <c r="F21" s="377">
        <v>0</v>
      </c>
      <c r="G21" s="377">
        <v>8</v>
      </c>
      <c r="H21" s="378">
        <f>IF(F21=0,0,$C21/(F21*365))</f>
        <v>0</v>
      </c>
      <c r="I21" s="378">
        <f>IF(G21=0,0,$C21/(G21*365))</f>
        <v>0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0</v>
      </c>
      <c r="D23" s="376">
        <v>0</v>
      </c>
      <c r="E23" s="376">
        <v>0</v>
      </c>
      <c r="F23" s="377">
        <v>0</v>
      </c>
      <c r="G23" s="377">
        <v>0</v>
      </c>
      <c r="H23" s="378">
        <f>IF(F23=0,0,$C23/(F23*365))</f>
        <v>0</v>
      </c>
      <c r="I23" s="378">
        <f>IF(G23=0,0,$C23/(G23*365))</f>
        <v>0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6716</v>
      </c>
      <c r="D31" s="384">
        <f>SUM(D10:D29)-D13-D17-D23</f>
        <v>1636</v>
      </c>
      <c r="E31" s="384">
        <f>SUM(E10:E29)-E17-E23</f>
        <v>1621</v>
      </c>
      <c r="F31" s="384">
        <f>SUM(F10:F29)-F17-F23</f>
        <v>19</v>
      </c>
      <c r="G31" s="384">
        <f>SUM(G10:G29)-G17-G23</f>
        <v>85</v>
      </c>
      <c r="H31" s="385">
        <f>IF(F31=0,0,$C31/(F31*365))</f>
        <v>0.96842105263157896</v>
      </c>
      <c r="I31" s="385">
        <f>IF(G31=0,0,$C31/(G31*365))</f>
        <v>0.21647058823529411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6716</v>
      </c>
      <c r="D33" s="384">
        <f>SUM(D10:D29)-D13-D17</f>
        <v>1636</v>
      </c>
      <c r="E33" s="384">
        <f>SUM(E10:E29)-E17</f>
        <v>1621</v>
      </c>
      <c r="F33" s="384">
        <f>SUM(F10:F29)-F17</f>
        <v>19</v>
      </c>
      <c r="G33" s="384">
        <f>SUM(G10:G29)-G17</f>
        <v>85</v>
      </c>
      <c r="H33" s="385">
        <f>IF(F33=0,0,$C33/(F33*365))</f>
        <v>0.96842105263157896</v>
      </c>
      <c r="I33" s="385">
        <f>IF(G33=0,0,$C33/(G33*365))</f>
        <v>0.21647058823529411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6716</v>
      </c>
      <c r="D36" s="384">
        <f t="shared" si="1"/>
        <v>1636</v>
      </c>
      <c r="E36" s="384">
        <f t="shared" si="1"/>
        <v>1621</v>
      </c>
      <c r="F36" s="384">
        <f t="shared" si="1"/>
        <v>19</v>
      </c>
      <c r="G36" s="384">
        <f t="shared" si="1"/>
        <v>85</v>
      </c>
      <c r="H36" s="387">
        <f t="shared" si="1"/>
        <v>0.96842105263157896</v>
      </c>
      <c r="I36" s="387">
        <f t="shared" si="1"/>
        <v>0.21647058823529411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7017</v>
      </c>
      <c r="D37" s="384">
        <v>1824</v>
      </c>
      <c r="E37" s="384">
        <v>1829</v>
      </c>
      <c r="F37" s="386">
        <v>22</v>
      </c>
      <c r="G37" s="386">
        <v>95</v>
      </c>
      <c r="H37" s="385">
        <f>IF(F37=0,0,$C37/(F37*365))</f>
        <v>0.87384806973848073</v>
      </c>
      <c r="I37" s="385">
        <f>IF(G37=0,0,$C37/(G37*365))</f>
        <v>0.20236481614996396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-301</v>
      </c>
      <c r="D38" s="384">
        <f t="shared" si="2"/>
        <v>-188</v>
      </c>
      <c r="E38" s="384">
        <f t="shared" si="2"/>
        <v>-208</v>
      </c>
      <c r="F38" s="384">
        <f t="shared" si="2"/>
        <v>-3</v>
      </c>
      <c r="G38" s="384">
        <f t="shared" si="2"/>
        <v>-10</v>
      </c>
      <c r="H38" s="387">
        <f t="shared" si="2"/>
        <v>9.4572982893098234E-2</v>
      </c>
      <c r="I38" s="387">
        <f t="shared" si="2"/>
        <v>1.4105772085330148E-2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-4.2895824426393045E-2</v>
      </c>
      <c r="D40" s="389">
        <f t="shared" si="3"/>
        <v>-0.10307017543859649</v>
      </c>
      <c r="E40" s="389">
        <f t="shared" si="3"/>
        <v>-0.11372334609075997</v>
      </c>
      <c r="F40" s="389">
        <f t="shared" si="3"/>
        <v>-0.13636363636363635</v>
      </c>
      <c r="G40" s="389">
        <f t="shared" si="3"/>
        <v>-0.10526315789473684</v>
      </c>
      <c r="H40" s="389">
        <f t="shared" si="3"/>
        <v>0.10822588750628172</v>
      </c>
      <c r="I40" s="389">
        <f t="shared" si="3"/>
        <v>6.9704666817560615E-2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85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FILING&amp;RNEW MILFORD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710</v>
      </c>
      <c r="D12" s="409">
        <v>703</v>
      </c>
      <c r="E12" s="409">
        <f>+D12-C12</f>
        <v>-7</v>
      </c>
      <c r="F12" s="410">
        <f>IF(C12=0,0,+E12/C12)</f>
        <v>-9.8591549295774655E-3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2528</v>
      </c>
      <c r="D13" s="409">
        <v>2571</v>
      </c>
      <c r="E13" s="409">
        <f>+D13-C13</f>
        <v>43</v>
      </c>
      <c r="F13" s="410">
        <f>IF(C13=0,0,+E13/C13)</f>
        <v>1.7009493670886076E-2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1586</v>
      </c>
      <c r="D14" s="409">
        <v>1597</v>
      </c>
      <c r="E14" s="409">
        <f>+D14-C14</f>
        <v>11</v>
      </c>
      <c r="F14" s="410">
        <f>IF(C14=0,0,+E14/C14)</f>
        <v>6.9356872635561164E-3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4824</v>
      </c>
      <c r="D16" s="401">
        <f>SUM(D12:D15)</f>
        <v>4871</v>
      </c>
      <c r="E16" s="401">
        <f>+D16-C16</f>
        <v>47</v>
      </c>
      <c r="F16" s="402">
        <f>IF(C16=0,0,+E16/C16)</f>
        <v>9.7429519071310124E-3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117</v>
      </c>
      <c r="D19" s="409">
        <v>119</v>
      </c>
      <c r="E19" s="409">
        <f>+D19-C19</f>
        <v>2</v>
      </c>
      <c r="F19" s="410">
        <f>IF(C19=0,0,+E19/C19)</f>
        <v>1.7094017094017096E-2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2720</v>
      </c>
      <c r="D20" s="409">
        <v>2511</v>
      </c>
      <c r="E20" s="409">
        <f>+D20-C20</f>
        <v>-209</v>
      </c>
      <c r="F20" s="410">
        <f>IF(C20=0,0,+E20/C20)</f>
        <v>-7.6838235294117652E-2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15</v>
      </c>
      <c r="D21" s="409">
        <v>22</v>
      </c>
      <c r="E21" s="409">
        <f>+D21-C21</f>
        <v>7</v>
      </c>
      <c r="F21" s="410">
        <f>IF(C21=0,0,+E21/C21)</f>
        <v>0.46666666666666667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2852</v>
      </c>
      <c r="D23" s="401">
        <f>SUM(D19:D22)</f>
        <v>2652</v>
      </c>
      <c r="E23" s="401">
        <f>+D23-C23</f>
        <v>-200</v>
      </c>
      <c r="F23" s="402">
        <f>IF(C23=0,0,+E23/C23)</f>
        <v>-7.0126227208976155E-2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7</v>
      </c>
      <c r="D34" s="409">
        <v>0</v>
      </c>
      <c r="E34" s="409">
        <f>+D34-C34</f>
        <v>-7</v>
      </c>
      <c r="F34" s="410">
        <f>IF(C34=0,0,+E34/C34)</f>
        <v>-1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7</v>
      </c>
      <c r="D37" s="401">
        <f>SUM(D33:D36)</f>
        <v>0</v>
      </c>
      <c r="E37" s="401">
        <f>+D37-C37</f>
        <v>-7</v>
      </c>
      <c r="F37" s="402">
        <f>IF(C37=0,0,+E37/C37)</f>
        <v>-1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519</v>
      </c>
      <c r="D63" s="409">
        <v>448</v>
      </c>
      <c r="E63" s="409">
        <f>+D63-C63</f>
        <v>-71</v>
      </c>
      <c r="F63" s="410">
        <f>IF(C63=0,0,+E63/C63)</f>
        <v>-0.13680154142581888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1905</v>
      </c>
      <c r="D64" s="409">
        <v>1573</v>
      </c>
      <c r="E64" s="409">
        <f>+D64-C64</f>
        <v>-332</v>
      </c>
      <c r="F64" s="410">
        <f>IF(C64=0,0,+E64/C64)</f>
        <v>-0.17427821522309711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2424</v>
      </c>
      <c r="D65" s="401">
        <f>SUM(D63:D64)</f>
        <v>2021</v>
      </c>
      <c r="E65" s="401">
        <f>+D65-C65</f>
        <v>-403</v>
      </c>
      <c r="F65" s="402">
        <f>IF(C65=0,0,+E65/C65)</f>
        <v>-0.16625412541254125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83</v>
      </c>
      <c r="D68" s="409">
        <v>113</v>
      </c>
      <c r="E68" s="409">
        <f>+D68-C68</f>
        <v>30</v>
      </c>
      <c r="F68" s="410">
        <f>IF(C68=0,0,+E68/C68)</f>
        <v>0.36144578313253012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1963</v>
      </c>
      <c r="D69" s="409">
        <v>1945</v>
      </c>
      <c r="E69" s="409">
        <f>+D69-C69</f>
        <v>-18</v>
      </c>
      <c r="F69" s="412">
        <f>IF(C69=0,0,+E69/C69)</f>
        <v>-9.1696383087111564E-3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2046</v>
      </c>
      <c r="D70" s="401">
        <f>SUM(D68:D69)</f>
        <v>2058</v>
      </c>
      <c r="E70" s="401">
        <f>+D70-C70</f>
        <v>12</v>
      </c>
      <c r="F70" s="402">
        <f>IF(C70=0,0,+E70/C70)</f>
        <v>5.8651026392961877E-3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2135</v>
      </c>
      <c r="D73" s="376">
        <v>1984</v>
      </c>
      <c r="E73" s="409">
        <f>+D73-C73</f>
        <v>-151</v>
      </c>
      <c r="F73" s="410">
        <f>IF(C73=0,0,+E73/C73)</f>
        <v>-7.0725995316159251E-2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15715</v>
      </c>
      <c r="D74" s="376">
        <v>14654</v>
      </c>
      <c r="E74" s="409">
        <f>+D74-C74</f>
        <v>-1061</v>
      </c>
      <c r="F74" s="410">
        <f>IF(C74=0,0,+E74/C74)</f>
        <v>-6.7515112949411385E-2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17850</v>
      </c>
      <c r="D75" s="401">
        <f>SUM(D73:D74)</f>
        <v>16638</v>
      </c>
      <c r="E75" s="401">
        <f>SUM(E73:E74)</f>
        <v>-1212</v>
      </c>
      <c r="F75" s="402">
        <f>IF(C75=0,0,+E75/C75)</f>
        <v>-6.7899159663865546E-2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8616</v>
      </c>
      <c r="D81" s="376">
        <v>11634</v>
      </c>
      <c r="E81" s="409">
        <f t="shared" si="0"/>
        <v>3018</v>
      </c>
      <c r="F81" s="410">
        <f t="shared" si="1"/>
        <v>0.35027855153203341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8616</v>
      </c>
      <c r="D92" s="381">
        <f>SUM(D79:D91)</f>
        <v>11634</v>
      </c>
      <c r="E92" s="401">
        <f t="shared" si="0"/>
        <v>3018</v>
      </c>
      <c r="F92" s="402">
        <f t="shared" si="1"/>
        <v>0.35027855153203341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164</v>
      </c>
      <c r="D95" s="414">
        <v>268</v>
      </c>
      <c r="E95" s="415">
        <f t="shared" ref="E95:E100" si="2">+D95-C95</f>
        <v>104</v>
      </c>
      <c r="F95" s="412">
        <f t="shared" ref="F95:F100" si="3">IF(C95=0,0,+E95/C95)</f>
        <v>0.63414634146341464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1199</v>
      </c>
      <c r="D96" s="414">
        <v>1372</v>
      </c>
      <c r="E96" s="409">
        <f t="shared" si="2"/>
        <v>173</v>
      </c>
      <c r="F96" s="410">
        <f t="shared" si="3"/>
        <v>0.14428690575479566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1052</v>
      </c>
      <c r="D97" s="414">
        <v>967</v>
      </c>
      <c r="E97" s="409">
        <f t="shared" si="2"/>
        <v>-85</v>
      </c>
      <c r="F97" s="410">
        <f t="shared" si="3"/>
        <v>-8.0798479087452468E-2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29445</v>
      </c>
      <c r="D99" s="414">
        <v>14786</v>
      </c>
      <c r="E99" s="409">
        <f t="shared" si="2"/>
        <v>-14659</v>
      </c>
      <c r="F99" s="410">
        <f t="shared" si="3"/>
        <v>-0.49784343691628458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31860</v>
      </c>
      <c r="D100" s="381">
        <f>SUM(D95:D99)</f>
        <v>17393</v>
      </c>
      <c r="E100" s="401">
        <f t="shared" si="2"/>
        <v>-14467</v>
      </c>
      <c r="F100" s="402">
        <f t="shared" si="3"/>
        <v>-0.45408035153797865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109.4</v>
      </c>
      <c r="D104" s="416">
        <v>90.1</v>
      </c>
      <c r="E104" s="417">
        <f>+D104-C104</f>
        <v>-19.300000000000011</v>
      </c>
      <c r="F104" s="410">
        <f>IF(C104=0,0,+E104/C104)</f>
        <v>-0.17641681901279718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2.4</v>
      </c>
      <c r="D105" s="416">
        <v>2.2000000000000002</v>
      </c>
      <c r="E105" s="417">
        <f>+D105-C105</f>
        <v>-0.19999999999999973</v>
      </c>
      <c r="F105" s="410">
        <f>IF(C105=0,0,+E105/C105)</f>
        <v>-8.3333333333333232E-2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250.4</v>
      </c>
      <c r="D106" s="416">
        <v>214.7</v>
      </c>
      <c r="E106" s="417">
        <f>+D106-C106</f>
        <v>-35.700000000000017</v>
      </c>
      <c r="F106" s="410">
        <f>IF(C106=0,0,+E106/C106)</f>
        <v>-0.14257188498402562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362.20000000000005</v>
      </c>
      <c r="D107" s="418">
        <f>SUM(D104:D106)</f>
        <v>307</v>
      </c>
      <c r="E107" s="418">
        <f>+D107-C107</f>
        <v>-55.200000000000045</v>
      </c>
      <c r="F107" s="402">
        <f>IF(C107=0,0,+E107/C107)</f>
        <v>-0.15240198785201556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FILING&amp;RNEW MILFORD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1905</v>
      </c>
      <c r="D12" s="409">
        <v>1573</v>
      </c>
      <c r="E12" s="409">
        <f>+D12-C12</f>
        <v>-332</v>
      </c>
      <c r="F12" s="410">
        <f>IF(C12=0,0,+E12/C12)</f>
        <v>-0.17427821522309711</v>
      </c>
    </row>
    <row r="13" spans="1:6" ht="15.75" customHeight="1" x14ac:dyDescent="0.25">
      <c r="A13" s="374"/>
      <c r="B13" s="399" t="s">
        <v>622</v>
      </c>
      <c r="C13" s="401">
        <f>SUM(C11:C12)</f>
        <v>1905</v>
      </c>
      <c r="D13" s="401">
        <f>SUM(D11:D12)</f>
        <v>1573</v>
      </c>
      <c r="E13" s="401">
        <f>+D13-C13</f>
        <v>-332</v>
      </c>
      <c r="F13" s="402">
        <f>IF(C13=0,0,+E13/C13)</f>
        <v>-0.17427821522309711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1963</v>
      </c>
      <c r="D16" s="409">
        <v>1945</v>
      </c>
      <c r="E16" s="409">
        <f>+D16-C16</f>
        <v>-18</v>
      </c>
      <c r="F16" s="410">
        <f>IF(C16=0,0,+E16/C16)</f>
        <v>-9.1696383087111564E-3</v>
      </c>
    </row>
    <row r="17" spans="1:6" ht="15.75" customHeight="1" x14ac:dyDescent="0.25">
      <c r="A17" s="374"/>
      <c r="B17" s="399" t="s">
        <v>623</v>
      </c>
      <c r="C17" s="401">
        <f>SUM(C15:C16)</f>
        <v>1963</v>
      </c>
      <c r="D17" s="401">
        <f>SUM(D15:D16)</f>
        <v>1945</v>
      </c>
      <c r="E17" s="401">
        <f>+D17-C17</f>
        <v>-18</v>
      </c>
      <c r="F17" s="402">
        <f>IF(C17=0,0,+E17/C17)</f>
        <v>-9.1696383087111564E-3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15715</v>
      </c>
      <c r="D20" s="409">
        <v>14654</v>
      </c>
      <c r="E20" s="409">
        <f>+D20-C20</f>
        <v>-1061</v>
      </c>
      <c r="F20" s="410">
        <f>IF(C20=0,0,+E20/C20)</f>
        <v>-6.7515112949411385E-2</v>
      </c>
    </row>
    <row r="21" spans="1:6" ht="15.75" customHeight="1" x14ac:dyDescent="0.25">
      <c r="A21" s="374"/>
      <c r="B21" s="399" t="s">
        <v>625</v>
      </c>
      <c r="C21" s="401">
        <f>SUM(C19:C20)</f>
        <v>15715</v>
      </c>
      <c r="D21" s="401">
        <f>SUM(D19:D20)</f>
        <v>14654</v>
      </c>
      <c r="E21" s="401">
        <f>+D21-C21</f>
        <v>-1061</v>
      </c>
      <c r="F21" s="402">
        <f>IF(C21=0,0,+E21/C21)</f>
        <v>-6.7515112949411385E-2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626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FILING&amp;RNEW MILFORD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29406230</v>
      </c>
      <c r="D15" s="448">
        <v>28637366</v>
      </c>
      <c r="E15" s="448">
        <f t="shared" ref="E15:E24" si="0">D15-C15</f>
        <v>-768864</v>
      </c>
      <c r="F15" s="449">
        <f t="shared" ref="F15:F24" si="1">IF(C15=0,0,E15/C15)</f>
        <v>-2.6146296210020802E-2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11036175</v>
      </c>
      <c r="D16" s="448">
        <v>9897956</v>
      </c>
      <c r="E16" s="448">
        <f t="shared" si="0"/>
        <v>-1138219</v>
      </c>
      <c r="F16" s="449">
        <f t="shared" si="1"/>
        <v>-0.10313528011290143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0.37530057406202699</v>
      </c>
      <c r="D17" s="453">
        <f>IF(LN_IA1=0,0,LN_IA2/LN_IA1)</f>
        <v>0.34563080976092564</v>
      </c>
      <c r="E17" s="454">
        <f t="shared" si="0"/>
        <v>-2.9669764301101353E-2</v>
      </c>
      <c r="F17" s="449">
        <f t="shared" si="1"/>
        <v>-7.9056005643619795E-2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1083</v>
      </c>
      <c r="D18" s="456">
        <v>1047</v>
      </c>
      <c r="E18" s="456">
        <f t="shared" si="0"/>
        <v>-36</v>
      </c>
      <c r="F18" s="449">
        <f t="shared" si="1"/>
        <v>-3.3240997229916899E-2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1.3311999999999999</v>
      </c>
      <c r="D19" s="459">
        <v>1.3188</v>
      </c>
      <c r="E19" s="460">
        <f t="shared" si="0"/>
        <v>-1.2399999999999967E-2</v>
      </c>
      <c r="F19" s="449">
        <f t="shared" si="1"/>
        <v>-9.3149038461538217E-3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1441.6895999999999</v>
      </c>
      <c r="D20" s="463">
        <f>LN_IA4*LN_IA5</f>
        <v>1380.7836</v>
      </c>
      <c r="E20" s="463">
        <f t="shared" si="0"/>
        <v>-60.905999999999949</v>
      </c>
      <c r="F20" s="449">
        <f t="shared" si="1"/>
        <v>-4.2246264383123767E-2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7655.028516540593</v>
      </c>
      <c r="D21" s="465">
        <f>IF(LN_IA6=0,0,LN_IA2/LN_IA6)</f>
        <v>7168.3615013967428</v>
      </c>
      <c r="E21" s="465">
        <f t="shared" si="0"/>
        <v>-486.66701514385022</v>
      </c>
      <c r="F21" s="449">
        <f t="shared" si="1"/>
        <v>-6.3574814135869656E-2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4593</v>
      </c>
      <c r="D22" s="456">
        <v>4570</v>
      </c>
      <c r="E22" s="456">
        <f t="shared" si="0"/>
        <v>-23</v>
      </c>
      <c r="F22" s="449">
        <f t="shared" si="1"/>
        <v>-5.007620291748313E-3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2402.8249510124101</v>
      </c>
      <c r="D23" s="465">
        <f>IF(LN_IA8=0,0,LN_IA2/LN_IA8)</f>
        <v>2165.8547045951859</v>
      </c>
      <c r="E23" s="465">
        <f t="shared" si="0"/>
        <v>-236.97024641722419</v>
      </c>
      <c r="F23" s="449">
        <f t="shared" si="1"/>
        <v>-9.8621518940603128E-2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4.2409972299168972</v>
      </c>
      <c r="D24" s="466">
        <f>IF(LN_IA4=0,0,LN_IA8/LN_IA4)</f>
        <v>4.3648519579751675</v>
      </c>
      <c r="E24" s="466">
        <f t="shared" si="0"/>
        <v>0.12385472805827025</v>
      </c>
      <c r="F24" s="449">
        <f t="shared" si="1"/>
        <v>2.9204152076443869E-2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56105045</v>
      </c>
      <c r="D27" s="448">
        <v>51308775</v>
      </c>
      <c r="E27" s="448">
        <f t="shared" ref="E27:E32" si="2">D27-C27</f>
        <v>-4796270</v>
      </c>
      <c r="F27" s="449">
        <f t="shared" ref="F27:F32" si="3">IF(C27=0,0,E27/C27)</f>
        <v>-8.5487321149105219E-2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12056329</v>
      </c>
      <c r="D28" s="448">
        <v>10343081</v>
      </c>
      <c r="E28" s="448">
        <f t="shared" si="2"/>
        <v>-1713248</v>
      </c>
      <c r="F28" s="449">
        <f t="shared" si="3"/>
        <v>-0.14210362043039801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0.21488850066870099</v>
      </c>
      <c r="D29" s="453">
        <f>IF(LN_IA11=0,0,LN_IA12/LN_IA11)</f>
        <v>0.20158503102052233</v>
      </c>
      <c r="E29" s="454">
        <f t="shared" si="2"/>
        <v>-1.3303469648178662E-2</v>
      </c>
      <c r="F29" s="449">
        <f t="shared" si="3"/>
        <v>-6.1908708966651294E-2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1.9079305643736038</v>
      </c>
      <c r="D30" s="453">
        <f>IF(LN_IA1=0,0,LN_IA11/LN_IA1)</f>
        <v>1.791672285782149</v>
      </c>
      <c r="E30" s="454">
        <f t="shared" si="2"/>
        <v>-0.11625827859145477</v>
      </c>
      <c r="F30" s="449">
        <f t="shared" si="3"/>
        <v>-6.0934229348972004E-2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2066.2888012166127</v>
      </c>
      <c r="D31" s="463">
        <f>LN_IA14*LN_IA4</f>
        <v>1875.88088321391</v>
      </c>
      <c r="E31" s="463">
        <f t="shared" si="2"/>
        <v>-190.40791800270267</v>
      </c>
      <c r="F31" s="449">
        <f t="shared" si="3"/>
        <v>-9.2149712029892514E-2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5834.7743998328497</v>
      </c>
      <c r="D32" s="465">
        <f>IF(LN_IA15=0,0,LN_IA12/LN_IA15)</f>
        <v>5513.7194970926948</v>
      </c>
      <c r="E32" s="465">
        <f t="shared" si="2"/>
        <v>-321.05490274015483</v>
      </c>
      <c r="F32" s="449">
        <f t="shared" si="3"/>
        <v>-5.5024390103129296E-2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85511275</v>
      </c>
      <c r="D35" s="448">
        <f>LN_IA1+LN_IA11</f>
        <v>79946141</v>
      </c>
      <c r="E35" s="448">
        <f>D35-C35</f>
        <v>-5565134</v>
      </c>
      <c r="F35" s="449">
        <f>IF(C35=0,0,E35/C35)</f>
        <v>-6.5080704269700113E-2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23092504</v>
      </c>
      <c r="D36" s="448">
        <f>LN_IA2+LN_IA12</f>
        <v>20241037</v>
      </c>
      <c r="E36" s="448">
        <f>D36-C36</f>
        <v>-2851467</v>
      </c>
      <c r="F36" s="449">
        <f>IF(C36=0,0,E36/C36)</f>
        <v>-0.12348019946212849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62418771</v>
      </c>
      <c r="D37" s="448">
        <f>LN_IA17-LN_IA18</f>
        <v>59705104</v>
      </c>
      <c r="E37" s="448">
        <f>D37-C37</f>
        <v>-2713667</v>
      </c>
      <c r="F37" s="449">
        <f>IF(C37=0,0,E37/C37)</f>
        <v>-4.3475175119997156E-2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14041013</v>
      </c>
      <c r="D42" s="448">
        <v>11924121</v>
      </c>
      <c r="E42" s="448">
        <f t="shared" ref="E42:E53" si="4">D42-C42</f>
        <v>-2116892</v>
      </c>
      <c r="F42" s="449">
        <f t="shared" ref="F42:F53" si="5">IF(C42=0,0,E42/C42)</f>
        <v>-0.15076490563750636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6784348</v>
      </c>
      <c r="D43" s="448">
        <v>5277319</v>
      </c>
      <c r="E43" s="448">
        <f t="shared" si="4"/>
        <v>-1507029</v>
      </c>
      <c r="F43" s="449">
        <f t="shared" si="5"/>
        <v>-0.2221332101478285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0.48318080753860138</v>
      </c>
      <c r="D44" s="453">
        <f>IF(LN_IB1=0,0,LN_IB2/LN_IB1)</f>
        <v>0.44257509631108238</v>
      </c>
      <c r="E44" s="454">
        <f t="shared" si="4"/>
        <v>-4.0605711227518992E-2</v>
      </c>
      <c r="F44" s="449">
        <f t="shared" si="5"/>
        <v>-8.4038336361849389E-2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545</v>
      </c>
      <c r="D45" s="456">
        <v>458</v>
      </c>
      <c r="E45" s="456">
        <f t="shared" si="4"/>
        <v>-87</v>
      </c>
      <c r="F45" s="449">
        <f t="shared" si="5"/>
        <v>-0.15963302752293579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1.3024</v>
      </c>
      <c r="D46" s="459">
        <v>1.3713</v>
      </c>
      <c r="E46" s="460">
        <f t="shared" si="4"/>
        <v>6.8899999999999961E-2</v>
      </c>
      <c r="F46" s="449">
        <f t="shared" si="5"/>
        <v>5.290233415233412E-2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709.80799999999999</v>
      </c>
      <c r="D47" s="463">
        <f>LN_IB4*LN_IB5</f>
        <v>628.05539999999996</v>
      </c>
      <c r="E47" s="463">
        <f t="shared" si="4"/>
        <v>-81.752600000000029</v>
      </c>
      <c r="F47" s="449">
        <f t="shared" si="5"/>
        <v>-0.11517565313436877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9558.0044180961613</v>
      </c>
      <c r="D48" s="465">
        <f>IF(LN_IB6=0,0,LN_IB2/LN_IB6)</f>
        <v>8402.6329524433677</v>
      </c>
      <c r="E48" s="465">
        <f t="shared" si="4"/>
        <v>-1155.3714656527936</v>
      </c>
      <c r="F48" s="449">
        <f t="shared" si="5"/>
        <v>-0.12087998865802257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-1902.9759015555683</v>
      </c>
      <c r="D49" s="465">
        <f>LN_IA7-LN_IB7</f>
        <v>-1234.2714510466249</v>
      </c>
      <c r="E49" s="465">
        <f t="shared" si="4"/>
        <v>668.70445050894341</v>
      </c>
      <c r="F49" s="449">
        <f t="shared" si="5"/>
        <v>-0.35139932668738355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-1350747.5187313547</v>
      </c>
      <c r="D50" s="479">
        <f>LN_IB8*LN_IB6</f>
        <v>-775190.84989566833</v>
      </c>
      <c r="E50" s="479">
        <f t="shared" si="4"/>
        <v>575556.6688356864</v>
      </c>
      <c r="F50" s="449">
        <f t="shared" si="5"/>
        <v>-0.42610233285955551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1705</v>
      </c>
      <c r="D51" s="456">
        <v>1442</v>
      </c>
      <c r="E51" s="456">
        <f t="shared" si="4"/>
        <v>-263</v>
      </c>
      <c r="F51" s="449">
        <f t="shared" si="5"/>
        <v>-0.15425219941348975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3979.0897360703812</v>
      </c>
      <c r="D52" s="465">
        <f>IF(LN_IB10=0,0,LN_IB2/LN_IB10)</f>
        <v>3659.7219140083216</v>
      </c>
      <c r="E52" s="465">
        <f t="shared" si="4"/>
        <v>-319.36782206205953</v>
      </c>
      <c r="F52" s="449">
        <f t="shared" si="5"/>
        <v>-8.0261527948715411E-2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3.1284403669724772</v>
      </c>
      <c r="D53" s="466">
        <f>IF(LN_IB4=0,0,LN_IB10/LN_IB4)</f>
        <v>3.1484716157205241</v>
      </c>
      <c r="E53" s="466">
        <f t="shared" si="4"/>
        <v>2.0031248748046959E-2</v>
      </c>
      <c r="F53" s="449">
        <f t="shared" si="5"/>
        <v>6.4029504795809922E-3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66319496</v>
      </c>
      <c r="D56" s="448">
        <v>59490747</v>
      </c>
      <c r="E56" s="448">
        <f t="shared" ref="E56:E63" si="6">D56-C56</f>
        <v>-6828749</v>
      </c>
      <c r="F56" s="449">
        <f t="shared" ref="F56:F63" si="7">IF(C56=0,0,E56/C56)</f>
        <v>-0.10296744414342353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35342631</v>
      </c>
      <c r="D57" s="448">
        <v>32019841</v>
      </c>
      <c r="E57" s="448">
        <f t="shared" si="6"/>
        <v>-3322790</v>
      </c>
      <c r="F57" s="449">
        <f t="shared" si="7"/>
        <v>-9.401648677485272E-2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0.53291465001483118</v>
      </c>
      <c r="D58" s="453">
        <f>IF(LN_IB13=0,0,LN_IB14/LN_IB13)</f>
        <v>0.53823229014085161</v>
      </c>
      <c r="E58" s="454">
        <f t="shared" si="6"/>
        <v>5.3176401260204287E-3</v>
      </c>
      <c r="F58" s="449">
        <f t="shared" si="7"/>
        <v>9.9784085985859788E-3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4.7232700375678025</v>
      </c>
      <c r="D59" s="453">
        <f>IF(LN_IB1=0,0,LN_IB13/LN_IB1)</f>
        <v>4.9891096375154191</v>
      </c>
      <c r="E59" s="454">
        <f t="shared" si="6"/>
        <v>0.26583959994761663</v>
      </c>
      <c r="F59" s="449">
        <f t="shared" si="7"/>
        <v>5.6282956052309027E-2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2574.1821704744525</v>
      </c>
      <c r="D60" s="463">
        <f>LN_IB16*LN_IB4</f>
        <v>2285.0122139820619</v>
      </c>
      <c r="E60" s="463">
        <f t="shared" si="6"/>
        <v>-289.16995649239061</v>
      </c>
      <c r="F60" s="449">
        <f t="shared" si="7"/>
        <v>-0.11233469014319726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13729.654181190266</v>
      </c>
      <c r="D61" s="465">
        <f>IF(LN_IB17=0,0,LN_IB14/LN_IB17)</f>
        <v>14012.984615167299</v>
      </c>
      <c r="E61" s="465">
        <f t="shared" si="6"/>
        <v>283.33043397703295</v>
      </c>
      <c r="F61" s="449">
        <f t="shared" si="7"/>
        <v>2.0636385318808528E-2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-7894.8797813574165</v>
      </c>
      <c r="D62" s="465">
        <f>LN_IA16-LN_IB18</f>
        <v>-8499.2651180746034</v>
      </c>
      <c r="E62" s="465">
        <f t="shared" si="6"/>
        <v>-604.38533671718687</v>
      </c>
      <c r="F62" s="449">
        <f t="shared" si="7"/>
        <v>7.6554089923491025E-2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-20322858.771209504</v>
      </c>
      <c r="D63" s="448">
        <f>LN_IB19*LN_IB17</f>
        <v>-19420924.60467216</v>
      </c>
      <c r="E63" s="448">
        <f t="shared" si="6"/>
        <v>901934.16653734446</v>
      </c>
      <c r="F63" s="449">
        <f t="shared" si="7"/>
        <v>-4.4380280190456013E-2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80360509</v>
      </c>
      <c r="D66" s="448">
        <f>LN_IB1+LN_IB13</f>
        <v>71414868</v>
      </c>
      <c r="E66" s="448">
        <f>D66-C66</f>
        <v>-8945641</v>
      </c>
      <c r="F66" s="449">
        <f>IF(C66=0,0,E66/C66)</f>
        <v>-0.11131886932174609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42126979</v>
      </c>
      <c r="D67" s="448">
        <f>LN_IB2+LN_IB14</f>
        <v>37297160</v>
      </c>
      <c r="E67" s="448">
        <f>D67-C67</f>
        <v>-4829819</v>
      </c>
      <c r="F67" s="449">
        <f>IF(C67=0,0,E67/C67)</f>
        <v>-0.11464907084839859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38233530</v>
      </c>
      <c r="D68" s="448">
        <f>LN_IB21-LN_IB22</f>
        <v>34117708</v>
      </c>
      <c r="E68" s="448">
        <f>D68-C68</f>
        <v>-4115822</v>
      </c>
      <c r="F68" s="449">
        <f>IF(C68=0,0,E68/C68)</f>
        <v>-0.10764954216887637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-21673606.28994086</v>
      </c>
      <c r="D70" s="441">
        <f>LN_IB9+LN_IB20</f>
        <v>-20196115.454567827</v>
      </c>
      <c r="E70" s="448">
        <f>D70-C70</f>
        <v>1477490.8353730328</v>
      </c>
      <c r="F70" s="449">
        <f>IF(C70=0,0,E70/C70)</f>
        <v>-6.8170050503259569E-2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76994635</v>
      </c>
      <c r="D73" s="488">
        <v>68922104</v>
      </c>
      <c r="E73" s="488">
        <f>D73-C73</f>
        <v>-8072531</v>
      </c>
      <c r="F73" s="489">
        <f>IF(C73=0,0,E73/C73)</f>
        <v>-0.10484537007026529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41945973</v>
      </c>
      <c r="D74" s="488">
        <v>37105879</v>
      </c>
      <c r="E74" s="488">
        <f>D74-C74</f>
        <v>-4840094</v>
      </c>
      <c r="F74" s="489">
        <f>IF(C74=0,0,E74/C74)</f>
        <v>-0.11538876449474661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35048662</v>
      </c>
      <c r="D76" s="441">
        <f>LN_IB32-LN_IB33</f>
        <v>31816225</v>
      </c>
      <c r="E76" s="488">
        <f>D76-C76</f>
        <v>-3232437</v>
      </c>
      <c r="F76" s="489">
        <f>IF(E76=0,0,E76/C76)</f>
        <v>-9.2227115545808855E-2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0.45520914541643065</v>
      </c>
      <c r="D77" s="453">
        <f>IF(LN_IB32=0,0,LN_IB34/LN_IB32)</f>
        <v>0.46162585228100406</v>
      </c>
      <c r="E77" s="493">
        <f>D77-C77</f>
        <v>6.4167068645734071E-3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622422</v>
      </c>
      <c r="D83" s="448">
        <v>412623</v>
      </c>
      <c r="E83" s="448">
        <f t="shared" ref="E83:E95" si="8">D83-C83</f>
        <v>-209799</v>
      </c>
      <c r="F83" s="449">
        <f t="shared" ref="F83:F95" si="9">IF(C83=0,0,E83/C83)</f>
        <v>-0.33706874114346858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41073</v>
      </c>
      <c r="D84" s="448">
        <v>47065</v>
      </c>
      <c r="E84" s="448">
        <f t="shared" si="8"/>
        <v>5992</v>
      </c>
      <c r="F84" s="449">
        <f t="shared" si="9"/>
        <v>0.14588659216516933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6.5988991391692453E-2</v>
      </c>
      <c r="D85" s="453">
        <f>IF(LN_IC1=0,0,LN_IC2/LN_IC1)</f>
        <v>0.11406295819670741</v>
      </c>
      <c r="E85" s="454">
        <f t="shared" si="8"/>
        <v>4.8073966805014953E-2</v>
      </c>
      <c r="F85" s="449">
        <f t="shared" si="9"/>
        <v>0.72851495061746196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38</v>
      </c>
      <c r="D86" s="456">
        <v>35</v>
      </c>
      <c r="E86" s="456">
        <f t="shared" si="8"/>
        <v>-3</v>
      </c>
      <c r="F86" s="449">
        <f t="shared" si="9"/>
        <v>-7.8947368421052627E-2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1.0138</v>
      </c>
      <c r="D87" s="459">
        <v>1.1025</v>
      </c>
      <c r="E87" s="460">
        <f t="shared" si="8"/>
        <v>8.8700000000000001E-2</v>
      </c>
      <c r="F87" s="449">
        <f t="shared" si="9"/>
        <v>8.7492602091142235E-2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38.5244</v>
      </c>
      <c r="D88" s="463">
        <f>LN_IC4*LN_IC5</f>
        <v>38.587499999999999</v>
      </c>
      <c r="E88" s="463">
        <f t="shared" si="8"/>
        <v>6.3099999999998602E-2</v>
      </c>
      <c r="F88" s="449">
        <f t="shared" si="9"/>
        <v>1.6379229786836031E-3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1066.1554754908577</v>
      </c>
      <c r="D89" s="465">
        <f>IF(LN_IC6=0,0,LN_IC2/LN_IC6)</f>
        <v>1219.6954972465178</v>
      </c>
      <c r="E89" s="465">
        <f t="shared" si="8"/>
        <v>153.54002175566006</v>
      </c>
      <c r="F89" s="449">
        <f t="shared" si="9"/>
        <v>0.14401278733288903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8491.8489426053038</v>
      </c>
      <c r="D90" s="465">
        <f>LN_IB7-LN_IC7</f>
        <v>7182.9374551968504</v>
      </c>
      <c r="E90" s="465">
        <f t="shared" si="8"/>
        <v>-1308.9114874084535</v>
      </c>
      <c r="F90" s="449">
        <f t="shared" si="9"/>
        <v>-0.15413739649104954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6588.8730410497355</v>
      </c>
      <c r="D91" s="465">
        <f>LN_IA7-LN_IC7</f>
        <v>5948.6660041502255</v>
      </c>
      <c r="E91" s="465">
        <f t="shared" si="8"/>
        <v>-640.20703689951006</v>
      </c>
      <c r="F91" s="449">
        <f t="shared" si="9"/>
        <v>-9.7164876741578962E-2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253832.38058261643</v>
      </c>
      <c r="D92" s="441">
        <f>LN_IC9*LN_IC6</f>
        <v>229544.14943514683</v>
      </c>
      <c r="E92" s="441">
        <f t="shared" si="8"/>
        <v>-24288.231147469603</v>
      </c>
      <c r="F92" s="449">
        <f t="shared" si="9"/>
        <v>-9.5686102347231308E-2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111</v>
      </c>
      <c r="D93" s="456">
        <v>117</v>
      </c>
      <c r="E93" s="456">
        <f t="shared" si="8"/>
        <v>6</v>
      </c>
      <c r="F93" s="449">
        <f t="shared" si="9"/>
        <v>5.4054054054054057E-2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370.02702702702703</v>
      </c>
      <c r="D94" s="499">
        <f>IF(LN_IC11=0,0,LN_IC2/LN_IC11)</f>
        <v>402.26495726495727</v>
      </c>
      <c r="E94" s="499">
        <f t="shared" si="8"/>
        <v>32.237930237930243</v>
      </c>
      <c r="F94" s="449">
        <f t="shared" si="9"/>
        <v>8.7123177182340153E-2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2.9210526315789473</v>
      </c>
      <c r="D95" s="466">
        <f>IF(LN_IC4=0,0,LN_IC11/LN_IC4)</f>
        <v>3.342857142857143</v>
      </c>
      <c r="E95" s="466">
        <f t="shared" si="8"/>
        <v>0.42180451127819563</v>
      </c>
      <c r="F95" s="449">
        <f t="shared" si="9"/>
        <v>0.14440154440154446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2743452</v>
      </c>
      <c r="D98" s="448">
        <v>2080141</v>
      </c>
      <c r="E98" s="448">
        <f t="shared" ref="E98:E106" si="10">D98-C98</f>
        <v>-663311</v>
      </c>
      <c r="F98" s="449">
        <f t="shared" ref="F98:F106" si="11">IF(C98=0,0,E98/C98)</f>
        <v>-0.24177969944434968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181039</v>
      </c>
      <c r="D99" s="448">
        <v>237266</v>
      </c>
      <c r="E99" s="448">
        <f t="shared" si="10"/>
        <v>56227</v>
      </c>
      <c r="F99" s="449">
        <f t="shared" si="11"/>
        <v>0.31057948839752758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6.5989490612556739E-2</v>
      </c>
      <c r="D100" s="453">
        <f>IF(LN_IC14=0,0,LN_IC15/LN_IC14)</f>
        <v>0.11406246018899681</v>
      </c>
      <c r="E100" s="454">
        <f t="shared" si="10"/>
        <v>4.8072969576440069E-2</v>
      </c>
      <c r="F100" s="449">
        <f t="shared" si="11"/>
        <v>0.72849432735721942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4.4077040978628643</v>
      </c>
      <c r="D101" s="453">
        <f>IF(LN_IC1=0,0,LN_IC14/LN_IC1)</f>
        <v>5.0412628476842061</v>
      </c>
      <c r="E101" s="454">
        <f t="shared" si="10"/>
        <v>0.63355874982134175</v>
      </c>
      <c r="F101" s="449">
        <f t="shared" si="11"/>
        <v>0.14373894793176598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167.49275571878886</v>
      </c>
      <c r="D102" s="463">
        <f>LN_IC17*LN_IC4</f>
        <v>176.44419966894722</v>
      </c>
      <c r="E102" s="463">
        <f t="shared" si="10"/>
        <v>8.9514439501583638</v>
      </c>
      <c r="F102" s="449">
        <f t="shared" si="11"/>
        <v>5.3443767831889678E-2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1080.8765980539156</v>
      </c>
      <c r="D103" s="465">
        <f>IF(LN_IC18=0,0,LN_IC15/LN_IC18)</f>
        <v>1344.7084145875549</v>
      </c>
      <c r="E103" s="465">
        <f t="shared" si="10"/>
        <v>263.83181653363931</v>
      </c>
      <c r="F103" s="449">
        <f t="shared" si="11"/>
        <v>0.24409059924940574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12648.777583136351</v>
      </c>
      <c r="D104" s="465">
        <f>LN_IB18-LN_IC19</f>
        <v>12668.276200579745</v>
      </c>
      <c r="E104" s="465">
        <f t="shared" si="10"/>
        <v>19.498617443394323</v>
      </c>
      <c r="F104" s="449">
        <f t="shared" si="11"/>
        <v>1.5415416482135271E-3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4753.8978017789341</v>
      </c>
      <c r="D105" s="465">
        <f>LN_IA16-LN_IC19</f>
        <v>4169.0110825051397</v>
      </c>
      <c r="E105" s="465">
        <f t="shared" si="10"/>
        <v>-584.88671927379437</v>
      </c>
      <c r="F105" s="449">
        <f t="shared" si="11"/>
        <v>-0.12303308646116175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796243.44322544639</v>
      </c>
      <c r="D106" s="448">
        <f>LN_IC21*LN_IC18</f>
        <v>735597.82386359072</v>
      </c>
      <c r="E106" s="448">
        <f t="shared" si="10"/>
        <v>-60645.619361855672</v>
      </c>
      <c r="F106" s="449">
        <f t="shared" si="11"/>
        <v>-7.6164670337743198E-2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3365874</v>
      </c>
      <c r="D109" s="448">
        <f>LN_IC1+LN_IC14</f>
        <v>2492764</v>
      </c>
      <c r="E109" s="448">
        <f>D109-C109</f>
        <v>-873110</v>
      </c>
      <c r="F109" s="449">
        <f>IF(C109=0,0,E109/C109)</f>
        <v>-0.25940067869444905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222112</v>
      </c>
      <c r="D110" s="448">
        <f>LN_IC2+LN_IC15</f>
        <v>284331</v>
      </c>
      <c r="E110" s="448">
        <f>D110-C110</f>
        <v>62219</v>
      </c>
      <c r="F110" s="449">
        <f>IF(C110=0,0,E110/C110)</f>
        <v>0.28012444172309464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3143762</v>
      </c>
      <c r="D111" s="448">
        <f>LN_IC23-LN_IC24</f>
        <v>2208433</v>
      </c>
      <c r="E111" s="448">
        <f>D111-C111</f>
        <v>-935329</v>
      </c>
      <c r="F111" s="449">
        <f>IF(C111=0,0,E111/C111)</f>
        <v>-0.29751902338663039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1050075.8238080628</v>
      </c>
      <c r="D113" s="448">
        <f>LN_IC10+LN_IC22</f>
        <v>965141.97329873755</v>
      </c>
      <c r="E113" s="448">
        <f>D113-C113</f>
        <v>-84933.850509325275</v>
      </c>
      <c r="F113" s="449">
        <f>IF(C113=0,0,E113/C113)</f>
        <v>-8.0883540582160698E-2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4213322</v>
      </c>
      <c r="D118" s="448">
        <v>4500265</v>
      </c>
      <c r="E118" s="448">
        <f t="shared" ref="E118:E130" si="12">D118-C118</f>
        <v>286943</v>
      </c>
      <c r="F118" s="449">
        <f t="shared" ref="F118:F130" si="13">IF(C118=0,0,E118/C118)</f>
        <v>6.8103743317031076E-2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1425738</v>
      </c>
      <c r="D119" s="448">
        <v>1375687</v>
      </c>
      <c r="E119" s="448">
        <f t="shared" si="12"/>
        <v>-50051</v>
      </c>
      <c r="F119" s="449">
        <f t="shared" si="13"/>
        <v>-3.5105327907371482E-2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0.3383880937654421</v>
      </c>
      <c r="D120" s="453">
        <f>IF(LN_ID1=0,0,LN_1D2/LN_ID1)</f>
        <v>0.30569022046479483</v>
      </c>
      <c r="E120" s="454">
        <f t="shared" si="12"/>
        <v>-3.2697873300647273E-2</v>
      </c>
      <c r="F120" s="449">
        <f t="shared" si="13"/>
        <v>-9.6628320863180864E-2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188</v>
      </c>
      <c r="D121" s="456">
        <v>123</v>
      </c>
      <c r="E121" s="456">
        <f t="shared" si="12"/>
        <v>-65</v>
      </c>
      <c r="F121" s="449">
        <f t="shared" si="13"/>
        <v>-0.34574468085106386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0.99209999999999998</v>
      </c>
      <c r="D122" s="459">
        <v>1.1894</v>
      </c>
      <c r="E122" s="460">
        <f t="shared" si="12"/>
        <v>0.19730000000000003</v>
      </c>
      <c r="F122" s="449">
        <f t="shared" si="13"/>
        <v>0.19887108154419922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186.51480000000001</v>
      </c>
      <c r="D123" s="463">
        <f>LN_ID4*LN_ID5</f>
        <v>146.2962</v>
      </c>
      <c r="E123" s="463">
        <f t="shared" si="12"/>
        <v>-40.218600000000009</v>
      </c>
      <c r="F123" s="449">
        <f t="shared" si="13"/>
        <v>-0.21563221792586973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7644.1011651622284</v>
      </c>
      <c r="D124" s="465">
        <f>IF(LN_ID6=0,0,LN_1D2/LN_ID6)</f>
        <v>9403.4363161859292</v>
      </c>
      <c r="E124" s="465">
        <f t="shared" si="12"/>
        <v>1759.3351510237007</v>
      </c>
      <c r="F124" s="449">
        <f t="shared" si="13"/>
        <v>0.23015592193387238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1913.9032529339329</v>
      </c>
      <c r="D125" s="465">
        <f>LN_IB7-LN_ID7</f>
        <v>-1000.8033637425615</v>
      </c>
      <c r="E125" s="465">
        <f t="shared" si="12"/>
        <v>-2914.7066166764944</v>
      </c>
      <c r="F125" s="449">
        <f t="shared" si="13"/>
        <v>-1.522912201653021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10.927351378364619</v>
      </c>
      <c r="D126" s="465">
        <f>LN_IA7-LN_ID7</f>
        <v>-2235.0748147891863</v>
      </c>
      <c r="E126" s="465">
        <f t="shared" si="12"/>
        <v>-2246.002166167551</v>
      </c>
      <c r="F126" s="449">
        <f t="shared" si="13"/>
        <v>-205.53948421705152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2038.1127568654015</v>
      </c>
      <c r="D127" s="479">
        <f>LN_ID9*LN_ID6</f>
        <v>-326982.95211936178</v>
      </c>
      <c r="E127" s="479">
        <f t="shared" si="12"/>
        <v>-329021.06487622717</v>
      </c>
      <c r="F127" s="449">
        <f t="shared" si="13"/>
        <v>-161.43418158191528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703</v>
      </c>
      <c r="D128" s="456">
        <v>668</v>
      </c>
      <c r="E128" s="456">
        <f t="shared" si="12"/>
        <v>-35</v>
      </c>
      <c r="F128" s="449">
        <f t="shared" si="13"/>
        <v>-4.9786628733997154E-2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2028.076813655761</v>
      </c>
      <c r="D129" s="465">
        <f>IF(LN_ID11=0,0,LN_1D2/LN_ID11)</f>
        <v>2059.4116766467064</v>
      </c>
      <c r="E129" s="465">
        <f t="shared" si="12"/>
        <v>31.334862990945339</v>
      </c>
      <c r="F129" s="449">
        <f t="shared" si="13"/>
        <v>1.5450530660355951E-2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3.7393617021276597</v>
      </c>
      <c r="D130" s="466">
        <f>IF(LN_ID4=0,0,LN_ID11/LN_ID4)</f>
        <v>5.4308943089430892</v>
      </c>
      <c r="E130" s="466">
        <f t="shared" si="12"/>
        <v>1.6915326068154295</v>
      </c>
      <c r="F130" s="449">
        <f t="shared" si="13"/>
        <v>0.45235864876429693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13357895</v>
      </c>
      <c r="D133" s="448">
        <v>15344001</v>
      </c>
      <c r="E133" s="448">
        <f t="shared" ref="E133:E141" si="14">D133-C133</f>
        <v>1986106</v>
      </c>
      <c r="F133" s="449">
        <f t="shared" ref="F133:F141" si="15">IF(C133=0,0,E133/C133)</f>
        <v>0.14868405538447488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3088780</v>
      </c>
      <c r="D134" s="448">
        <v>3609723</v>
      </c>
      <c r="E134" s="448">
        <f t="shared" si="14"/>
        <v>520943</v>
      </c>
      <c r="F134" s="449">
        <f t="shared" si="15"/>
        <v>0.16865655695776327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0.23123254075586011</v>
      </c>
      <c r="D135" s="453">
        <f>IF(LN_ID14=0,0,LN_ID15/LN_ID14)</f>
        <v>0.23525304775462411</v>
      </c>
      <c r="E135" s="454">
        <f t="shared" si="14"/>
        <v>4.0205069987639952E-3</v>
      </c>
      <c r="F135" s="449">
        <f t="shared" si="15"/>
        <v>1.7387288941347258E-2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3.1703949994802203</v>
      </c>
      <c r="D136" s="453">
        <f>IF(LN_ID1=0,0,LN_ID14/LN_ID1)</f>
        <v>3.4095772137862994</v>
      </c>
      <c r="E136" s="454">
        <f t="shared" si="14"/>
        <v>0.23918221430607911</v>
      </c>
      <c r="F136" s="449">
        <f t="shared" si="15"/>
        <v>7.5442402080905552E-2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596.03425990228141</v>
      </c>
      <c r="D137" s="463">
        <f>LN_ID17*LN_ID4</f>
        <v>419.37799729571481</v>
      </c>
      <c r="E137" s="463">
        <f t="shared" si="14"/>
        <v>-176.6562626065666</v>
      </c>
      <c r="F137" s="449">
        <f t="shared" si="15"/>
        <v>-0.29638608800025862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5182.2188887370321</v>
      </c>
      <c r="D138" s="465">
        <f>IF(LN_ID18=0,0,LN_ID15/LN_ID18)</f>
        <v>8607.3256662883214</v>
      </c>
      <c r="E138" s="465">
        <f t="shared" si="14"/>
        <v>3425.1067775512893</v>
      </c>
      <c r="F138" s="449">
        <f t="shared" si="15"/>
        <v>0.66093440880997367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8547.4352924532341</v>
      </c>
      <c r="D139" s="465">
        <f>LN_IB18-LN_ID19</f>
        <v>5405.6589488789778</v>
      </c>
      <c r="E139" s="465">
        <f t="shared" si="14"/>
        <v>-3141.7763435742563</v>
      </c>
      <c r="F139" s="449">
        <f t="shared" si="15"/>
        <v>-0.36756947974186094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652.55551109581756</v>
      </c>
      <c r="D140" s="465">
        <f>LN_IA16-LN_ID19</f>
        <v>-3093.6061691956265</v>
      </c>
      <c r="E140" s="465">
        <f t="shared" si="14"/>
        <v>-3746.1616802914441</v>
      </c>
      <c r="F140" s="449">
        <f t="shared" si="15"/>
        <v>-5.7407555626963038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388945.44110115059</v>
      </c>
      <c r="D141" s="441">
        <f>LN_ID21*LN_ID18</f>
        <v>-1297390.3596589302</v>
      </c>
      <c r="E141" s="441">
        <f t="shared" si="14"/>
        <v>-1686335.8007600808</v>
      </c>
      <c r="F141" s="449">
        <f t="shared" si="15"/>
        <v>-4.3356615673032817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17571217</v>
      </c>
      <c r="D144" s="448">
        <f>LN_ID1+LN_ID14</f>
        <v>19844266</v>
      </c>
      <c r="E144" s="448">
        <f>D144-C144</f>
        <v>2273049</v>
      </c>
      <c r="F144" s="449">
        <f>IF(C144=0,0,E144/C144)</f>
        <v>0.12936206979858025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4514518</v>
      </c>
      <c r="D145" s="448">
        <f>LN_1D2+LN_ID15</f>
        <v>4985410</v>
      </c>
      <c r="E145" s="448">
        <f>D145-C145</f>
        <v>470892</v>
      </c>
      <c r="F145" s="449">
        <f>IF(C145=0,0,E145/C145)</f>
        <v>0.10430615184168056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13056699</v>
      </c>
      <c r="D146" s="448">
        <f>LN_ID23-LN_ID24</f>
        <v>14858856</v>
      </c>
      <c r="E146" s="448">
        <f>D146-C146</f>
        <v>1802157</v>
      </c>
      <c r="F146" s="449">
        <f>IF(C146=0,0,E146/C146)</f>
        <v>0.13802546876511437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390983.55385801598</v>
      </c>
      <c r="D148" s="448">
        <f>LN_ID10+LN_ID22</f>
        <v>-1624373.3117782921</v>
      </c>
      <c r="E148" s="448">
        <f>D148-C148</f>
        <v>-2015356.865636308</v>
      </c>
      <c r="F148" s="503">
        <f>IF(C148=0,0,E148/C148)</f>
        <v>-5.1545821959769089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123882</v>
      </c>
      <c r="D153" s="448">
        <v>149801</v>
      </c>
      <c r="E153" s="448">
        <f t="shared" ref="E153:E165" si="16">D153-C153</f>
        <v>25919</v>
      </c>
      <c r="F153" s="449">
        <f t="shared" ref="F153:F165" si="17">IF(C153=0,0,E153/C153)</f>
        <v>0.2092232931337886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41920</v>
      </c>
      <c r="D154" s="448">
        <v>45792</v>
      </c>
      <c r="E154" s="448">
        <f t="shared" si="16"/>
        <v>3872</v>
      </c>
      <c r="F154" s="449">
        <f t="shared" si="17"/>
        <v>9.2366412213740465E-2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0.33838652911641726</v>
      </c>
      <c r="D155" s="453">
        <f>IF(LN_IE1=0,0,LN_IE2/LN_IE1)</f>
        <v>0.30568554282014138</v>
      </c>
      <c r="E155" s="454">
        <f t="shared" si="16"/>
        <v>-3.270098629627588E-2</v>
      </c>
      <c r="F155" s="449">
        <f t="shared" si="17"/>
        <v>-9.663796718404695E-2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6</v>
      </c>
      <c r="D156" s="506">
        <v>6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1.111</v>
      </c>
      <c r="D157" s="459">
        <v>1.1894</v>
      </c>
      <c r="E157" s="460">
        <f t="shared" si="16"/>
        <v>7.8400000000000025E-2</v>
      </c>
      <c r="F157" s="449">
        <f t="shared" si="17"/>
        <v>7.0567056705670594E-2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6.6660000000000004</v>
      </c>
      <c r="D158" s="463">
        <f>LN_IE4*LN_IE5</f>
        <v>7.1364000000000001</v>
      </c>
      <c r="E158" s="463">
        <f t="shared" si="16"/>
        <v>0.47039999999999971</v>
      </c>
      <c r="F158" s="449">
        <f t="shared" si="17"/>
        <v>7.0567056705670525E-2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6288.6288628862885</v>
      </c>
      <c r="D159" s="465">
        <f>IF(LN_IE6=0,0,LN_IE2/LN_IE6)</f>
        <v>6416.6806793341184</v>
      </c>
      <c r="E159" s="465">
        <f t="shared" si="16"/>
        <v>128.05181644782988</v>
      </c>
      <c r="F159" s="449">
        <f t="shared" si="17"/>
        <v>2.0362438178464552E-2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3269.3755552098728</v>
      </c>
      <c r="D160" s="465">
        <f>LN_IB7-LN_IE7</f>
        <v>1985.9522731092493</v>
      </c>
      <c r="E160" s="465">
        <f t="shared" si="16"/>
        <v>-1283.4232821006235</v>
      </c>
      <c r="F160" s="449">
        <f t="shared" si="17"/>
        <v>-0.39255914789460034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1366.3996536543045</v>
      </c>
      <c r="D161" s="465">
        <f>LN_IA7-LN_IE7</f>
        <v>751.68082206262443</v>
      </c>
      <c r="E161" s="465">
        <f t="shared" si="16"/>
        <v>-614.7188315916801</v>
      </c>
      <c r="F161" s="449">
        <f t="shared" si="17"/>
        <v>-0.44988216291454236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9108.4200912595952</v>
      </c>
      <c r="D162" s="479">
        <f>LN_IE9*LN_IE6</f>
        <v>5364.2950185677128</v>
      </c>
      <c r="E162" s="479">
        <f t="shared" si="16"/>
        <v>-3744.1250726918825</v>
      </c>
      <c r="F162" s="449">
        <f t="shared" si="17"/>
        <v>-0.41106196631013214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13</v>
      </c>
      <c r="D163" s="456">
        <v>30</v>
      </c>
      <c r="E163" s="506">
        <f t="shared" si="16"/>
        <v>17</v>
      </c>
      <c r="F163" s="449">
        <f t="shared" si="17"/>
        <v>1.3076923076923077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3224.6153846153848</v>
      </c>
      <c r="D164" s="465">
        <f>IF(LN_IE11=0,0,LN_IE2/LN_IE11)</f>
        <v>1526.4</v>
      </c>
      <c r="E164" s="465">
        <f t="shared" si="16"/>
        <v>-1698.2153846153847</v>
      </c>
      <c r="F164" s="449">
        <f t="shared" si="17"/>
        <v>-0.52664122137404579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2.1666666666666665</v>
      </c>
      <c r="D165" s="466">
        <f>IF(LN_IE4=0,0,LN_IE11/LN_IE4)</f>
        <v>5</v>
      </c>
      <c r="E165" s="466">
        <f t="shared" si="16"/>
        <v>2.8333333333333335</v>
      </c>
      <c r="F165" s="449">
        <f t="shared" si="17"/>
        <v>1.3076923076923079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333004</v>
      </c>
      <c r="D168" s="511">
        <v>372609</v>
      </c>
      <c r="E168" s="511">
        <f t="shared" ref="E168:E176" si="18">D168-C168</f>
        <v>39605</v>
      </c>
      <c r="F168" s="449">
        <f t="shared" ref="F168:F176" si="19">IF(C168=0,0,E168/C168)</f>
        <v>0.11893250531525147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77001</v>
      </c>
      <c r="D169" s="511">
        <v>87657</v>
      </c>
      <c r="E169" s="511">
        <f t="shared" si="18"/>
        <v>10656</v>
      </c>
      <c r="F169" s="449">
        <f t="shared" si="19"/>
        <v>0.13838781314528384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0.23123145667919906</v>
      </c>
      <c r="D170" s="453">
        <f>IF(LN_IE14=0,0,LN_IE15/LN_IE14)</f>
        <v>0.23525196653865044</v>
      </c>
      <c r="E170" s="454">
        <f t="shared" si="18"/>
        <v>4.0205098594513766E-3</v>
      </c>
      <c r="F170" s="449">
        <f t="shared" si="19"/>
        <v>1.7387382829271648E-2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2.6880741350640127</v>
      </c>
      <c r="D171" s="453">
        <f>IF(LN_IE1=0,0,LN_IE14/LN_IE1)</f>
        <v>2.487359897463969</v>
      </c>
      <c r="E171" s="454">
        <f t="shared" si="18"/>
        <v>-0.2007142376000437</v>
      </c>
      <c r="F171" s="449">
        <f t="shared" si="19"/>
        <v>-7.4668415942056587E-2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16.128444810384075</v>
      </c>
      <c r="D172" s="463">
        <f>LN_IE17*LN_IE4</f>
        <v>14.924159384783813</v>
      </c>
      <c r="E172" s="463">
        <f t="shared" si="18"/>
        <v>-1.2042854256002613</v>
      </c>
      <c r="F172" s="449">
        <f t="shared" si="19"/>
        <v>-7.4668415942056546E-2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4774.2358860554232</v>
      </c>
      <c r="D173" s="465">
        <f>IF(LN_IE18=0,0,LN_IE15/LN_IE18)</f>
        <v>5873.4966399093955</v>
      </c>
      <c r="E173" s="465">
        <f t="shared" si="18"/>
        <v>1099.2607538539723</v>
      </c>
      <c r="F173" s="449">
        <f t="shared" si="19"/>
        <v>0.23024852145757826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8955.418295134843</v>
      </c>
      <c r="D174" s="465">
        <f>LN_IB18-LN_IE19</f>
        <v>8139.4879752579036</v>
      </c>
      <c r="E174" s="465">
        <f t="shared" si="18"/>
        <v>-815.93031987693939</v>
      </c>
      <c r="F174" s="449">
        <f t="shared" si="19"/>
        <v>-9.111024108390392E-2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1060.5385137774265</v>
      </c>
      <c r="D175" s="465">
        <f>LN_IA16-LN_IE19</f>
        <v>-359.77714281670069</v>
      </c>
      <c r="E175" s="465">
        <f t="shared" si="18"/>
        <v>-1420.3156565941272</v>
      </c>
      <c r="F175" s="449">
        <f t="shared" si="19"/>
        <v>-1.3392400541261309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17104.836888745973</v>
      </c>
      <c r="D176" s="441">
        <f>LN_IE21*LN_IE18</f>
        <v>-5369.3714223985698</v>
      </c>
      <c r="E176" s="441">
        <f t="shared" si="18"/>
        <v>-22474.208311144543</v>
      </c>
      <c r="F176" s="449">
        <f t="shared" si="19"/>
        <v>-1.3139095366604352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456886</v>
      </c>
      <c r="D179" s="448">
        <f>LN_IE1+LN_IE14</f>
        <v>522410</v>
      </c>
      <c r="E179" s="448">
        <f>D179-C179</f>
        <v>65524</v>
      </c>
      <c r="F179" s="449">
        <f>IF(C179=0,0,E179/C179)</f>
        <v>0.14341433092718972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118921</v>
      </c>
      <c r="D180" s="448">
        <f>LN_IE15+LN_IE2</f>
        <v>133449</v>
      </c>
      <c r="E180" s="448">
        <f>D180-C180</f>
        <v>14528</v>
      </c>
      <c r="F180" s="449">
        <f>IF(C180=0,0,E180/C180)</f>
        <v>0.12216513483741308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337965</v>
      </c>
      <c r="D181" s="448">
        <f>LN_IE23-LN_IE24</f>
        <v>388961</v>
      </c>
      <c r="E181" s="448">
        <f>D181-C181</f>
        <v>50996</v>
      </c>
      <c r="F181" s="449">
        <f>IF(C181=0,0,E181/C181)</f>
        <v>0.1508913644904058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26213.256980005568</v>
      </c>
      <c r="D183" s="448">
        <f>LN_IE10+LN_IE22</f>
        <v>-5.0764038308570889</v>
      </c>
      <c r="E183" s="441">
        <f>D183-C183</f>
        <v>-26218.333383836427</v>
      </c>
      <c r="F183" s="449">
        <f>IF(C183=0,0,E183/C183)</f>
        <v>-1.0001936578821446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4337204</v>
      </c>
      <c r="D188" s="448">
        <f>LN_ID1+LN_IE1</f>
        <v>4650066</v>
      </c>
      <c r="E188" s="448">
        <f t="shared" ref="E188:E200" si="20">D188-C188</f>
        <v>312862</v>
      </c>
      <c r="F188" s="449">
        <f t="shared" ref="F188:F200" si="21">IF(C188=0,0,E188/C188)</f>
        <v>7.2134490330636972E-2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1467658</v>
      </c>
      <c r="D189" s="448">
        <f>LN_1D2+LN_IE2</f>
        <v>1421479</v>
      </c>
      <c r="E189" s="448">
        <f t="shared" si="20"/>
        <v>-46179</v>
      </c>
      <c r="F189" s="449">
        <f t="shared" si="21"/>
        <v>-3.1464414734222824E-2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0.33838804907493397</v>
      </c>
      <c r="D190" s="453">
        <f>IF(LN_IF1=0,0,LN_IF2/LN_IF1)</f>
        <v>0.30569006977535373</v>
      </c>
      <c r="E190" s="454">
        <f t="shared" si="20"/>
        <v>-3.2697979299580238E-2</v>
      </c>
      <c r="F190" s="449">
        <f t="shared" si="21"/>
        <v>-9.6628646871448676E-2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194</v>
      </c>
      <c r="D191" s="456">
        <f>LN_ID4+LN_IE4</f>
        <v>129</v>
      </c>
      <c r="E191" s="456">
        <f t="shared" si="20"/>
        <v>-65</v>
      </c>
      <c r="F191" s="449">
        <f t="shared" si="21"/>
        <v>-0.33505154639175255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0.99577731958762894</v>
      </c>
      <c r="D192" s="459">
        <f>IF((LN_ID4+LN_IE4)=0,0,(LN_ID6+LN_IE6)/(LN_ID4+LN_IE4))</f>
        <v>1.1894</v>
      </c>
      <c r="E192" s="460">
        <f t="shared" si="20"/>
        <v>0.19362268041237107</v>
      </c>
      <c r="F192" s="449">
        <f t="shared" si="21"/>
        <v>0.19444375424472818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193.1808</v>
      </c>
      <c r="D193" s="463">
        <f>LN_IF4*LN_IF5</f>
        <v>153.43260000000001</v>
      </c>
      <c r="E193" s="463">
        <f t="shared" si="20"/>
        <v>-39.748199999999997</v>
      </c>
      <c r="F193" s="449">
        <f t="shared" si="21"/>
        <v>-0.2057564726929384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7597.3285129785154</v>
      </c>
      <c r="D194" s="465">
        <f>IF(LN_IF6=0,0,LN_IF2/LN_IF6)</f>
        <v>9264.5174493556115</v>
      </c>
      <c r="E194" s="465">
        <f t="shared" si="20"/>
        <v>1667.1889363770961</v>
      </c>
      <c r="F194" s="449">
        <f t="shared" si="21"/>
        <v>0.21944410242745688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1960.6759051176459</v>
      </c>
      <c r="D195" s="465">
        <f>LN_IB7-LN_IF7</f>
        <v>-861.88449691224378</v>
      </c>
      <c r="E195" s="465">
        <f t="shared" si="20"/>
        <v>-2822.5604020298897</v>
      </c>
      <c r="F195" s="449">
        <f t="shared" si="21"/>
        <v>-1.4395853973941339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57.700003562077654</v>
      </c>
      <c r="D196" s="465">
        <f>LN_IA7-LN_IF7</f>
        <v>-2096.1559479588686</v>
      </c>
      <c r="E196" s="465">
        <f t="shared" si="20"/>
        <v>-2153.8559515209463</v>
      </c>
      <c r="F196" s="449">
        <f t="shared" si="21"/>
        <v>-37.328523718437538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11146.532848124996</v>
      </c>
      <c r="D197" s="479">
        <f>LN_IF9*LN_IF6</f>
        <v>-321618.65710079391</v>
      </c>
      <c r="E197" s="479">
        <f t="shared" si="20"/>
        <v>-332765.18994891888</v>
      </c>
      <c r="F197" s="449">
        <f t="shared" si="21"/>
        <v>-29.853694819990118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716</v>
      </c>
      <c r="D198" s="456">
        <f>LN_ID11+LN_IE11</f>
        <v>698</v>
      </c>
      <c r="E198" s="456">
        <f t="shared" si="20"/>
        <v>-18</v>
      </c>
      <c r="F198" s="449">
        <f t="shared" si="21"/>
        <v>-2.5139664804469275E-2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2049.8016759776538</v>
      </c>
      <c r="D199" s="519">
        <f>IF(LN_IF11=0,0,LN_IF2/LN_IF11)</f>
        <v>2036.5028653295128</v>
      </c>
      <c r="E199" s="519">
        <f t="shared" si="20"/>
        <v>-13.298810648140943</v>
      </c>
      <c r="F199" s="449">
        <f t="shared" si="21"/>
        <v>-6.4878523634722225E-3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3.6907216494845363</v>
      </c>
      <c r="D200" s="466">
        <f>IF(LN_IF4=0,0,LN_IF11/LN_IF4)</f>
        <v>5.4108527131782944</v>
      </c>
      <c r="E200" s="466">
        <f t="shared" si="20"/>
        <v>1.7201310636937581</v>
      </c>
      <c r="F200" s="449">
        <f t="shared" si="21"/>
        <v>0.46606903122428639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13690899</v>
      </c>
      <c r="D203" s="448">
        <f>LN_ID14+LN_IE14</f>
        <v>15716610</v>
      </c>
      <c r="E203" s="448">
        <f t="shared" ref="E203:E211" si="22">D203-C203</f>
        <v>2025711</v>
      </c>
      <c r="F203" s="449">
        <f t="shared" ref="F203:F211" si="23">IF(C203=0,0,E203/C203)</f>
        <v>0.14796040785926476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3165781</v>
      </c>
      <c r="D204" s="448">
        <f>LN_ID15+LN_IE15</f>
        <v>3697380</v>
      </c>
      <c r="E204" s="448">
        <f t="shared" si="22"/>
        <v>531599</v>
      </c>
      <c r="F204" s="449">
        <f t="shared" si="23"/>
        <v>0.16792033308684334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0.23123251438784262</v>
      </c>
      <c r="D205" s="453">
        <f>IF(LN_IF14=0,0,LN_IF15/LN_IF14)</f>
        <v>0.23525302212118263</v>
      </c>
      <c r="E205" s="454">
        <f t="shared" si="22"/>
        <v>4.0205077333400063E-3</v>
      </c>
      <c r="F205" s="449">
        <f t="shared" si="23"/>
        <v>1.7387294100848088E-2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3.1566186418715838</v>
      </c>
      <c r="D206" s="453">
        <f>IF(LN_IF1=0,0,LN_IF14/LN_IF1)</f>
        <v>3.3798681567100339</v>
      </c>
      <c r="E206" s="454">
        <f t="shared" si="22"/>
        <v>0.22324951483845012</v>
      </c>
      <c r="F206" s="449">
        <f t="shared" si="23"/>
        <v>7.072425914144756E-2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612.16270471266546</v>
      </c>
      <c r="D207" s="463">
        <f>LN_ID18+LN_IE18</f>
        <v>434.30215668049863</v>
      </c>
      <c r="E207" s="463">
        <f t="shared" si="22"/>
        <v>-177.86054803216683</v>
      </c>
      <c r="F207" s="449">
        <f t="shared" si="23"/>
        <v>-0.29054456709454446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5171.4698978369515</v>
      </c>
      <c r="D208" s="465">
        <f>IF(LN_IF18=0,0,LN_IF15/LN_IF18)</f>
        <v>8513.3816241212844</v>
      </c>
      <c r="E208" s="465">
        <f t="shared" si="22"/>
        <v>3341.9117262843329</v>
      </c>
      <c r="F208" s="449">
        <f t="shared" si="23"/>
        <v>0.64622086027845582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8558.1842833533155</v>
      </c>
      <c r="D209" s="465">
        <f>LN_IB18-LN_IF19</f>
        <v>5499.6029910460147</v>
      </c>
      <c r="E209" s="465">
        <f t="shared" si="22"/>
        <v>-3058.5812923073008</v>
      </c>
      <c r="F209" s="449">
        <f t="shared" si="23"/>
        <v>-0.3573867062265304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663.30450199589814</v>
      </c>
      <c r="D210" s="465">
        <f>LN_IA16-LN_IF19</f>
        <v>-2999.6621270285896</v>
      </c>
      <c r="E210" s="465">
        <f t="shared" si="22"/>
        <v>-3662.9666290244877</v>
      </c>
      <c r="F210" s="449">
        <f t="shared" si="23"/>
        <v>-5.5223002678295394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406050.27798989654</v>
      </c>
      <c r="D211" s="441">
        <f>LN_IF21*LN_IF18</f>
        <v>-1302759.7310813284</v>
      </c>
      <c r="E211" s="441">
        <f t="shared" si="22"/>
        <v>-1708810.0090712248</v>
      </c>
      <c r="F211" s="449">
        <f t="shared" si="23"/>
        <v>-4.2083704942414641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18028103</v>
      </c>
      <c r="D214" s="448">
        <f>LN_IF1+LN_IF14</f>
        <v>20366676</v>
      </c>
      <c r="E214" s="448">
        <f>D214-C214</f>
        <v>2338573</v>
      </c>
      <c r="F214" s="449">
        <f>IF(C214=0,0,E214/C214)</f>
        <v>0.12971819608530083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4633439</v>
      </c>
      <c r="D215" s="448">
        <f>LN_IF2+LN_IF15</f>
        <v>5118859</v>
      </c>
      <c r="E215" s="448">
        <f>D215-C215</f>
        <v>485420</v>
      </c>
      <c r="F215" s="449">
        <f>IF(C215=0,0,E215/C215)</f>
        <v>0.1047645172408658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13394664</v>
      </c>
      <c r="D216" s="448">
        <f>LN_IF23-LN_IF24</f>
        <v>15247817</v>
      </c>
      <c r="E216" s="448">
        <f>D216-C216</f>
        <v>1853153</v>
      </c>
      <c r="F216" s="449">
        <f>IF(C216=0,0,E216/C216)</f>
        <v>0.13835009224568828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40134</v>
      </c>
      <c r="D221" s="448">
        <v>54360</v>
      </c>
      <c r="E221" s="448">
        <f t="shared" ref="E221:E230" si="24">D221-C221</f>
        <v>14226</v>
      </c>
      <c r="F221" s="449">
        <f t="shared" ref="F221:F230" si="25">IF(C221=0,0,E221/C221)</f>
        <v>0.35446255045597247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37373</v>
      </c>
      <c r="D222" s="448">
        <v>20173</v>
      </c>
      <c r="E222" s="448">
        <f t="shared" si="24"/>
        <v>-17200</v>
      </c>
      <c r="F222" s="449">
        <f t="shared" si="25"/>
        <v>-0.46022529633692771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0.93120546170329399</v>
      </c>
      <c r="D223" s="453">
        <f>IF(LN_IG1=0,0,LN_IG2/LN_IG1)</f>
        <v>0.37110007358351726</v>
      </c>
      <c r="E223" s="454">
        <f t="shared" si="24"/>
        <v>-0.56010538811977673</v>
      </c>
      <c r="F223" s="449">
        <f t="shared" si="25"/>
        <v>-0.60148421712999001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</v>
      </c>
      <c r="D224" s="456">
        <v>2</v>
      </c>
      <c r="E224" s="456">
        <f t="shared" si="24"/>
        <v>0</v>
      </c>
      <c r="F224" s="449">
        <f t="shared" si="25"/>
        <v>0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1.1599999999999999</v>
      </c>
      <c r="D225" s="459">
        <v>1.59</v>
      </c>
      <c r="E225" s="460">
        <f t="shared" si="24"/>
        <v>0.43000000000000016</v>
      </c>
      <c r="F225" s="449">
        <f t="shared" si="25"/>
        <v>0.37068965517241398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2.3199999999999998</v>
      </c>
      <c r="D226" s="463">
        <f>LN_IG3*LN_IG4</f>
        <v>3.18</v>
      </c>
      <c r="E226" s="463">
        <f t="shared" si="24"/>
        <v>0.86000000000000032</v>
      </c>
      <c r="F226" s="449">
        <f t="shared" si="25"/>
        <v>0.37068965517241398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16109.051724137933</v>
      </c>
      <c r="D227" s="465">
        <f>IF(LN_IG5=0,0,LN_IG2/LN_IG5)</f>
        <v>6343.7106918238987</v>
      </c>
      <c r="E227" s="465">
        <f t="shared" si="24"/>
        <v>-9765.3410323140342</v>
      </c>
      <c r="F227" s="449">
        <f t="shared" si="25"/>
        <v>-0.60620210298794741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3</v>
      </c>
      <c r="D228" s="456">
        <v>6</v>
      </c>
      <c r="E228" s="456">
        <f t="shared" si="24"/>
        <v>3</v>
      </c>
      <c r="F228" s="449">
        <f t="shared" si="25"/>
        <v>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12457.666666666666</v>
      </c>
      <c r="D229" s="465">
        <f>IF(LN_IG6=0,0,LN_IG2/LN_IG6)</f>
        <v>3362.1666666666665</v>
      </c>
      <c r="E229" s="465">
        <f t="shared" si="24"/>
        <v>-9095.5</v>
      </c>
      <c r="F229" s="449">
        <f t="shared" si="25"/>
        <v>-0.73011264816846388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1.5</v>
      </c>
      <c r="D230" s="466">
        <f>IF(LN_IG3=0,0,LN_IG6/LN_IG3)</f>
        <v>3</v>
      </c>
      <c r="E230" s="466">
        <f t="shared" si="24"/>
        <v>1.5</v>
      </c>
      <c r="F230" s="449">
        <f t="shared" si="25"/>
        <v>1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221308</v>
      </c>
      <c r="D233" s="448">
        <v>355009</v>
      </c>
      <c r="E233" s="448">
        <f>D233-C233</f>
        <v>133701</v>
      </c>
      <c r="F233" s="449">
        <f>IF(C233=0,0,E233/C233)</f>
        <v>0.6041399316789271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49868</v>
      </c>
      <c r="D234" s="448">
        <v>67442</v>
      </c>
      <c r="E234" s="448">
        <f>D234-C234</f>
        <v>17574</v>
      </c>
      <c r="F234" s="449">
        <f>IF(C234=0,0,E234/C234)</f>
        <v>0.35241036335926845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261442</v>
      </c>
      <c r="D237" s="448">
        <f>LN_IG1+LN_IG9</f>
        <v>409369</v>
      </c>
      <c r="E237" s="448">
        <f>D237-C237</f>
        <v>147927</v>
      </c>
      <c r="F237" s="449">
        <f>IF(C237=0,0,E237/C237)</f>
        <v>0.56581192004345127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87241</v>
      </c>
      <c r="D238" s="448">
        <f>LN_IG2+LN_IG10</f>
        <v>87615</v>
      </c>
      <c r="E238" s="448">
        <f>D238-C238</f>
        <v>374</v>
      </c>
      <c r="F238" s="449">
        <f>IF(C238=0,0,E238/C238)</f>
        <v>4.2869751607615683E-3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174201</v>
      </c>
      <c r="D239" s="448">
        <f>LN_IG13-LN_IG14</f>
        <v>321754</v>
      </c>
      <c r="E239" s="448">
        <f>D239-C239</f>
        <v>147553</v>
      </c>
      <c r="F239" s="449">
        <f>IF(C239=0,0,E239/C239)</f>
        <v>0.84702728457356735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874400</v>
      </c>
      <c r="D243" s="448">
        <v>1006794</v>
      </c>
      <c r="E243" s="441">
        <f>D243-C243</f>
        <v>132394</v>
      </c>
      <c r="F243" s="503">
        <f>IF(C243=0,0,E243/C243)</f>
        <v>0.15141125343092407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72962299</v>
      </c>
      <c r="D244" s="448">
        <v>65083198</v>
      </c>
      <c r="E244" s="441">
        <f>D244-C244</f>
        <v>-7879101</v>
      </c>
      <c r="F244" s="503">
        <f>IF(C244=0,0,E244/C244)</f>
        <v>-0.10798866137702158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624534</v>
      </c>
      <c r="D248" s="441">
        <v>515390</v>
      </c>
      <c r="E248" s="441">
        <f>D248-C248</f>
        <v>-109144</v>
      </c>
      <c r="F248" s="449">
        <f>IF(C248=0,0,E248/C248)</f>
        <v>-0.17476070157909737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2560334</v>
      </c>
      <c r="D249" s="441">
        <v>1786094</v>
      </c>
      <c r="E249" s="441">
        <f>D249-C249</f>
        <v>-774240</v>
      </c>
      <c r="F249" s="449">
        <f>IF(C249=0,0,E249/C249)</f>
        <v>-0.30239804650487007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3184868</v>
      </c>
      <c r="D250" s="441">
        <f>LN_IH4+LN_IH5</f>
        <v>2301484</v>
      </c>
      <c r="E250" s="441">
        <f>D250-C250</f>
        <v>-883384</v>
      </c>
      <c r="F250" s="449">
        <f>IF(C250=0,0,E250/C250)</f>
        <v>-0.27736910917501134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1179264.1130917773</v>
      </c>
      <c r="D251" s="441">
        <f>LN_IH6*LN_III10</f>
        <v>821405.94261607376</v>
      </c>
      <c r="E251" s="441">
        <f>D251-C251</f>
        <v>-357858.17047570355</v>
      </c>
      <c r="F251" s="449">
        <f>IF(C251=0,0,E251/C251)</f>
        <v>-0.30345888296174489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18028103</v>
      </c>
      <c r="D254" s="441">
        <f>LN_IF23</f>
        <v>20366676</v>
      </c>
      <c r="E254" s="441">
        <f>D254-C254</f>
        <v>2338573</v>
      </c>
      <c r="F254" s="449">
        <f>IF(C254=0,0,E254/C254)</f>
        <v>0.12971819608530083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4633439</v>
      </c>
      <c r="D255" s="441">
        <f>LN_IF24</f>
        <v>5118859</v>
      </c>
      <c r="E255" s="441">
        <f>D255-C255</f>
        <v>485420</v>
      </c>
      <c r="F255" s="449">
        <f>IF(C255=0,0,E255/C255)</f>
        <v>0.1047645172408658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6675282.8987016762</v>
      </c>
      <c r="D256" s="441">
        <f>LN_IH8*LN_III10</f>
        <v>7268922.4421009086</v>
      </c>
      <c r="E256" s="441">
        <f>D256-C256</f>
        <v>593639.54339923244</v>
      </c>
      <c r="F256" s="449">
        <f>IF(C256=0,0,E256/C256)</f>
        <v>8.8930993997976271E-2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2041843.8987016762</v>
      </c>
      <c r="D257" s="441">
        <f>LN_IH10-LN_IH9</f>
        <v>2150063.4421009086</v>
      </c>
      <c r="E257" s="441">
        <f>D257-C257</f>
        <v>108219.54339923244</v>
      </c>
      <c r="F257" s="449">
        <f>IF(C257=0,0,E257/C257)</f>
        <v>5.3000889768333788E-2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47824581</v>
      </c>
      <c r="D261" s="448">
        <f>LN_IA1+LN_IB1+LN_IF1+LN_IG1</f>
        <v>45265913</v>
      </c>
      <c r="E261" s="448">
        <f t="shared" ref="E261:E274" si="26">D261-C261</f>
        <v>-2558668</v>
      </c>
      <c r="F261" s="503">
        <f t="shared" ref="F261:F274" si="27">IF(C261=0,0,E261/C261)</f>
        <v>-5.3501106470749842E-2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19325554</v>
      </c>
      <c r="D262" s="448">
        <f>+LN_IA2+LN_IB2+LN_IF2+LN_IG2</f>
        <v>16616927</v>
      </c>
      <c r="E262" s="448">
        <f t="shared" si="26"/>
        <v>-2708627</v>
      </c>
      <c r="F262" s="503">
        <f t="shared" si="27"/>
        <v>-0.14015779314787044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0.40409248959232907</v>
      </c>
      <c r="D263" s="453">
        <f>IF(LN_IIA1=0,0,LN_IIA2/LN_IIA1)</f>
        <v>0.36709581004143227</v>
      </c>
      <c r="E263" s="454">
        <f t="shared" si="26"/>
        <v>-3.6996679550896805E-2</v>
      </c>
      <c r="F263" s="458">
        <f t="shared" si="27"/>
        <v>-9.1554979376679599E-2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1824</v>
      </c>
      <c r="D264" s="456">
        <f>LN_IA4+LN_IB4+LN_IF4+LN_IG3</f>
        <v>1636</v>
      </c>
      <c r="E264" s="456">
        <f t="shared" si="26"/>
        <v>-188</v>
      </c>
      <c r="F264" s="503">
        <f t="shared" si="27"/>
        <v>-0.10307017543859649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1.2867315789473683</v>
      </c>
      <c r="D265" s="525">
        <f>IF(LN_IIA4=0,0,LN_IIA6/LN_IIA4)</f>
        <v>1.323625672371638</v>
      </c>
      <c r="E265" s="525">
        <f t="shared" si="26"/>
        <v>3.6894093424269636E-2</v>
      </c>
      <c r="F265" s="503">
        <f t="shared" si="27"/>
        <v>2.8672719336267048E-2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2346.9983999999999</v>
      </c>
      <c r="D266" s="463">
        <f>LN_IA6+LN_IB6+LN_IF6+LN_IG5</f>
        <v>2165.4515999999999</v>
      </c>
      <c r="E266" s="463">
        <f t="shared" si="26"/>
        <v>-181.54680000000008</v>
      </c>
      <c r="F266" s="503">
        <f t="shared" si="27"/>
        <v>-7.7352758314620101E-2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136336748</v>
      </c>
      <c r="D267" s="448">
        <f>LN_IA11+LN_IB13+LN_IF14+LN_IG9</f>
        <v>126871141</v>
      </c>
      <c r="E267" s="448">
        <f t="shared" si="26"/>
        <v>-9465607</v>
      </c>
      <c r="F267" s="503">
        <f t="shared" si="27"/>
        <v>-6.9428141266799179E-2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2.8507672236584782</v>
      </c>
      <c r="D268" s="453">
        <f>IF(LN_IIA1=0,0,LN_IIA7/LN_IIA1)</f>
        <v>2.8027964662946268</v>
      </c>
      <c r="E268" s="454">
        <f t="shared" si="26"/>
        <v>-4.7970757363851479E-2</v>
      </c>
      <c r="F268" s="458">
        <f t="shared" si="27"/>
        <v>-1.6827314754337998E-2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50614609</v>
      </c>
      <c r="D269" s="448">
        <f>LN_IA12+LN_IB14+LN_IF15+LN_IG10</f>
        <v>46127744</v>
      </c>
      <c r="E269" s="448">
        <f t="shared" si="26"/>
        <v>-4486865</v>
      </c>
      <c r="F269" s="503">
        <f t="shared" si="27"/>
        <v>-8.8647627407336088E-2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0.37124700231224528</v>
      </c>
      <c r="D270" s="453">
        <f>IF(LN_IIA7=0,0,LN_IIA9/LN_IIA7)</f>
        <v>0.36357948416338431</v>
      </c>
      <c r="E270" s="454">
        <f t="shared" si="26"/>
        <v>-7.6675181488609634E-3</v>
      </c>
      <c r="F270" s="458">
        <f t="shared" si="27"/>
        <v>-2.0653414306661611E-2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184161329</v>
      </c>
      <c r="D271" s="441">
        <f>LN_IIA1+LN_IIA7</f>
        <v>172137054</v>
      </c>
      <c r="E271" s="441">
        <f t="shared" si="26"/>
        <v>-12024275</v>
      </c>
      <c r="F271" s="503">
        <f t="shared" si="27"/>
        <v>-6.5292073342932924E-2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69940163</v>
      </c>
      <c r="D272" s="441">
        <f>LN_IIA2+LN_IIA9</f>
        <v>62744671</v>
      </c>
      <c r="E272" s="441">
        <f t="shared" si="26"/>
        <v>-7195492</v>
      </c>
      <c r="F272" s="503">
        <f t="shared" si="27"/>
        <v>-0.1028806867378905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0.37977659794147117</v>
      </c>
      <c r="D273" s="453">
        <f>IF(LN_IIA11=0,0,LN_IIA12/LN_IIA11)</f>
        <v>0.36450415260388969</v>
      </c>
      <c r="E273" s="454">
        <f t="shared" si="26"/>
        <v>-1.5272445337581486E-2</v>
      </c>
      <c r="F273" s="458">
        <f t="shared" si="27"/>
        <v>-4.0214287611094933E-2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7017</v>
      </c>
      <c r="D274" s="508">
        <f>LN_IA8+LN_IB10+LN_IF11+LN_IG6</f>
        <v>6716</v>
      </c>
      <c r="E274" s="528">
        <f t="shared" si="26"/>
        <v>-301</v>
      </c>
      <c r="F274" s="458">
        <f t="shared" si="27"/>
        <v>-4.2895824426393045E-2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33783568</v>
      </c>
      <c r="D277" s="448">
        <f>LN_IA1+LN_IF1+LN_IG1</f>
        <v>33341792</v>
      </c>
      <c r="E277" s="448">
        <f t="shared" ref="E277:E291" si="28">D277-C277</f>
        <v>-441776</v>
      </c>
      <c r="F277" s="503">
        <f t="shared" ref="F277:F291" si="29">IF(C277=0,0,E277/C277)</f>
        <v>-1.3076653123198828E-2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12541206</v>
      </c>
      <c r="D278" s="448">
        <f>LN_IA2+LN_IF2+LN_IG2</f>
        <v>11339608</v>
      </c>
      <c r="E278" s="448">
        <f t="shared" si="28"/>
        <v>-1201598</v>
      </c>
      <c r="F278" s="503">
        <f t="shared" si="29"/>
        <v>-9.5811997665934207E-2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0.37122206866959701</v>
      </c>
      <c r="D279" s="453">
        <f>IF(D277=0,0,LN_IIB2/D277)</f>
        <v>0.34010193573278846</v>
      </c>
      <c r="E279" s="454">
        <f t="shared" si="28"/>
        <v>-3.1120132936808542E-2</v>
      </c>
      <c r="F279" s="458">
        <f t="shared" si="29"/>
        <v>-8.3831581048880874E-2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1279</v>
      </c>
      <c r="D280" s="456">
        <f>LN_IA4+LN_IF4+LN_IG3</f>
        <v>1178</v>
      </c>
      <c r="E280" s="456">
        <f t="shared" si="28"/>
        <v>-101</v>
      </c>
      <c r="F280" s="503">
        <f t="shared" si="29"/>
        <v>-7.8967943706020324E-2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1.2800550430023456</v>
      </c>
      <c r="D281" s="525">
        <f>IF(LN_IIB4=0,0,LN_IIB6/LN_IIB4)</f>
        <v>1.3050901528013583</v>
      </c>
      <c r="E281" s="525">
        <f t="shared" si="28"/>
        <v>2.5035109799012689E-2</v>
      </c>
      <c r="F281" s="503">
        <f t="shared" si="29"/>
        <v>1.9557838497548746E-2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1637.1904</v>
      </c>
      <c r="D282" s="463">
        <f>LN_IA6+LN_IF6+LN_IG5</f>
        <v>1537.3962000000001</v>
      </c>
      <c r="E282" s="463">
        <f t="shared" si="28"/>
        <v>-99.794199999999819</v>
      </c>
      <c r="F282" s="503">
        <f t="shared" si="29"/>
        <v>-6.0954547497957368E-2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70017252</v>
      </c>
      <c r="D283" s="448">
        <f>LN_IA11+LN_IF14+LN_IG9</f>
        <v>67380394</v>
      </c>
      <c r="E283" s="448">
        <f t="shared" si="28"/>
        <v>-2636858</v>
      </c>
      <c r="F283" s="503">
        <f t="shared" si="29"/>
        <v>-3.7660118394820752E-2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2.072523896824634</v>
      </c>
      <c r="D284" s="453">
        <f>IF(D277=0,0,LN_IIB7/D277)</f>
        <v>2.020898996670605</v>
      </c>
      <c r="E284" s="454">
        <f t="shared" si="28"/>
        <v>-5.1624900154028985E-2</v>
      </c>
      <c r="F284" s="458">
        <f t="shared" si="29"/>
        <v>-2.4909194163273481E-2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15271978</v>
      </c>
      <c r="D285" s="448">
        <f>LN_IA12+LN_IF15+LN_IG10</f>
        <v>14107903</v>
      </c>
      <c r="E285" s="448">
        <f t="shared" si="28"/>
        <v>-1164075</v>
      </c>
      <c r="F285" s="503">
        <f t="shared" si="29"/>
        <v>-7.6222935889509527E-2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0.21811735770492677</v>
      </c>
      <c r="D286" s="453">
        <f>IF(LN_IIB7=0,0,LN_IIB9/LN_IIB7)</f>
        <v>0.20937697396070434</v>
      </c>
      <c r="E286" s="454">
        <f t="shared" si="28"/>
        <v>-8.7403837442224241E-3</v>
      </c>
      <c r="F286" s="458">
        <f t="shared" si="29"/>
        <v>-4.0071931166737212E-2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103800820</v>
      </c>
      <c r="D287" s="441">
        <f>D277+LN_IIB7</f>
        <v>100722186</v>
      </c>
      <c r="E287" s="441">
        <f t="shared" si="28"/>
        <v>-3078634</v>
      </c>
      <c r="F287" s="503">
        <f t="shared" si="29"/>
        <v>-2.965905278975638E-2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27813184</v>
      </c>
      <c r="D288" s="441">
        <f>LN_IIB2+LN_IIB9</f>
        <v>25447511</v>
      </c>
      <c r="E288" s="441">
        <f t="shared" si="28"/>
        <v>-2365673</v>
      </c>
      <c r="F288" s="503">
        <f t="shared" si="29"/>
        <v>-8.5055813818367576E-2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0.26794763278363309</v>
      </c>
      <c r="D289" s="453">
        <f>IF(LN_IIB11=0,0,LN_IIB12/LN_IIB11)</f>
        <v>0.25265050343526102</v>
      </c>
      <c r="E289" s="454">
        <f t="shared" si="28"/>
        <v>-1.5297129348372074E-2</v>
      </c>
      <c r="F289" s="458">
        <f t="shared" si="29"/>
        <v>-5.7089996240886592E-2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5312</v>
      </c>
      <c r="D290" s="508">
        <f>LN_IA8+LN_IF11+LN_IG6</f>
        <v>5274</v>
      </c>
      <c r="E290" s="528">
        <f t="shared" si="28"/>
        <v>-38</v>
      </c>
      <c r="F290" s="458">
        <f t="shared" si="29"/>
        <v>-7.1536144578313249E-3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75987636</v>
      </c>
      <c r="D291" s="516">
        <f>LN_IIB11-LN_IIB12</f>
        <v>75274675</v>
      </c>
      <c r="E291" s="441">
        <f t="shared" si="28"/>
        <v>-712961</v>
      </c>
      <c r="F291" s="503">
        <f t="shared" si="29"/>
        <v>-9.382592189076654E-3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4.2409972299168972</v>
      </c>
      <c r="D294" s="466">
        <f>IF(LN_IA4=0,0,LN_IA8/LN_IA4)</f>
        <v>4.3648519579751675</v>
      </c>
      <c r="E294" s="466">
        <f t="shared" ref="E294:E300" si="30">D294-C294</f>
        <v>0.12385472805827025</v>
      </c>
      <c r="F294" s="503">
        <f t="shared" ref="F294:F300" si="31">IF(C294=0,0,E294/C294)</f>
        <v>2.9204152076443869E-2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3.1284403669724772</v>
      </c>
      <c r="D295" s="466">
        <f>IF(LN_IB4=0,0,(LN_IB10)/(LN_IB4))</f>
        <v>3.1484716157205241</v>
      </c>
      <c r="E295" s="466">
        <f t="shared" si="30"/>
        <v>2.0031248748046959E-2</v>
      </c>
      <c r="F295" s="503">
        <f t="shared" si="31"/>
        <v>6.4029504795809922E-3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2.9210526315789473</v>
      </c>
      <c r="D296" s="466">
        <f>IF(LN_IC4=0,0,LN_IC11/LN_IC4)</f>
        <v>3.342857142857143</v>
      </c>
      <c r="E296" s="466">
        <f t="shared" si="30"/>
        <v>0.42180451127819563</v>
      </c>
      <c r="F296" s="503">
        <f t="shared" si="31"/>
        <v>0.14440154440154446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3.7393617021276597</v>
      </c>
      <c r="D297" s="466">
        <f>IF(LN_ID4=0,0,LN_ID11/LN_ID4)</f>
        <v>5.4308943089430892</v>
      </c>
      <c r="E297" s="466">
        <f t="shared" si="30"/>
        <v>1.6915326068154295</v>
      </c>
      <c r="F297" s="503">
        <f t="shared" si="31"/>
        <v>0.45235864876429693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2.1666666666666665</v>
      </c>
      <c r="D298" s="466">
        <f>IF(LN_IE4=0,0,LN_IE11/LN_IE4)</f>
        <v>5</v>
      </c>
      <c r="E298" s="466">
        <f t="shared" si="30"/>
        <v>2.8333333333333335</v>
      </c>
      <c r="F298" s="503">
        <f t="shared" si="31"/>
        <v>1.3076923076923079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1.5</v>
      </c>
      <c r="D299" s="466">
        <f>IF(LN_IG3=0,0,LN_IG6/LN_IG3)</f>
        <v>3</v>
      </c>
      <c r="E299" s="466">
        <f t="shared" si="30"/>
        <v>1.5</v>
      </c>
      <c r="F299" s="503">
        <f t="shared" si="31"/>
        <v>1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3.8470394736842106</v>
      </c>
      <c r="D300" s="466">
        <f>IF(LN_IIA4=0,0,LN_IIA14/LN_IIA4)</f>
        <v>4.1051344743276283</v>
      </c>
      <c r="E300" s="466">
        <f t="shared" si="30"/>
        <v>0.25809500064341773</v>
      </c>
      <c r="F300" s="503">
        <f t="shared" si="31"/>
        <v>6.7089251984265921E-2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184161329</v>
      </c>
      <c r="D304" s="441">
        <f>LN_IIA11</f>
        <v>172137054</v>
      </c>
      <c r="E304" s="441">
        <f t="shared" ref="E304:E316" si="32">D304-C304</f>
        <v>-12024275</v>
      </c>
      <c r="F304" s="449">
        <f>IF(C304=0,0,E304/C304)</f>
        <v>-6.5292073342932924E-2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75987636</v>
      </c>
      <c r="D305" s="441">
        <f>LN_IIB14</f>
        <v>75274675</v>
      </c>
      <c r="E305" s="441">
        <f t="shared" si="32"/>
        <v>-712961</v>
      </c>
      <c r="F305" s="449">
        <f>IF(C305=0,0,E305/C305)</f>
        <v>-9.382592189076654E-3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3184868</v>
      </c>
      <c r="D306" s="441">
        <f>LN_IH6</f>
        <v>2301484</v>
      </c>
      <c r="E306" s="441">
        <f t="shared" si="32"/>
        <v>-883384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35048662</v>
      </c>
      <c r="D307" s="441">
        <f>LN_IB32-LN_IB33</f>
        <v>31816225</v>
      </c>
      <c r="E307" s="441">
        <f t="shared" si="32"/>
        <v>-3232437</v>
      </c>
      <c r="F307" s="449">
        <f t="shared" ref="F307:F316" si="33">IF(C307=0,0,E307/C307)</f>
        <v>-9.2227115545808855E-2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1750572</v>
      </c>
      <c r="D308" s="441">
        <v>1308484</v>
      </c>
      <c r="E308" s="441">
        <f t="shared" si="32"/>
        <v>-442088</v>
      </c>
      <c r="F308" s="449">
        <f t="shared" si="33"/>
        <v>-0.2525391700541309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115971738</v>
      </c>
      <c r="D309" s="441">
        <f>LN_III2+LN_III3+LN_III4+LN_III5</f>
        <v>110700868</v>
      </c>
      <c r="E309" s="441">
        <f t="shared" si="32"/>
        <v>-5270870</v>
      </c>
      <c r="F309" s="449">
        <f t="shared" si="33"/>
        <v>-4.5449607731152565E-2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68189591</v>
      </c>
      <c r="D310" s="441">
        <f>LN_III1-LN_III6</f>
        <v>61436186</v>
      </c>
      <c r="E310" s="441">
        <f t="shared" si="32"/>
        <v>-6753405</v>
      </c>
      <c r="F310" s="449">
        <f t="shared" si="33"/>
        <v>-9.9038649461909808E-2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68189591</v>
      </c>
      <c r="D312" s="441">
        <f>LN_III7+LN_III8</f>
        <v>61436186</v>
      </c>
      <c r="E312" s="441">
        <f t="shared" si="32"/>
        <v>-6753405</v>
      </c>
      <c r="F312" s="449">
        <f t="shared" si="33"/>
        <v>-9.9038649461909808E-2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0.37027095411545385</v>
      </c>
      <c r="D313" s="532">
        <f>IF(LN_III1=0,0,LN_III9/LN_III1)</f>
        <v>0.35690273867473066</v>
      </c>
      <c r="E313" s="532">
        <f t="shared" si="32"/>
        <v>-1.3368215440723197E-2</v>
      </c>
      <c r="F313" s="449">
        <f t="shared" si="33"/>
        <v>-3.6103872831879935E-2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1179264.1130917773</v>
      </c>
      <c r="D314" s="441">
        <f>D313*LN_III5</f>
        <v>821405.94261607376</v>
      </c>
      <c r="E314" s="441">
        <f t="shared" si="32"/>
        <v>-357858.17047570355</v>
      </c>
      <c r="F314" s="449">
        <f t="shared" si="33"/>
        <v>-0.30345888296174489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2041843.8987016762</v>
      </c>
      <c r="D315" s="441">
        <f>D313*LN_IH8-LN_IH9</f>
        <v>2150063.4421009086</v>
      </c>
      <c r="E315" s="441">
        <f t="shared" si="32"/>
        <v>108219.54339923244</v>
      </c>
      <c r="F315" s="449">
        <f t="shared" si="33"/>
        <v>5.3000889768333788E-2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3221108.0117934532</v>
      </c>
      <c r="D318" s="441">
        <f>D314+D315+D316</f>
        <v>2971469.3847169825</v>
      </c>
      <c r="E318" s="441">
        <f>D318-C318</f>
        <v>-249638.62707647076</v>
      </c>
      <c r="F318" s="449">
        <f>IF(C318=0,0,E318/C318)</f>
        <v>-7.7500855656646106E-2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388945.44110115059</v>
      </c>
      <c r="D322" s="441">
        <f>LN_ID22</f>
        <v>-1297390.3596589302</v>
      </c>
      <c r="E322" s="441">
        <f>LN_IV2-C322</f>
        <v>-1686335.8007600808</v>
      </c>
      <c r="F322" s="449">
        <f>IF(C322=0,0,E322/C322)</f>
        <v>-4.3356615673032817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26213.256980005568</v>
      </c>
      <c r="D323" s="441">
        <f>LN_IE10+LN_IE22</f>
        <v>-5.0764038308570889</v>
      </c>
      <c r="E323" s="441">
        <f>LN_IV3-C323</f>
        <v>-26218.333383836427</v>
      </c>
      <c r="F323" s="449">
        <f>IF(C323=0,0,E323/C323)</f>
        <v>-1.0001936578821446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1050075.8238080628</v>
      </c>
      <c r="D324" s="441">
        <f>LN_IC10+LN_IC22</f>
        <v>965141.97329873755</v>
      </c>
      <c r="E324" s="441">
        <f>LN_IV1-C324</f>
        <v>-84933.850509325275</v>
      </c>
      <c r="F324" s="449">
        <f>IF(C324=0,0,E324/C324)</f>
        <v>-8.0883540582160698E-2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1465234.5218892191</v>
      </c>
      <c r="D325" s="516">
        <f>LN_IV1+LN_IV2+LN_IV3</f>
        <v>-332253.46276402351</v>
      </c>
      <c r="E325" s="441">
        <f>LN_IV4-C325</f>
        <v>-1797487.9846532426</v>
      </c>
      <c r="F325" s="449">
        <f>IF(C325=0,0,E325/C325)</f>
        <v>-1.2267578724091406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2876575</v>
      </c>
      <c r="D329" s="518">
        <v>2084333</v>
      </c>
      <c r="E329" s="518">
        <f t="shared" ref="E329:E335" si="34">D329-C329</f>
        <v>-792242</v>
      </c>
      <c r="F329" s="542">
        <f t="shared" ref="F329:F335" si="35">IF(C329=0,0,E329/C329)</f>
        <v>-0.27541155714695426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-218542</v>
      </c>
      <c r="D330" s="516">
        <v>-937913</v>
      </c>
      <c r="E330" s="518">
        <f t="shared" si="34"/>
        <v>-719371</v>
      </c>
      <c r="F330" s="543">
        <f t="shared" si="35"/>
        <v>3.2916830632098177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69721620</v>
      </c>
      <c r="D331" s="516">
        <v>61806759</v>
      </c>
      <c r="E331" s="518">
        <f t="shared" si="34"/>
        <v>-7914861</v>
      </c>
      <c r="F331" s="542">
        <f t="shared" si="35"/>
        <v>-0.11352089925621349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184161328</v>
      </c>
      <c r="D333" s="516">
        <v>172137054</v>
      </c>
      <c r="E333" s="518">
        <f t="shared" si="34"/>
        <v>-12024274</v>
      </c>
      <c r="F333" s="542">
        <f t="shared" si="35"/>
        <v>-6.5292068267448641E-2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424398</v>
      </c>
      <c r="D334" s="516">
        <v>676198</v>
      </c>
      <c r="E334" s="516">
        <f t="shared" si="34"/>
        <v>251800</v>
      </c>
      <c r="F334" s="543">
        <f t="shared" si="35"/>
        <v>0.59331099581053637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3609267</v>
      </c>
      <c r="D335" s="516">
        <v>2977682</v>
      </c>
      <c r="E335" s="516">
        <f t="shared" si="34"/>
        <v>-631585</v>
      </c>
      <c r="F335" s="542">
        <f t="shared" si="35"/>
        <v>-0.1749898248037621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FILING&amp;RNEW MILFORD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14041013</v>
      </c>
      <c r="D14" s="589">
        <v>11924121</v>
      </c>
      <c r="E14" s="590">
        <f t="shared" ref="E14:E22" si="0">D14-C14</f>
        <v>-2116892</v>
      </c>
    </row>
    <row r="15" spans="1:5" s="421" customFormat="1" x14ac:dyDescent="0.2">
      <c r="A15" s="588">
        <v>2</v>
      </c>
      <c r="B15" s="587" t="s">
        <v>635</v>
      </c>
      <c r="C15" s="589">
        <v>29406230</v>
      </c>
      <c r="D15" s="591">
        <v>28637366</v>
      </c>
      <c r="E15" s="590">
        <f t="shared" si="0"/>
        <v>-768864</v>
      </c>
    </row>
    <row r="16" spans="1:5" s="421" customFormat="1" x14ac:dyDescent="0.2">
      <c r="A16" s="588">
        <v>3</v>
      </c>
      <c r="B16" s="587" t="s">
        <v>777</v>
      </c>
      <c r="C16" s="589">
        <v>4337204</v>
      </c>
      <c r="D16" s="591">
        <v>4650066</v>
      </c>
      <c r="E16" s="590">
        <f t="shared" si="0"/>
        <v>312862</v>
      </c>
    </row>
    <row r="17" spans="1:5" s="421" customFormat="1" x14ac:dyDescent="0.2">
      <c r="A17" s="588">
        <v>4</v>
      </c>
      <c r="B17" s="587" t="s">
        <v>115</v>
      </c>
      <c r="C17" s="589">
        <v>4213322</v>
      </c>
      <c r="D17" s="591">
        <v>4500265</v>
      </c>
      <c r="E17" s="590">
        <f t="shared" si="0"/>
        <v>286943</v>
      </c>
    </row>
    <row r="18" spans="1:5" s="421" customFormat="1" x14ac:dyDescent="0.2">
      <c r="A18" s="588">
        <v>5</v>
      </c>
      <c r="B18" s="587" t="s">
        <v>743</v>
      </c>
      <c r="C18" s="589">
        <v>123882</v>
      </c>
      <c r="D18" s="591">
        <v>149801</v>
      </c>
      <c r="E18" s="590">
        <f t="shared" si="0"/>
        <v>25919</v>
      </c>
    </row>
    <row r="19" spans="1:5" s="421" customFormat="1" x14ac:dyDescent="0.2">
      <c r="A19" s="588">
        <v>6</v>
      </c>
      <c r="B19" s="587" t="s">
        <v>424</v>
      </c>
      <c r="C19" s="589">
        <v>40134</v>
      </c>
      <c r="D19" s="591">
        <v>54360</v>
      </c>
      <c r="E19" s="590">
        <f t="shared" si="0"/>
        <v>14226</v>
      </c>
    </row>
    <row r="20" spans="1:5" s="421" customFormat="1" x14ac:dyDescent="0.2">
      <c r="A20" s="588">
        <v>7</v>
      </c>
      <c r="B20" s="587" t="s">
        <v>758</v>
      </c>
      <c r="C20" s="589">
        <v>622422</v>
      </c>
      <c r="D20" s="591">
        <v>412623</v>
      </c>
      <c r="E20" s="590">
        <f t="shared" si="0"/>
        <v>-209799</v>
      </c>
    </row>
    <row r="21" spans="1:5" s="421" customFormat="1" x14ac:dyDescent="0.2">
      <c r="A21" s="588"/>
      <c r="B21" s="592" t="s">
        <v>778</v>
      </c>
      <c r="C21" s="593">
        <f>SUM(C15+C16+C19)</f>
        <v>33783568</v>
      </c>
      <c r="D21" s="593">
        <f>SUM(D15+D16+D19)</f>
        <v>33341792</v>
      </c>
      <c r="E21" s="593">
        <f t="shared" si="0"/>
        <v>-441776</v>
      </c>
    </row>
    <row r="22" spans="1:5" s="421" customFormat="1" x14ac:dyDescent="0.2">
      <c r="A22" s="588"/>
      <c r="B22" s="592" t="s">
        <v>465</v>
      </c>
      <c r="C22" s="593">
        <f>SUM(C14+C21)</f>
        <v>47824581</v>
      </c>
      <c r="D22" s="593">
        <f>SUM(D14+D21)</f>
        <v>45265913</v>
      </c>
      <c r="E22" s="593">
        <f t="shared" si="0"/>
        <v>-2558668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66319496</v>
      </c>
      <c r="D25" s="589">
        <v>59490747</v>
      </c>
      <c r="E25" s="590">
        <f t="shared" ref="E25:E33" si="1">D25-C25</f>
        <v>-6828749</v>
      </c>
    </row>
    <row r="26" spans="1:5" s="421" customFormat="1" x14ac:dyDescent="0.2">
      <c r="A26" s="588">
        <v>2</v>
      </c>
      <c r="B26" s="587" t="s">
        <v>635</v>
      </c>
      <c r="C26" s="589">
        <v>56105045</v>
      </c>
      <c r="D26" s="591">
        <v>51308775</v>
      </c>
      <c r="E26" s="590">
        <f t="shared" si="1"/>
        <v>-4796270</v>
      </c>
    </row>
    <row r="27" spans="1:5" s="421" customFormat="1" x14ac:dyDescent="0.2">
      <c r="A27" s="588">
        <v>3</v>
      </c>
      <c r="B27" s="587" t="s">
        <v>777</v>
      </c>
      <c r="C27" s="589">
        <v>13690899</v>
      </c>
      <c r="D27" s="591">
        <v>15716610</v>
      </c>
      <c r="E27" s="590">
        <f t="shared" si="1"/>
        <v>2025711</v>
      </c>
    </row>
    <row r="28" spans="1:5" s="421" customFormat="1" x14ac:dyDescent="0.2">
      <c r="A28" s="588">
        <v>4</v>
      </c>
      <c r="B28" s="587" t="s">
        <v>115</v>
      </c>
      <c r="C28" s="589">
        <v>13357895</v>
      </c>
      <c r="D28" s="591">
        <v>15344001</v>
      </c>
      <c r="E28" s="590">
        <f t="shared" si="1"/>
        <v>1986106</v>
      </c>
    </row>
    <row r="29" spans="1:5" s="421" customFormat="1" x14ac:dyDescent="0.2">
      <c r="A29" s="588">
        <v>5</v>
      </c>
      <c r="B29" s="587" t="s">
        <v>743</v>
      </c>
      <c r="C29" s="589">
        <v>333004</v>
      </c>
      <c r="D29" s="591">
        <v>372609</v>
      </c>
      <c r="E29" s="590">
        <f t="shared" si="1"/>
        <v>39605</v>
      </c>
    </row>
    <row r="30" spans="1:5" s="421" customFormat="1" x14ac:dyDescent="0.2">
      <c r="A30" s="588">
        <v>6</v>
      </c>
      <c r="B30" s="587" t="s">
        <v>424</v>
      </c>
      <c r="C30" s="589">
        <v>221308</v>
      </c>
      <c r="D30" s="591">
        <v>355009</v>
      </c>
      <c r="E30" s="590">
        <f t="shared" si="1"/>
        <v>133701</v>
      </c>
    </row>
    <row r="31" spans="1:5" s="421" customFormat="1" x14ac:dyDescent="0.2">
      <c r="A31" s="588">
        <v>7</v>
      </c>
      <c r="B31" s="587" t="s">
        <v>758</v>
      </c>
      <c r="C31" s="590">
        <v>2743452</v>
      </c>
      <c r="D31" s="594">
        <v>2080141</v>
      </c>
      <c r="E31" s="590">
        <f t="shared" si="1"/>
        <v>-663311</v>
      </c>
    </row>
    <row r="32" spans="1:5" s="421" customFormat="1" x14ac:dyDescent="0.2">
      <c r="A32" s="588"/>
      <c r="B32" s="592" t="s">
        <v>780</v>
      </c>
      <c r="C32" s="593">
        <f>SUM(C26+C27+C30)</f>
        <v>70017252</v>
      </c>
      <c r="D32" s="593">
        <f>SUM(D26+D27+D30)</f>
        <v>67380394</v>
      </c>
      <c r="E32" s="593">
        <f t="shared" si="1"/>
        <v>-2636858</v>
      </c>
    </row>
    <row r="33" spans="1:5" s="421" customFormat="1" x14ac:dyDescent="0.2">
      <c r="A33" s="588"/>
      <c r="B33" s="592" t="s">
        <v>467</v>
      </c>
      <c r="C33" s="593">
        <f>SUM(C25+C32)</f>
        <v>136336748</v>
      </c>
      <c r="D33" s="593">
        <f>SUM(D25+D32)</f>
        <v>126871141</v>
      </c>
      <c r="E33" s="593">
        <f t="shared" si="1"/>
        <v>-9465607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80360509</v>
      </c>
      <c r="D36" s="590">
        <f t="shared" si="2"/>
        <v>71414868</v>
      </c>
      <c r="E36" s="590">
        <f t="shared" ref="E36:E44" si="3">D36-C36</f>
        <v>-8945641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85511275</v>
      </c>
      <c r="D37" s="590">
        <f t="shared" si="2"/>
        <v>79946141</v>
      </c>
      <c r="E37" s="590">
        <f t="shared" si="3"/>
        <v>-5565134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18028103</v>
      </c>
      <c r="D38" s="590">
        <f t="shared" si="2"/>
        <v>20366676</v>
      </c>
      <c r="E38" s="590">
        <f t="shared" si="3"/>
        <v>2338573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17571217</v>
      </c>
      <c r="D39" s="590">
        <f t="shared" si="2"/>
        <v>19844266</v>
      </c>
      <c r="E39" s="590">
        <f t="shared" si="3"/>
        <v>2273049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456886</v>
      </c>
      <c r="D40" s="590">
        <f t="shared" si="2"/>
        <v>522410</v>
      </c>
      <c r="E40" s="590">
        <f t="shared" si="3"/>
        <v>65524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261442</v>
      </c>
      <c r="D41" s="590">
        <f t="shared" si="2"/>
        <v>409369</v>
      </c>
      <c r="E41" s="590">
        <f t="shared" si="3"/>
        <v>147927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3365874</v>
      </c>
      <c r="D42" s="590">
        <f t="shared" si="2"/>
        <v>2492764</v>
      </c>
      <c r="E42" s="590">
        <f t="shared" si="3"/>
        <v>-873110</v>
      </c>
    </row>
    <row r="43" spans="1:5" s="421" customFormat="1" x14ac:dyDescent="0.2">
      <c r="A43" s="588"/>
      <c r="B43" s="592" t="s">
        <v>788</v>
      </c>
      <c r="C43" s="593">
        <f>SUM(C37+C38+C41)</f>
        <v>103800820</v>
      </c>
      <c r="D43" s="593">
        <f>SUM(D37+D38+D41)</f>
        <v>100722186</v>
      </c>
      <c r="E43" s="593">
        <f t="shared" si="3"/>
        <v>-3078634</v>
      </c>
    </row>
    <row r="44" spans="1:5" s="421" customFormat="1" x14ac:dyDescent="0.2">
      <c r="A44" s="588"/>
      <c r="B44" s="592" t="s">
        <v>725</v>
      </c>
      <c r="C44" s="593">
        <f>SUM(C36+C43)</f>
        <v>184161329</v>
      </c>
      <c r="D44" s="593">
        <f>SUM(D36+D43)</f>
        <v>172137054</v>
      </c>
      <c r="E44" s="593">
        <f t="shared" si="3"/>
        <v>-12024275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6784348</v>
      </c>
      <c r="D47" s="589">
        <v>5277319</v>
      </c>
      <c r="E47" s="590">
        <f t="shared" ref="E47:E55" si="4">D47-C47</f>
        <v>-1507029</v>
      </c>
    </row>
    <row r="48" spans="1:5" s="421" customFormat="1" x14ac:dyDescent="0.2">
      <c r="A48" s="588">
        <v>2</v>
      </c>
      <c r="B48" s="587" t="s">
        <v>635</v>
      </c>
      <c r="C48" s="589">
        <v>11036175</v>
      </c>
      <c r="D48" s="591">
        <v>9897956</v>
      </c>
      <c r="E48" s="590">
        <f t="shared" si="4"/>
        <v>-1138219</v>
      </c>
    </row>
    <row r="49" spans="1:5" s="421" customFormat="1" x14ac:dyDescent="0.2">
      <c r="A49" s="588">
        <v>3</v>
      </c>
      <c r="B49" s="587" t="s">
        <v>777</v>
      </c>
      <c r="C49" s="589">
        <v>1467658</v>
      </c>
      <c r="D49" s="591">
        <v>1421479</v>
      </c>
      <c r="E49" s="590">
        <f t="shared" si="4"/>
        <v>-46179</v>
      </c>
    </row>
    <row r="50" spans="1:5" s="421" customFormat="1" x14ac:dyDescent="0.2">
      <c r="A50" s="588">
        <v>4</v>
      </c>
      <c r="B50" s="587" t="s">
        <v>115</v>
      </c>
      <c r="C50" s="589">
        <v>1425738</v>
      </c>
      <c r="D50" s="591">
        <v>1375687</v>
      </c>
      <c r="E50" s="590">
        <f t="shared" si="4"/>
        <v>-50051</v>
      </c>
    </row>
    <row r="51" spans="1:5" s="421" customFormat="1" x14ac:dyDescent="0.2">
      <c r="A51" s="588">
        <v>5</v>
      </c>
      <c r="B51" s="587" t="s">
        <v>743</v>
      </c>
      <c r="C51" s="589">
        <v>41920</v>
      </c>
      <c r="D51" s="591">
        <v>45792</v>
      </c>
      <c r="E51" s="590">
        <f t="shared" si="4"/>
        <v>3872</v>
      </c>
    </row>
    <row r="52" spans="1:5" s="421" customFormat="1" x14ac:dyDescent="0.2">
      <c r="A52" s="588">
        <v>6</v>
      </c>
      <c r="B52" s="587" t="s">
        <v>424</v>
      </c>
      <c r="C52" s="589">
        <v>37373</v>
      </c>
      <c r="D52" s="591">
        <v>20173</v>
      </c>
      <c r="E52" s="590">
        <f t="shared" si="4"/>
        <v>-17200</v>
      </c>
    </row>
    <row r="53" spans="1:5" s="421" customFormat="1" x14ac:dyDescent="0.2">
      <c r="A53" s="588">
        <v>7</v>
      </c>
      <c r="B53" s="587" t="s">
        <v>758</v>
      </c>
      <c r="C53" s="589">
        <v>41073</v>
      </c>
      <c r="D53" s="591">
        <v>47065</v>
      </c>
      <c r="E53" s="590">
        <f t="shared" si="4"/>
        <v>5992</v>
      </c>
    </row>
    <row r="54" spans="1:5" s="421" customFormat="1" x14ac:dyDescent="0.2">
      <c r="A54" s="588"/>
      <c r="B54" s="592" t="s">
        <v>790</v>
      </c>
      <c r="C54" s="593">
        <f>SUM(C48+C49+C52)</f>
        <v>12541206</v>
      </c>
      <c r="D54" s="593">
        <f>SUM(D48+D49+D52)</f>
        <v>11339608</v>
      </c>
      <c r="E54" s="593">
        <f t="shared" si="4"/>
        <v>-1201598</v>
      </c>
    </row>
    <row r="55" spans="1:5" s="421" customFormat="1" x14ac:dyDescent="0.2">
      <c r="A55" s="588"/>
      <c r="B55" s="592" t="s">
        <v>466</v>
      </c>
      <c r="C55" s="593">
        <f>SUM(C47+C54)</f>
        <v>19325554</v>
      </c>
      <c r="D55" s="593">
        <f>SUM(D47+D54)</f>
        <v>16616927</v>
      </c>
      <c r="E55" s="593">
        <f t="shared" si="4"/>
        <v>-2708627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35342631</v>
      </c>
      <c r="D58" s="589">
        <v>32019841</v>
      </c>
      <c r="E58" s="590">
        <f t="shared" ref="E58:E66" si="5">D58-C58</f>
        <v>-3322790</v>
      </c>
    </row>
    <row r="59" spans="1:5" s="421" customFormat="1" x14ac:dyDescent="0.2">
      <c r="A59" s="588">
        <v>2</v>
      </c>
      <c r="B59" s="587" t="s">
        <v>635</v>
      </c>
      <c r="C59" s="589">
        <v>12056329</v>
      </c>
      <c r="D59" s="591">
        <v>10343081</v>
      </c>
      <c r="E59" s="590">
        <f t="shared" si="5"/>
        <v>-1713248</v>
      </c>
    </row>
    <row r="60" spans="1:5" s="421" customFormat="1" x14ac:dyDescent="0.2">
      <c r="A60" s="588">
        <v>3</v>
      </c>
      <c r="B60" s="587" t="s">
        <v>777</v>
      </c>
      <c r="C60" s="589">
        <f>C61+C62</f>
        <v>3165781</v>
      </c>
      <c r="D60" s="591">
        <f>D61+D62</f>
        <v>3697380</v>
      </c>
      <c r="E60" s="590">
        <f t="shared" si="5"/>
        <v>531599</v>
      </c>
    </row>
    <row r="61" spans="1:5" s="421" customFormat="1" x14ac:dyDescent="0.2">
      <c r="A61" s="588">
        <v>4</v>
      </c>
      <c r="B61" s="587" t="s">
        <v>115</v>
      </c>
      <c r="C61" s="589">
        <v>3088780</v>
      </c>
      <c r="D61" s="591">
        <v>3609723</v>
      </c>
      <c r="E61" s="590">
        <f t="shared" si="5"/>
        <v>520943</v>
      </c>
    </row>
    <row r="62" spans="1:5" s="421" customFormat="1" x14ac:dyDescent="0.2">
      <c r="A62" s="588">
        <v>5</v>
      </c>
      <c r="B62" s="587" t="s">
        <v>743</v>
      </c>
      <c r="C62" s="589">
        <v>77001</v>
      </c>
      <c r="D62" s="591">
        <v>87657</v>
      </c>
      <c r="E62" s="590">
        <f t="shared" si="5"/>
        <v>10656</v>
      </c>
    </row>
    <row r="63" spans="1:5" s="421" customFormat="1" x14ac:dyDescent="0.2">
      <c r="A63" s="588">
        <v>6</v>
      </c>
      <c r="B63" s="587" t="s">
        <v>424</v>
      </c>
      <c r="C63" s="589">
        <v>49868</v>
      </c>
      <c r="D63" s="591">
        <v>67442</v>
      </c>
      <c r="E63" s="590">
        <f t="shared" si="5"/>
        <v>17574</v>
      </c>
    </row>
    <row r="64" spans="1:5" s="421" customFormat="1" x14ac:dyDescent="0.2">
      <c r="A64" s="588">
        <v>7</v>
      </c>
      <c r="B64" s="587" t="s">
        <v>758</v>
      </c>
      <c r="C64" s="589">
        <v>181039</v>
      </c>
      <c r="D64" s="591">
        <v>237266</v>
      </c>
      <c r="E64" s="590">
        <f t="shared" si="5"/>
        <v>56227</v>
      </c>
    </row>
    <row r="65" spans="1:5" s="421" customFormat="1" x14ac:dyDescent="0.2">
      <c r="A65" s="588"/>
      <c r="B65" s="592" t="s">
        <v>792</v>
      </c>
      <c r="C65" s="593">
        <f>SUM(C59+C60+C63)</f>
        <v>15271978</v>
      </c>
      <c r="D65" s="593">
        <f>SUM(D59+D60+D63)</f>
        <v>14107903</v>
      </c>
      <c r="E65" s="593">
        <f t="shared" si="5"/>
        <v>-1164075</v>
      </c>
    </row>
    <row r="66" spans="1:5" s="421" customFormat="1" x14ac:dyDescent="0.2">
      <c r="A66" s="588"/>
      <c r="B66" s="592" t="s">
        <v>468</v>
      </c>
      <c r="C66" s="593">
        <f>SUM(C58+C65)</f>
        <v>50614609</v>
      </c>
      <c r="D66" s="593">
        <f>SUM(D58+D65)</f>
        <v>46127744</v>
      </c>
      <c r="E66" s="593">
        <f t="shared" si="5"/>
        <v>-4486865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42126979</v>
      </c>
      <c r="D69" s="590">
        <f t="shared" si="6"/>
        <v>37297160</v>
      </c>
      <c r="E69" s="590">
        <f t="shared" ref="E69:E77" si="7">D69-C69</f>
        <v>-4829819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23092504</v>
      </c>
      <c r="D70" s="590">
        <f t="shared" si="6"/>
        <v>20241037</v>
      </c>
      <c r="E70" s="590">
        <f t="shared" si="7"/>
        <v>-2851467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4633439</v>
      </c>
      <c r="D71" s="590">
        <f t="shared" si="6"/>
        <v>5118859</v>
      </c>
      <c r="E71" s="590">
        <f t="shared" si="7"/>
        <v>485420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4514518</v>
      </c>
      <c r="D72" s="590">
        <f t="shared" si="6"/>
        <v>4985410</v>
      </c>
      <c r="E72" s="590">
        <f t="shared" si="7"/>
        <v>470892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118921</v>
      </c>
      <c r="D73" s="590">
        <f t="shared" si="6"/>
        <v>133449</v>
      </c>
      <c r="E73" s="590">
        <f t="shared" si="7"/>
        <v>14528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87241</v>
      </c>
      <c r="D74" s="590">
        <f t="shared" si="6"/>
        <v>87615</v>
      </c>
      <c r="E74" s="590">
        <f t="shared" si="7"/>
        <v>374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222112</v>
      </c>
      <c r="D75" s="590">
        <f t="shared" si="6"/>
        <v>284331</v>
      </c>
      <c r="E75" s="590">
        <f t="shared" si="7"/>
        <v>62219</v>
      </c>
    </row>
    <row r="76" spans="1:5" s="421" customFormat="1" x14ac:dyDescent="0.2">
      <c r="A76" s="588"/>
      <c r="B76" s="592" t="s">
        <v>793</v>
      </c>
      <c r="C76" s="593">
        <f>SUM(C70+C71+C74)</f>
        <v>27813184</v>
      </c>
      <c r="D76" s="593">
        <f>SUM(D70+D71+D74)</f>
        <v>25447511</v>
      </c>
      <c r="E76" s="593">
        <f t="shared" si="7"/>
        <v>-2365673</v>
      </c>
    </row>
    <row r="77" spans="1:5" s="421" customFormat="1" x14ac:dyDescent="0.2">
      <c r="A77" s="588"/>
      <c r="B77" s="592" t="s">
        <v>726</v>
      </c>
      <c r="C77" s="593">
        <f>SUM(C69+C76)</f>
        <v>69940163</v>
      </c>
      <c r="D77" s="593">
        <f>SUM(D69+D76)</f>
        <v>62744671</v>
      </c>
      <c r="E77" s="593">
        <f t="shared" si="7"/>
        <v>-7195492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7.6243004306294951E-2</v>
      </c>
      <c r="D83" s="599">
        <f t="shared" si="8"/>
        <v>6.9271087908824094E-2</v>
      </c>
      <c r="E83" s="599">
        <f t="shared" ref="E83:E91" si="9">D83-C83</f>
        <v>-6.9719163974708565E-3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0.15967646497598853</v>
      </c>
      <c r="D84" s="599">
        <f t="shared" si="8"/>
        <v>0.16636375106082621</v>
      </c>
      <c r="E84" s="599">
        <f t="shared" si="9"/>
        <v>6.6872860848376792E-3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2.3551111536559338E-2</v>
      </c>
      <c r="D85" s="599">
        <f t="shared" si="8"/>
        <v>2.7013742201025467E-2</v>
      </c>
      <c r="E85" s="599">
        <f t="shared" si="9"/>
        <v>3.4626306644661292E-3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2.2878429596910652E-2</v>
      </c>
      <c r="D86" s="599">
        <f t="shared" si="8"/>
        <v>2.614349958609144E-2</v>
      </c>
      <c r="E86" s="599">
        <f t="shared" si="9"/>
        <v>3.2650699891807883E-3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6.7268193964868704E-4</v>
      </c>
      <c r="D87" s="599">
        <f t="shared" si="8"/>
        <v>8.7024261493402809E-4</v>
      </c>
      <c r="E87" s="599">
        <f t="shared" si="9"/>
        <v>1.9756067528534104E-4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2.1792848812467029E-4</v>
      </c>
      <c r="D88" s="599">
        <f t="shared" si="8"/>
        <v>3.1579487819049119E-4</v>
      </c>
      <c r="E88" s="599">
        <f t="shared" si="9"/>
        <v>9.7866390065820899E-5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3.3797649233949655E-3</v>
      </c>
      <c r="D89" s="599">
        <f t="shared" si="8"/>
        <v>2.3970608907946107E-3</v>
      </c>
      <c r="E89" s="599">
        <f t="shared" si="9"/>
        <v>-9.8270403260035475E-4</v>
      </c>
    </row>
    <row r="90" spans="1:5" s="421" customFormat="1" x14ac:dyDescent="0.2">
      <c r="A90" s="588"/>
      <c r="B90" s="592" t="s">
        <v>796</v>
      </c>
      <c r="C90" s="600">
        <f>SUM(C84+C85+C88)</f>
        <v>0.18344550500067253</v>
      </c>
      <c r="D90" s="600">
        <f>SUM(D84+D85+D88)</f>
        <v>0.19369328814004216</v>
      </c>
      <c r="E90" s="601">
        <f t="shared" si="9"/>
        <v>1.0247783139369637E-2</v>
      </c>
    </row>
    <row r="91" spans="1:5" s="421" customFormat="1" x14ac:dyDescent="0.2">
      <c r="A91" s="588"/>
      <c r="B91" s="592" t="s">
        <v>797</v>
      </c>
      <c r="C91" s="600">
        <f>SUM(C83+C90)</f>
        <v>0.25968850930696746</v>
      </c>
      <c r="D91" s="600">
        <f>SUM(D83+D90)</f>
        <v>0.26296437604886624</v>
      </c>
      <c r="E91" s="601">
        <f t="shared" si="9"/>
        <v>3.2758667418987808E-3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0.36011629781407584</v>
      </c>
      <c r="D95" s="599">
        <f t="shared" si="10"/>
        <v>0.34560105228709215</v>
      </c>
      <c r="E95" s="599">
        <f t="shared" ref="E95:E103" si="11">D95-C95</f>
        <v>-1.4515245526983689E-2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0.30465160793881979</v>
      </c>
      <c r="D96" s="599">
        <f t="shared" si="10"/>
        <v>0.29806932213444293</v>
      </c>
      <c r="E96" s="599">
        <f t="shared" si="11"/>
        <v>-6.5822858043768639E-3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7.4341877713100121E-2</v>
      </c>
      <c r="D97" s="599">
        <f t="shared" si="10"/>
        <v>9.1302887058820004E-2</v>
      </c>
      <c r="E97" s="599">
        <f t="shared" si="11"/>
        <v>1.6961009345719882E-2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7.2533658790005798E-2</v>
      </c>
      <c r="D98" s="599">
        <f t="shared" si="10"/>
        <v>8.9138280477368922E-2</v>
      </c>
      <c r="E98" s="599">
        <f t="shared" si="11"/>
        <v>1.6604621687363125E-2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1.8082189230943268E-3</v>
      </c>
      <c r="D99" s="599">
        <f t="shared" si="10"/>
        <v>2.1646065814510803E-3</v>
      </c>
      <c r="E99" s="599">
        <f t="shared" si="11"/>
        <v>3.5638765835675356E-4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1.2017072270367902E-3</v>
      </c>
      <c r="D100" s="599">
        <f t="shared" si="10"/>
        <v>2.062362470778662E-3</v>
      </c>
      <c r="E100" s="599">
        <f t="shared" si="11"/>
        <v>8.6065524374187184E-4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1.4897003702661159E-2</v>
      </c>
      <c r="D101" s="599">
        <f t="shared" si="10"/>
        <v>1.2084214012399678E-2</v>
      </c>
      <c r="E101" s="599">
        <f t="shared" si="11"/>
        <v>-2.8127896902614812E-3</v>
      </c>
    </row>
    <row r="102" spans="1:5" s="421" customFormat="1" x14ac:dyDescent="0.2">
      <c r="A102" s="588"/>
      <c r="B102" s="592" t="s">
        <v>799</v>
      </c>
      <c r="C102" s="600">
        <f>SUM(C96+C97+C100)</f>
        <v>0.3801951928789567</v>
      </c>
      <c r="D102" s="600">
        <f>SUM(D96+D97+D100)</f>
        <v>0.39143457166404161</v>
      </c>
      <c r="E102" s="601">
        <f t="shared" si="11"/>
        <v>1.1239378785084908E-2</v>
      </c>
    </row>
    <row r="103" spans="1:5" s="421" customFormat="1" x14ac:dyDescent="0.2">
      <c r="A103" s="588"/>
      <c r="B103" s="592" t="s">
        <v>800</v>
      </c>
      <c r="C103" s="600">
        <f>SUM(C95+C102)</f>
        <v>0.74031149069303259</v>
      </c>
      <c r="D103" s="600">
        <f>SUM(D95+D102)</f>
        <v>0.73703562395113376</v>
      </c>
      <c r="E103" s="601">
        <f t="shared" si="11"/>
        <v>-3.2758667418988363E-3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9.7002175988637598E-2</v>
      </c>
      <c r="D109" s="599">
        <f t="shared" si="12"/>
        <v>8.4107843995229498E-2</v>
      </c>
      <c r="E109" s="599">
        <f t="shared" ref="E109:E117" si="13">D109-C109</f>
        <v>-1.2894331993408101E-2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0.1577945278737769</v>
      </c>
      <c r="D110" s="599">
        <f t="shared" si="12"/>
        <v>0.15774974738492134</v>
      </c>
      <c r="E110" s="599">
        <f t="shared" si="13"/>
        <v>-4.4780488855561407E-5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2.0984480691015835E-2</v>
      </c>
      <c r="D111" s="599">
        <f t="shared" si="12"/>
        <v>2.2654975750849023E-2</v>
      </c>
      <c r="E111" s="599">
        <f t="shared" si="13"/>
        <v>1.670495059833188E-3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2.0385111198554112E-2</v>
      </c>
      <c r="D112" s="599">
        <f t="shared" si="12"/>
        <v>2.1925160783773972E-2</v>
      </c>
      <c r="E112" s="599">
        <f t="shared" si="13"/>
        <v>1.5400495852198604E-3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5.9936949246172048E-4</v>
      </c>
      <c r="D113" s="599">
        <f t="shared" si="12"/>
        <v>7.2981496707505249E-4</v>
      </c>
      <c r="E113" s="599">
        <f t="shared" si="13"/>
        <v>1.3044547461333201E-4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5.3435677580562693E-4</v>
      </c>
      <c r="D114" s="599">
        <f t="shared" si="12"/>
        <v>3.215093756727165E-4</v>
      </c>
      <c r="E114" s="599">
        <f t="shared" si="13"/>
        <v>-2.1284740013291042E-4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5.8725914035973861E-4</v>
      </c>
      <c r="D115" s="599">
        <f t="shared" si="12"/>
        <v>7.5010354265782982E-4</v>
      </c>
      <c r="E115" s="599">
        <f t="shared" si="13"/>
        <v>1.628444022980912E-4</v>
      </c>
    </row>
    <row r="116" spans="1:5" s="421" customFormat="1" x14ac:dyDescent="0.2">
      <c r="A116" s="588"/>
      <c r="B116" s="592" t="s">
        <v>796</v>
      </c>
      <c r="C116" s="600">
        <f>SUM(C110+C111+C114)</f>
        <v>0.17931336534059836</v>
      </c>
      <c r="D116" s="600">
        <f>SUM(D110+D111+D114)</f>
        <v>0.18072623251144307</v>
      </c>
      <c r="E116" s="601">
        <f t="shared" si="13"/>
        <v>1.4128671708447116E-3</v>
      </c>
    </row>
    <row r="117" spans="1:5" s="421" customFormat="1" x14ac:dyDescent="0.2">
      <c r="A117" s="588"/>
      <c r="B117" s="592" t="s">
        <v>797</v>
      </c>
      <c r="C117" s="600">
        <f>SUM(C109+C116)</f>
        <v>0.27631554132923597</v>
      </c>
      <c r="D117" s="600">
        <f>SUM(D109+D116)</f>
        <v>0.26483407650667257</v>
      </c>
      <c r="E117" s="601">
        <f t="shared" si="13"/>
        <v>-1.1481464822563403E-2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0.50532668904417621</v>
      </c>
      <c r="D121" s="599">
        <f t="shared" si="14"/>
        <v>0.51031968914140935</v>
      </c>
      <c r="E121" s="599">
        <f t="shared" ref="E121:E129" si="15">D121-C121</f>
        <v>4.9930000972331356E-3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0.17238062484927294</v>
      </c>
      <c r="D122" s="599">
        <f t="shared" si="14"/>
        <v>0.16484397535529352</v>
      </c>
      <c r="E122" s="599">
        <f t="shared" si="15"/>
        <v>-7.5366494939794193E-3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4.526413528661636E-2</v>
      </c>
      <c r="D123" s="599">
        <f t="shared" si="14"/>
        <v>5.8927394806166086E-2</v>
      </c>
      <c r="E123" s="599">
        <f t="shared" si="15"/>
        <v>1.3663259519549727E-2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4.4163179888499833E-2</v>
      </c>
      <c r="D124" s="599">
        <f t="shared" si="14"/>
        <v>5.7530351860479112E-2</v>
      </c>
      <c r="E124" s="599">
        <f t="shared" si="15"/>
        <v>1.3367171971979279E-2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1.10095539811653E-3</v>
      </c>
      <c r="D125" s="599">
        <f t="shared" si="14"/>
        <v>1.3970429456869732E-3</v>
      </c>
      <c r="E125" s="599">
        <f t="shared" si="15"/>
        <v>2.960875475704432E-4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7.1300949069849899E-4</v>
      </c>
      <c r="D126" s="599">
        <f t="shared" si="14"/>
        <v>1.0748641904585012E-3</v>
      </c>
      <c r="E126" s="599">
        <f t="shared" si="15"/>
        <v>3.6185469976000222E-4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2.5884841017599575E-3</v>
      </c>
      <c r="D127" s="599">
        <f t="shared" si="14"/>
        <v>3.7814526113301317E-3</v>
      </c>
      <c r="E127" s="599">
        <f t="shared" si="15"/>
        <v>1.1929685095701742E-3</v>
      </c>
    </row>
    <row r="128" spans="1:5" s="421" customFormat="1" x14ac:dyDescent="0.2">
      <c r="A128" s="588"/>
      <c r="B128" s="592" t="s">
        <v>799</v>
      </c>
      <c r="C128" s="600">
        <f>SUM(C122+C123+C126)</f>
        <v>0.21835776962658779</v>
      </c>
      <c r="D128" s="600">
        <f>SUM(D122+D123+D126)</f>
        <v>0.22484623435191808</v>
      </c>
      <c r="E128" s="601">
        <f t="shared" si="15"/>
        <v>6.4884647253302952E-3</v>
      </c>
    </row>
    <row r="129" spans="1:5" s="421" customFormat="1" x14ac:dyDescent="0.2">
      <c r="A129" s="588"/>
      <c r="B129" s="592" t="s">
        <v>800</v>
      </c>
      <c r="C129" s="600">
        <f>SUM(C121+C128)</f>
        <v>0.72368445867076403</v>
      </c>
      <c r="D129" s="600">
        <f>SUM(D121+D128)</f>
        <v>0.73516592349332743</v>
      </c>
      <c r="E129" s="601">
        <f t="shared" si="15"/>
        <v>1.1481464822563403E-2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545</v>
      </c>
      <c r="D137" s="606">
        <v>458</v>
      </c>
      <c r="E137" s="607">
        <f t="shared" ref="E137:E145" si="16">D137-C137</f>
        <v>-87</v>
      </c>
    </row>
    <row r="138" spans="1:5" s="421" customFormat="1" x14ac:dyDescent="0.2">
      <c r="A138" s="588">
        <v>2</v>
      </c>
      <c r="B138" s="587" t="s">
        <v>635</v>
      </c>
      <c r="C138" s="606">
        <v>1083</v>
      </c>
      <c r="D138" s="606">
        <v>1047</v>
      </c>
      <c r="E138" s="607">
        <f t="shared" si="16"/>
        <v>-36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194</v>
      </c>
      <c r="D139" s="606">
        <f>D140+D141</f>
        <v>129</v>
      </c>
      <c r="E139" s="607">
        <f t="shared" si="16"/>
        <v>-65</v>
      </c>
    </row>
    <row r="140" spans="1:5" s="421" customFormat="1" x14ac:dyDescent="0.2">
      <c r="A140" s="588">
        <v>4</v>
      </c>
      <c r="B140" s="587" t="s">
        <v>115</v>
      </c>
      <c r="C140" s="606">
        <v>188</v>
      </c>
      <c r="D140" s="606">
        <v>123</v>
      </c>
      <c r="E140" s="607">
        <f t="shared" si="16"/>
        <v>-65</v>
      </c>
    </row>
    <row r="141" spans="1:5" s="421" customFormat="1" x14ac:dyDescent="0.2">
      <c r="A141" s="588">
        <v>5</v>
      </c>
      <c r="B141" s="587" t="s">
        <v>743</v>
      </c>
      <c r="C141" s="606">
        <v>6</v>
      </c>
      <c r="D141" s="606">
        <v>6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</v>
      </c>
      <c r="D142" s="606">
        <v>2</v>
      </c>
      <c r="E142" s="607">
        <f t="shared" si="16"/>
        <v>0</v>
      </c>
    </row>
    <row r="143" spans="1:5" s="421" customFormat="1" x14ac:dyDescent="0.2">
      <c r="A143" s="588">
        <v>7</v>
      </c>
      <c r="B143" s="587" t="s">
        <v>758</v>
      </c>
      <c r="C143" s="606">
        <v>38</v>
      </c>
      <c r="D143" s="606">
        <v>35</v>
      </c>
      <c r="E143" s="607">
        <f t="shared" si="16"/>
        <v>-3</v>
      </c>
    </row>
    <row r="144" spans="1:5" s="421" customFormat="1" x14ac:dyDescent="0.2">
      <c r="A144" s="588"/>
      <c r="B144" s="592" t="s">
        <v>807</v>
      </c>
      <c r="C144" s="608">
        <f>SUM(C138+C139+C142)</f>
        <v>1279</v>
      </c>
      <c r="D144" s="608">
        <f>SUM(D138+D139+D142)</f>
        <v>1178</v>
      </c>
      <c r="E144" s="609">
        <f t="shared" si="16"/>
        <v>-101</v>
      </c>
    </row>
    <row r="145" spans="1:5" s="421" customFormat="1" x14ac:dyDescent="0.2">
      <c r="A145" s="588"/>
      <c r="B145" s="592" t="s">
        <v>138</v>
      </c>
      <c r="C145" s="608">
        <f>SUM(C137+C144)</f>
        <v>1824</v>
      </c>
      <c r="D145" s="608">
        <f>SUM(D137+D144)</f>
        <v>1636</v>
      </c>
      <c r="E145" s="609">
        <f t="shared" si="16"/>
        <v>-188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1705</v>
      </c>
      <c r="D149" s="610">
        <v>1442</v>
      </c>
      <c r="E149" s="607">
        <f t="shared" ref="E149:E157" si="17">D149-C149</f>
        <v>-263</v>
      </c>
    </row>
    <row r="150" spans="1:5" s="421" customFormat="1" x14ac:dyDescent="0.2">
      <c r="A150" s="588">
        <v>2</v>
      </c>
      <c r="B150" s="587" t="s">
        <v>635</v>
      </c>
      <c r="C150" s="610">
        <v>4593</v>
      </c>
      <c r="D150" s="610">
        <v>4570</v>
      </c>
      <c r="E150" s="607">
        <f t="shared" si="17"/>
        <v>-23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716</v>
      </c>
      <c r="D151" s="610">
        <f>D152+D153</f>
        <v>698</v>
      </c>
      <c r="E151" s="607">
        <f t="shared" si="17"/>
        <v>-18</v>
      </c>
    </row>
    <row r="152" spans="1:5" s="421" customFormat="1" x14ac:dyDescent="0.2">
      <c r="A152" s="588">
        <v>4</v>
      </c>
      <c r="B152" s="587" t="s">
        <v>115</v>
      </c>
      <c r="C152" s="610">
        <v>703</v>
      </c>
      <c r="D152" s="610">
        <v>668</v>
      </c>
      <c r="E152" s="607">
        <f t="shared" si="17"/>
        <v>-35</v>
      </c>
    </row>
    <row r="153" spans="1:5" s="421" customFormat="1" x14ac:dyDescent="0.2">
      <c r="A153" s="588">
        <v>5</v>
      </c>
      <c r="B153" s="587" t="s">
        <v>743</v>
      </c>
      <c r="C153" s="611">
        <v>13</v>
      </c>
      <c r="D153" s="610">
        <v>30</v>
      </c>
      <c r="E153" s="607">
        <f t="shared" si="17"/>
        <v>17</v>
      </c>
    </row>
    <row r="154" spans="1:5" s="421" customFormat="1" x14ac:dyDescent="0.2">
      <c r="A154" s="588">
        <v>6</v>
      </c>
      <c r="B154" s="587" t="s">
        <v>424</v>
      </c>
      <c r="C154" s="610">
        <v>3</v>
      </c>
      <c r="D154" s="610">
        <v>6</v>
      </c>
      <c r="E154" s="607">
        <f t="shared" si="17"/>
        <v>3</v>
      </c>
    </row>
    <row r="155" spans="1:5" s="421" customFormat="1" x14ac:dyDescent="0.2">
      <c r="A155" s="588">
        <v>7</v>
      </c>
      <c r="B155" s="587" t="s">
        <v>758</v>
      </c>
      <c r="C155" s="610">
        <v>111</v>
      </c>
      <c r="D155" s="610">
        <v>117</v>
      </c>
      <c r="E155" s="607">
        <f t="shared" si="17"/>
        <v>6</v>
      </c>
    </row>
    <row r="156" spans="1:5" s="421" customFormat="1" x14ac:dyDescent="0.2">
      <c r="A156" s="588"/>
      <c r="B156" s="592" t="s">
        <v>808</v>
      </c>
      <c r="C156" s="608">
        <f>SUM(C150+C151+C154)</f>
        <v>5312</v>
      </c>
      <c r="D156" s="608">
        <f>SUM(D150+D151+D154)</f>
        <v>5274</v>
      </c>
      <c r="E156" s="609">
        <f t="shared" si="17"/>
        <v>-38</v>
      </c>
    </row>
    <row r="157" spans="1:5" s="421" customFormat="1" x14ac:dyDescent="0.2">
      <c r="A157" s="588"/>
      <c r="B157" s="592" t="s">
        <v>140</v>
      </c>
      <c r="C157" s="608">
        <f>SUM(C149+C156)</f>
        <v>7017</v>
      </c>
      <c r="D157" s="608">
        <f>SUM(D149+D156)</f>
        <v>6716</v>
      </c>
      <c r="E157" s="609">
        <f t="shared" si="17"/>
        <v>-301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3.1284403669724772</v>
      </c>
      <c r="D161" s="612">
        <f t="shared" si="18"/>
        <v>3.1484716157205241</v>
      </c>
      <c r="E161" s="613">
        <f t="shared" ref="E161:E169" si="19">D161-C161</f>
        <v>2.0031248748046959E-2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4.2409972299168972</v>
      </c>
      <c r="D162" s="612">
        <f t="shared" si="18"/>
        <v>4.3648519579751675</v>
      </c>
      <c r="E162" s="613">
        <f t="shared" si="19"/>
        <v>0.12385472805827025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3.6907216494845363</v>
      </c>
      <c r="D163" s="612">
        <f t="shared" si="18"/>
        <v>5.4108527131782944</v>
      </c>
      <c r="E163" s="613">
        <f t="shared" si="19"/>
        <v>1.7201310636937581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3.7393617021276597</v>
      </c>
      <c r="D164" s="612">
        <f t="shared" si="18"/>
        <v>5.4308943089430892</v>
      </c>
      <c r="E164" s="613">
        <f t="shared" si="19"/>
        <v>1.6915326068154295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2.1666666666666665</v>
      </c>
      <c r="D165" s="612">
        <f t="shared" si="18"/>
        <v>5</v>
      </c>
      <c r="E165" s="613">
        <f t="shared" si="19"/>
        <v>2.8333333333333335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1.5</v>
      </c>
      <c r="D166" s="612">
        <f t="shared" si="18"/>
        <v>3</v>
      </c>
      <c r="E166" s="613">
        <f t="shared" si="19"/>
        <v>1.5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2.9210526315789473</v>
      </c>
      <c r="D167" s="612">
        <f t="shared" si="18"/>
        <v>3.342857142857143</v>
      </c>
      <c r="E167" s="613">
        <f t="shared" si="19"/>
        <v>0.42180451127819563</v>
      </c>
    </row>
    <row r="168" spans="1:5" s="421" customFormat="1" x14ac:dyDescent="0.2">
      <c r="A168" s="588"/>
      <c r="B168" s="592" t="s">
        <v>810</v>
      </c>
      <c r="C168" s="614">
        <f t="shared" si="18"/>
        <v>4.153244722439406</v>
      </c>
      <c r="D168" s="614">
        <f t="shared" si="18"/>
        <v>4.4770797962648556</v>
      </c>
      <c r="E168" s="615">
        <f t="shared" si="19"/>
        <v>0.32383507382544963</v>
      </c>
    </row>
    <row r="169" spans="1:5" s="421" customFormat="1" x14ac:dyDescent="0.2">
      <c r="A169" s="588"/>
      <c r="B169" s="592" t="s">
        <v>744</v>
      </c>
      <c r="C169" s="614">
        <f t="shared" si="18"/>
        <v>3.8470394736842106</v>
      </c>
      <c r="D169" s="614">
        <f t="shared" si="18"/>
        <v>4.1051344743276283</v>
      </c>
      <c r="E169" s="615">
        <f t="shared" si="19"/>
        <v>0.25809500064341773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1.3024</v>
      </c>
      <c r="D173" s="617">
        <f t="shared" si="20"/>
        <v>1.3713</v>
      </c>
      <c r="E173" s="618">
        <f t="shared" ref="E173:E181" si="21">D173-C173</f>
        <v>6.8899999999999961E-2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1.3311999999999999</v>
      </c>
      <c r="D174" s="617">
        <f t="shared" si="20"/>
        <v>1.3188</v>
      </c>
      <c r="E174" s="618">
        <f t="shared" si="21"/>
        <v>-1.2399999999999967E-2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0.99577731958762894</v>
      </c>
      <c r="D175" s="617">
        <f t="shared" si="20"/>
        <v>1.1894</v>
      </c>
      <c r="E175" s="618">
        <f t="shared" si="21"/>
        <v>0.19362268041237107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0.99210000000000009</v>
      </c>
      <c r="D176" s="617">
        <f t="shared" si="20"/>
        <v>1.1894</v>
      </c>
      <c r="E176" s="618">
        <f t="shared" si="21"/>
        <v>0.19729999999999992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1.111</v>
      </c>
      <c r="D177" s="617">
        <f t="shared" si="20"/>
        <v>1.1894</v>
      </c>
      <c r="E177" s="618">
        <f t="shared" si="21"/>
        <v>7.8400000000000025E-2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1.1599999999999999</v>
      </c>
      <c r="D178" s="617">
        <f t="shared" si="20"/>
        <v>1.59</v>
      </c>
      <c r="E178" s="618">
        <f t="shared" si="21"/>
        <v>0.43000000000000016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1.0138</v>
      </c>
      <c r="D179" s="617">
        <f t="shared" si="20"/>
        <v>1.1025</v>
      </c>
      <c r="E179" s="618">
        <f t="shared" si="21"/>
        <v>8.8700000000000001E-2</v>
      </c>
    </row>
    <row r="180" spans="1:5" s="421" customFormat="1" x14ac:dyDescent="0.2">
      <c r="A180" s="588"/>
      <c r="B180" s="592" t="s">
        <v>812</v>
      </c>
      <c r="C180" s="619">
        <f t="shared" si="20"/>
        <v>1.2800550430023456</v>
      </c>
      <c r="D180" s="619">
        <f t="shared" si="20"/>
        <v>1.3050901528013583</v>
      </c>
      <c r="E180" s="620">
        <f t="shared" si="21"/>
        <v>2.5035109799012689E-2</v>
      </c>
    </row>
    <row r="181" spans="1:5" s="421" customFormat="1" x14ac:dyDescent="0.2">
      <c r="A181" s="588"/>
      <c r="B181" s="592" t="s">
        <v>723</v>
      </c>
      <c r="C181" s="619">
        <f t="shared" si="20"/>
        <v>1.2867315789473683</v>
      </c>
      <c r="D181" s="619">
        <f t="shared" si="20"/>
        <v>1.3236256723716384</v>
      </c>
      <c r="E181" s="620">
        <f t="shared" si="21"/>
        <v>3.689409342427008E-2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76994635</v>
      </c>
      <c r="D185" s="589">
        <v>68922104</v>
      </c>
      <c r="E185" s="590">
        <f>D185-C185</f>
        <v>-8072531</v>
      </c>
    </row>
    <row r="186" spans="1:5" s="421" customFormat="1" ht="25.5" x14ac:dyDescent="0.2">
      <c r="A186" s="588">
        <v>2</v>
      </c>
      <c r="B186" s="587" t="s">
        <v>815</v>
      </c>
      <c r="C186" s="589">
        <v>41945973</v>
      </c>
      <c r="D186" s="589">
        <v>37105879</v>
      </c>
      <c r="E186" s="590">
        <f>D186-C186</f>
        <v>-4840094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35048662</v>
      </c>
      <c r="D188" s="622">
        <f>+D185-D186</f>
        <v>31816225</v>
      </c>
      <c r="E188" s="590">
        <f t="shared" ref="E188:E197" si="22">D188-C188</f>
        <v>-3232437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0.45520914541643065</v>
      </c>
      <c r="D189" s="623">
        <f>IF(D185=0,0,+D188/D185)</f>
        <v>0.46162585228100406</v>
      </c>
      <c r="E189" s="599">
        <f t="shared" si="22"/>
        <v>6.4167068645734071E-3</v>
      </c>
    </row>
    <row r="190" spans="1:5" s="421" customFormat="1" x14ac:dyDescent="0.2">
      <c r="A190" s="588">
        <v>5</v>
      </c>
      <c r="B190" s="587" t="s">
        <v>762</v>
      </c>
      <c r="C190" s="589">
        <v>2876575</v>
      </c>
      <c r="D190" s="589">
        <v>2084333</v>
      </c>
      <c r="E190" s="622">
        <f t="shared" si="22"/>
        <v>-792242</v>
      </c>
    </row>
    <row r="191" spans="1:5" s="421" customFormat="1" x14ac:dyDescent="0.2">
      <c r="A191" s="588">
        <v>6</v>
      </c>
      <c r="B191" s="587" t="s">
        <v>748</v>
      </c>
      <c r="C191" s="589">
        <v>1750572</v>
      </c>
      <c r="D191" s="589">
        <v>1308484</v>
      </c>
      <c r="E191" s="622">
        <f t="shared" si="22"/>
        <v>-442088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624534</v>
      </c>
      <c r="D193" s="589">
        <v>515390</v>
      </c>
      <c r="E193" s="622">
        <f t="shared" si="22"/>
        <v>-109144</v>
      </c>
    </row>
    <row r="194" spans="1:5" s="421" customFormat="1" x14ac:dyDescent="0.2">
      <c r="A194" s="588">
        <v>9</v>
      </c>
      <c r="B194" s="587" t="s">
        <v>818</v>
      </c>
      <c r="C194" s="589">
        <v>2560334</v>
      </c>
      <c r="D194" s="589">
        <v>1786094</v>
      </c>
      <c r="E194" s="622">
        <f t="shared" si="22"/>
        <v>-774240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3184868</v>
      </c>
      <c r="D195" s="589">
        <f>+D193+D194</f>
        <v>2301484</v>
      </c>
      <c r="E195" s="625">
        <f t="shared" si="22"/>
        <v>-883384</v>
      </c>
    </row>
    <row r="196" spans="1:5" s="421" customFormat="1" x14ac:dyDescent="0.2">
      <c r="A196" s="588">
        <v>11</v>
      </c>
      <c r="B196" s="587" t="s">
        <v>820</v>
      </c>
      <c r="C196" s="589">
        <v>874400</v>
      </c>
      <c r="D196" s="589">
        <v>1006794</v>
      </c>
      <c r="E196" s="622">
        <f t="shared" si="22"/>
        <v>132394</v>
      </c>
    </row>
    <row r="197" spans="1:5" s="421" customFormat="1" x14ac:dyDescent="0.2">
      <c r="A197" s="588">
        <v>12</v>
      </c>
      <c r="B197" s="587" t="s">
        <v>710</v>
      </c>
      <c r="C197" s="589">
        <v>72962299</v>
      </c>
      <c r="D197" s="589">
        <v>65083198</v>
      </c>
      <c r="E197" s="622">
        <f t="shared" si="22"/>
        <v>-7879101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709.80799999999999</v>
      </c>
      <c r="D203" s="629">
        <v>628.05539999999996</v>
      </c>
      <c r="E203" s="630">
        <f t="shared" ref="E203:E211" si="23">D203-C203</f>
        <v>-81.752600000000029</v>
      </c>
    </row>
    <row r="204" spans="1:5" s="421" customFormat="1" x14ac:dyDescent="0.2">
      <c r="A204" s="588">
        <v>2</v>
      </c>
      <c r="B204" s="587" t="s">
        <v>635</v>
      </c>
      <c r="C204" s="629">
        <v>1441.6895999999999</v>
      </c>
      <c r="D204" s="629">
        <v>1380.7836</v>
      </c>
      <c r="E204" s="630">
        <f t="shared" si="23"/>
        <v>-60.905999999999949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193.1808</v>
      </c>
      <c r="D205" s="629">
        <f>D206+D207</f>
        <v>153.43260000000001</v>
      </c>
      <c r="E205" s="630">
        <f t="shared" si="23"/>
        <v>-39.748199999999997</v>
      </c>
    </row>
    <row r="206" spans="1:5" s="421" customFormat="1" x14ac:dyDescent="0.2">
      <c r="A206" s="588">
        <v>4</v>
      </c>
      <c r="B206" s="587" t="s">
        <v>115</v>
      </c>
      <c r="C206" s="629">
        <v>186.51480000000001</v>
      </c>
      <c r="D206" s="629">
        <v>146.2962</v>
      </c>
      <c r="E206" s="630">
        <f t="shared" si="23"/>
        <v>-40.218600000000009</v>
      </c>
    </row>
    <row r="207" spans="1:5" s="421" customFormat="1" x14ac:dyDescent="0.2">
      <c r="A207" s="588">
        <v>5</v>
      </c>
      <c r="B207" s="587" t="s">
        <v>743</v>
      </c>
      <c r="C207" s="629">
        <v>6.6660000000000004</v>
      </c>
      <c r="D207" s="629">
        <v>7.1364000000000001</v>
      </c>
      <c r="E207" s="630">
        <f t="shared" si="23"/>
        <v>0.47039999999999971</v>
      </c>
    </row>
    <row r="208" spans="1:5" s="421" customFormat="1" x14ac:dyDescent="0.2">
      <c r="A208" s="588">
        <v>6</v>
      </c>
      <c r="B208" s="587" t="s">
        <v>424</v>
      </c>
      <c r="C208" s="629">
        <v>2.3199999999999998</v>
      </c>
      <c r="D208" s="629">
        <v>3.18</v>
      </c>
      <c r="E208" s="630">
        <f t="shared" si="23"/>
        <v>0.86000000000000032</v>
      </c>
    </row>
    <row r="209" spans="1:5" s="421" customFormat="1" x14ac:dyDescent="0.2">
      <c r="A209" s="588">
        <v>7</v>
      </c>
      <c r="B209" s="587" t="s">
        <v>758</v>
      </c>
      <c r="C209" s="629">
        <v>38.5244</v>
      </c>
      <c r="D209" s="629">
        <v>38.587499999999999</v>
      </c>
      <c r="E209" s="630">
        <f t="shared" si="23"/>
        <v>6.3099999999998602E-2</v>
      </c>
    </row>
    <row r="210" spans="1:5" s="421" customFormat="1" x14ac:dyDescent="0.2">
      <c r="A210" s="588"/>
      <c r="B210" s="592" t="s">
        <v>823</v>
      </c>
      <c r="C210" s="631">
        <f>C204+C205+C208</f>
        <v>1637.1904</v>
      </c>
      <c r="D210" s="631">
        <f>D204+D205+D208</f>
        <v>1537.3962000000001</v>
      </c>
      <c r="E210" s="632">
        <f t="shared" si="23"/>
        <v>-99.794199999999819</v>
      </c>
    </row>
    <row r="211" spans="1:5" s="421" customFormat="1" x14ac:dyDescent="0.2">
      <c r="A211" s="588"/>
      <c r="B211" s="592" t="s">
        <v>724</v>
      </c>
      <c r="C211" s="631">
        <f>C210+C203</f>
        <v>2346.9983999999999</v>
      </c>
      <c r="D211" s="631">
        <f>D210+D203</f>
        <v>2165.4516000000003</v>
      </c>
      <c r="E211" s="632">
        <f t="shared" si="23"/>
        <v>-181.54679999999962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2574.1821704744525</v>
      </c>
      <c r="D215" s="633">
        <f>IF(D14*D137=0,0,D25/D14*D137)</f>
        <v>2285.0122139820619</v>
      </c>
      <c r="E215" s="633">
        <f t="shared" ref="E215:E223" si="24">D215-C215</f>
        <v>-289.16995649239061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2066.2888012166127</v>
      </c>
      <c r="D216" s="633">
        <f>IF(D15*D138=0,0,D26/D15*D138)</f>
        <v>1875.88088321391</v>
      </c>
      <c r="E216" s="633">
        <f t="shared" si="24"/>
        <v>-190.40791800270267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612.16270471266546</v>
      </c>
      <c r="D217" s="633">
        <f>D218+D219</f>
        <v>434.30215668049863</v>
      </c>
      <c r="E217" s="633">
        <f t="shared" si="24"/>
        <v>-177.86054803216683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596.03425990228141</v>
      </c>
      <c r="D218" s="633">
        <f t="shared" si="25"/>
        <v>419.37799729571481</v>
      </c>
      <c r="E218" s="633">
        <f t="shared" si="24"/>
        <v>-176.6562626065666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16.128444810384075</v>
      </c>
      <c r="D219" s="633">
        <f t="shared" si="25"/>
        <v>14.924159384783813</v>
      </c>
      <c r="E219" s="633">
        <f t="shared" si="24"/>
        <v>-1.2042854256002613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11.028454676832611</v>
      </c>
      <c r="D220" s="633">
        <f t="shared" si="25"/>
        <v>13.061405445180279</v>
      </c>
      <c r="E220" s="633">
        <f t="shared" si="24"/>
        <v>2.0329507683476677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167.49275571878886</v>
      </c>
      <c r="D221" s="633">
        <f t="shared" si="25"/>
        <v>176.44419966894722</v>
      </c>
      <c r="E221" s="633">
        <f t="shared" si="24"/>
        <v>8.9514439501583638</v>
      </c>
    </row>
    <row r="222" spans="1:5" s="421" customFormat="1" x14ac:dyDescent="0.2">
      <c r="A222" s="588"/>
      <c r="B222" s="592" t="s">
        <v>825</v>
      </c>
      <c r="C222" s="634">
        <f>C216+C218+C219+C220</f>
        <v>2689.479960606111</v>
      </c>
      <c r="D222" s="634">
        <f>D216+D218+D219+D220</f>
        <v>2323.2444453395888</v>
      </c>
      <c r="E222" s="634">
        <f t="shared" si="24"/>
        <v>-366.23551526652227</v>
      </c>
    </row>
    <row r="223" spans="1:5" s="421" customFormat="1" x14ac:dyDescent="0.2">
      <c r="A223" s="588"/>
      <c r="B223" s="592" t="s">
        <v>826</v>
      </c>
      <c r="C223" s="634">
        <f>C215+C222</f>
        <v>5263.662131080564</v>
      </c>
      <c r="D223" s="634">
        <f>D215+D222</f>
        <v>4608.2566593216507</v>
      </c>
      <c r="E223" s="634">
        <f t="shared" si="24"/>
        <v>-655.40547175891334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9558.0044180961613</v>
      </c>
      <c r="D227" s="636">
        <f t="shared" si="26"/>
        <v>8402.6329524433677</v>
      </c>
      <c r="E227" s="636">
        <f t="shared" ref="E227:E235" si="27">D227-C227</f>
        <v>-1155.3714656527936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7655.028516540593</v>
      </c>
      <c r="D228" s="636">
        <f t="shared" si="26"/>
        <v>7168.3615013967428</v>
      </c>
      <c r="E228" s="636">
        <f t="shared" si="27"/>
        <v>-486.66701514385022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7597.3285129785154</v>
      </c>
      <c r="D229" s="636">
        <f t="shared" si="26"/>
        <v>9264.5174493556115</v>
      </c>
      <c r="E229" s="636">
        <f t="shared" si="27"/>
        <v>1667.1889363770961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7644.1011651622284</v>
      </c>
      <c r="D230" s="636">
        <f t="shared" si="26"/>
        <v>9403.4363161859292</v>
      </c>
      <c r="E230" s="636">
        <f t="shared" si="27"/>
        <v>1759.3351510237007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6288.6288628862885</v>
      </c>
      <c r="D231" s="636">
        <f t="shared" si="26"/>
        <v>6416.6806793341184</v>
      </c>
      <c r="E231" s="636">
        <f t="shared" si="27"/>
        <v>128.05181644782988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16109.051724137933</v>
      </c>
      <c r="D232" s="636">
        <f t="shared" si="26"/>
        <v>6343.7106918238987</v>
      </c>
      <c r="E232" s="636">
        <f t="shared" si="27"/>
        <v>-9765.3410323140342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1066.1554754908577</v>
      </c>
      <c r="D233" s="636">
        <f t="shared" si="26"/>
        <v>1219.6954972465178</v>
      </c>
      <c r="E233" s="636">
        <f t="shared" si="27"/>
        <v>153.54002175566006</v>
      </c>
    </row>
    <row r="234" spans="1:5" x14ac:dyDescent="0.2">
      <c r="A234" s="588"/>
      <c r="B234" s="592" t="s">
        <v>828</v>
      </c>
      <c r="C234" s="637">
        <f t="shared" si="26"/>
        <v>7660.200059809782</v>
      </c>
      <c r="D234" s="637">
        <f t="shared" si="26"/>
        <v>7375.8527567584715</v>
      </c>
      <c r="E234" s="637">
        <f t="shared" si="27"/>
        <v>-284.34730305131052</v>
      </c>
    </row>
    <row r="235" spans="1:5" s="421" customFormat="1" x14ac:dyDescent="0.2">
      <c r="A235" s="588"/>
      <c r="B235" s="592" t="s">
        <v>829</v>
      </c>
      <c r="C235" s="637">
        <f t="shared" si="26"/>
        <v>8234.1572964003735</v>
      </c>
      <c r="D235" s="637">
        <f t="shared" si="26"/>
        <v>7673.6543084130799</v>
      </c>
      <c r="E235" s="637">
        <f t="shared" si="27"/>
        <v>-560.50298798729364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13729.654181190266</v>
      </c>
      <c r="D239" s="636">
        <f t="shared" si="28"/>
        <v>14012.984615167299</v>
      </c>
      <c r="E239" s="638">
        <f t="shared" ref="E239:E247" si="29">D239-C239</f>
        <v>283.33043397703295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5834.7743998328497</v>
      </c>
      <c r="D240" s="636">
        <f t="shared" si="28"/>
        <v>5513.7194970926948</v>
      </c>
      <c r="E240" s="638">
        <f t="shared" si="29"/>
        <v>-321.05490274015483</v>
      </c>
    </row>
    <row r="241" spans="1:5" x14ac:dyDescent="0.2">
      <c r="A241" s="588">
        <v>3</v>
      </c>
      <c r="B241" s="587" t="s">
        <v>777</v>
      </c>
      <c r="C241" s="636">
        <f t="shared" si="28"/>
        <v>5171.4698978369515</v>
      </c>
      <c r="D241" s="636">
        <f t="shared" si="28"/>
        <v>8513.3816241212844</v>
      </c>
      <c r="E241" s="638">
        <f t="shared" si="29"/>
        <v>3341.9117262843329</v>
      </c>
    </row>
    <row r="242" spans="1:5" x14ac:dyDescent="0.2">
      <c r="A242" s="588">
        <v>4</v>
      </c>
      <c r="B242" s="587" t="s">
        <v>115</v>
      </c>
      <c r="C242" s="636">
        <f t="shared" si="28"/>
        <v>5182.2188887370321</v>
      </c>
      <c r="D242" s="636">
        <f t="shared" si="28"/>
        <v>8607.3256662883214</v>
      </c>
      <c r="E242" s="638">
        <f t="shared" si="29"/>
        <v>3425.1067775512893</v>
      </c>
    </row>
    <row r="243" spans="1:5" x14ac:dyDescent="0.2">
      <c r="A243" s="588">
        <v>5</v>
      </c>
      <c r="B243" s="587" t="s">
        <v>743</v>
      </c>
      <c r="C243" s="636">
        <f t="shared" si="28"/>
        <v>4774.2358860554232</v>
      </c>
      <c r="D243" s="636">
        <f t="shared" si="28"/>
        <v>5873.4966399093955</v>
      </c>
      <c r="E243" s="638">
        <f t="shared" si="29"/>
        <v>1099.2607538539723</v>
      </c>
    </row>
    <row r="244" spans="1:5" x14ac:dyDescent="0.2">
      <c r="A244" s="588">
        <v>6</v>
      </c>
      <c r="B244" s="587" t="s">
        <v>424</v>
      </c>
      <c r="C244" s="636">
        <f t="shared" si="28"/>
        <v>4521.7577132322376</v>
      </c>
      <c r="D244" s="636">
        <f t="shared" si="28"/>
        <v>5163.4565884245194</v>
      </c>
      <c r="E244" s="638">
        <f t="shared" si="29"/>
        <v>641.69887519228178</v>
      </c>
    </row>
    <row r="245" spans="1:5" x14ac:dyDescent="0.2">
      <c r="A245" s="588">
        <v>7</v>
      </c>
      <c r="B245" s="587" t="s">
        <v>758</v>
      </c>
      <c r="C245" s="636">
        <f t="shared" si="28"/>
        <v>1080.8765980539156</v>
      </c>
      <c r="D245" s="636">
        <f t="shared" si="28"/>
        <v>1344.7084145875549</v>
      </c>
      <c r="E245" s="638">
        <f t="shared" si="29"/>
        <v>263.83181653363931</v>
      </c>
    </row>
    <row r="246" spans="1:5" ht="25.5" x14ac:dyDescent="0.2">
      <c r="A246" s="588"/>
      <c r="B246" s="592" t="s">
        <v>831</v>
      </c>
      <c r="C246" s="637">
        <f t="shared" si="28"/>
        <v>5678.4130105800268</v>
      </c>
      <c r="D246" s="637">
        <f t="shared" si="28"/>
        <v>6072.500475918644</v>
      </c>
      <c r="E246" s="639">
        <f t="shared" si="29"/>
        <v>394.08746533861722</v>
      </c>
    </row>
    <row r="247" spans="1:5" x14ac:dyDescent="0.2">
      <c r="A247" s="588"/>
      <c r="B247" s="592" t="s">
        <v>832</v>
      </c>
      <c r="C247" s="637">
        <f t="shared" si="28"/>
        <v>9615.8544639736319</v>
      </c>
      <c r="D247" s="637">
        <f t="shared" si="28"/>
        <v>10009.803578690025</v>
      </c>
      <c r="E247" s="639">
        <f t="shared" si="29"/>
        <v>393.94911471639352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388945.44110115059</v>
      </c>
      <c r="D251" s="622">
        <f>((IF((IF(D15=0,0,D26/D15)*D138)=0,0,D59/(IF(D15=0,0,D26/D15)*D138)))-(IF((IF(D17=0,0,D28/D17)*D140)=0,0,D61/(IF(D17=0,0,D28/D17)*D140))))*(IF(D17=0,0,D28/D17)*D140)</f>
        <v>-1297390.3596589302</v>
      </c>
      <c r="E251" s="622">
        <f>D251-C251</f>
        <v>-1686335.8007600808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26213.256980005568</v>
      </c>
      <c r="D252" s="622">
        <f>IF(D231=0,0,(D228-D231)*D207)+IF(D243=0,0,(D240-D243)*D219)</f>
        <v>-5.0764038308570889</v>
      </c>
      <c r="E252" s="622">
        <f>D252-C252</f>
        <v>-26218.333383836427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1050075.8238080628</v>
      </c>
      <c r="D253" s="622">
        <f>IF(D233=0,0,(D228-D233)*D209+IF(D221=0,0,(D240-D245)*D221))</f>
        <v>965141.97329873755</v>
      </c>
      <c r="E253" s="622">
        <f>D253-C253</f>
        <v>-84933.850509325275</v>
      </c>
    </row>
    <row r="254" spans="1:5" ht="15" customHeight="1" x14ac:dyDescent="0.2">
      <c r="A254" s="588"/>
      <c r="B254" s="592" t="s">
        <v>759</v>
      </c>
      <c r="C254" s="640">
        <f>+C251+C252+C253</f>
        <v>1465234.5218892191</v>
      </c>
      <c r="D254" s="640">
        <f>+D251+D252+D253</f>
        <v>-332253.46276402357</v>
      </c>
      <c r="E254" s="640">
        <f>D254-C254</f>
        <v>-1797487.9846532426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184161329</v>
      </c>
      <c r="D258" s="625">
        <f>+D44</f>
        <v>172137054</v>
      </c>
      <c r="E258" s="622">
        <f t="shared" ref="E258:E271" si="30">D258-C258</f>
        <v>-12024275</v>
      </c>
    </row>
    <row r="259" spans="1:5" x14ac:dyDescent="0.2">
      <c r="A259" s="588">
        <v>2</v>
      </c>
      <c r="B259" s="587" t="s">
        <v>742</v>
      </c>
      <c r="C259" s="622">
        <f>+(C43-C76)</f>
        <v>75987636</v>
      </c>
      <c r="D259" s="625">
        <f>+(D43-D76)</f>
        <v>75274675</v>
      </c>
      <c r="E259" s="622">
        <f t="shared" si="30"/>
        <v>-712961</v>
      </c>
    </row>
    <row r="260" spans="1:5" x14ac:dyDescent="0.2">
      <c r="A260" s="588">
        <v>3</v>
      </c>
      <c r="B260" s="587" t="s">
        <v>746</v>
      </c>
      <c r="C260" s="622">
        <f>C195</f>
        <v>3184868</v>
      </c>
      <c r="D260" s="622">
        <f>D195</f>
        <v>2301484</v>
      </c>
      <c r="E260" s="622">
        <f t="shared" si="30"/>
        <v>-883384</v>
      </c>
    </row>
    <row r="261" spans="1:5" x14ac:dyDescent="0.2">
      <c r="A261" s="588">
        <v>4</v>
      </c>
      <c r="B261" s="587" t="s">
        <v>747</v>
      </c>
      <c r="C261" s="622">
        <f>C188</f>
        <v>35048662</v>
      </c>
      <c r="D261" s="622">
        <f>D188</f>
        <v>31816225</v>
      </c>
      <c r="E261" s="622">
        <f t="shared" si="30"/>
        <v>-3232437</v>
      </c>
    </row>
    <row r="262" spans="1:5" x14ac:dyDescent="0.2">
      <c r="A262" s="588">
        <v>5</v>
      </c>
      <c r="B262" s="587" t="s">
        <v>748</v>
      </c>
      <c r="C262" s="622">
        <f>C191</f>
        <v>1750572</v>
      </c>
      <c r="D262" s="622">
        <f>D191</f>
        <v>1308484</v>
      </c>
      <c r="E262" s="622">
        <f t="shared" si="30"/>
        <v>-442088</v>
      </c>
    </row>
    <row r="263" spans="1:5" x14ac:dyDescent="0.2">
      <c r="A263" s="588">
        <v>6</v>
      </c>
      <c r="B263" s="587" t="s">
        <v>749</v>
      </c>
      <c r="C263" s="622">
        <f>+C259+C260+C261+C262</f>
        <v>115971738</v>
      </c>
      <c r="D263" s="622">
        <f>+D259+D260+D261+D262</f>
        <v>110700868</v>
      </c>
      <c r="E263" s="622">
        <f t="shared" si="30"/>
        <v>-5270870</v>
      </c>
    </row>
    <row r="264" spans="1:5" x14ac:dyDescent="0.2">
      <c r="A264" s="588">
        <v>7</v>
      </c>
      <c r="B264" s="587" t="s">
        <v>654</v>
      </c>
      <c r="C264" s="622">
        <f>+C258-C263</f>
        <v>68189591</v>
      </c>
      <c r="D264" s="622">
        <f>+D258-D263</f>
        <v>61436186</v>
      </c>
      <c r="E264" s="622">
        <f t="shared" si="30"/>
        <v>-6753405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68189591</v>
      </c>
      <c r="D266" s="622">
        <f>+D264+D265</f>
        <v>61436186</v>
      </c>
      <c r="E266" s="641">
        <f t="shared" si="30"/>
        <v>-6753405</v>
      </c>
    </row>
    <row r="267" spans="1:5" x14ac:dyDescent="0.2">
      <c r="A267" s="588">
        <v>10</v>
      </c>
      <c r="B267" s="587" t="s">
        <v>837</v>
      </c>
      <c r="C267" s="642">
        <f>IF(C258=0,0,C266/C258)</f>
        <v>0.37027095411545385</v>
      </c>
      <c r="D267" s="642">
        <f>IF(D258=0,0,D266/D258)</f>
        <v>0.35690273867473066</v>
      </c>
      <c r="E267" s="643">
        <f t="shared" si="30"/>
        <v>-1.3368215440723197E-2</v>
      </c>
    </row>
    <row r="268" spans="1:5" x14ac:dyDescent="0.2">
      <c r="A268" s="588">
        <v>11</v>
      </c>
      <c r="B268" s="587" t="s">
        <v>716</v>
      </c>
      <c r="C268" s="622">
        <f>+C260*C267</f>
        <v>1179264.1130917773</v>
      </c>
      <c r="D268" s="644">
        <f>+D260*D267</f>
        <v>821405.94261607376</v>
      </c>
      <c r="E268" s="622">
        <f t="shared" si="30"/>
        <v>-357858.17047570355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2041843.8987016762</v>
      </c>
      <c r="D269" s="644">
        <f>((D17+D18+D28+D29)*D267)-(D50+D51+D61+D62)</f>
        <v>2150063.4421009086</v>
      </c>
      <c r="E269" s="622">
        <f t="shared" si="30"/>
        <v>108219.54339923244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3221108.0117934532</v>
      </c>
      <c r="D271" s="622">
        <f>+D268+D269+D270</f>
        <v>2971469.3847169825</v>
      </c>
      <c r="E271" s="625">
        <f t="shared" si="30"/>
        <v>-249638.62707647076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0.48318080753860138</v>
      </c>
      <c r="D276" s="623">
        <f t="shared" si="31"/>
        <v>0.44257509631108238</v>
      </c>
      <c r="E276" s="650">
        <f t="shared" ref="E276:E284" si="32">D276-C276</f>
        <v>-4.0605711227518992E-2</v>
      </c>
    </row>
    <row r="277" spans="1:5" x14ac:dyDescent="0.2">
      <c r="A277" s="588">
        <v>2</v>
      </c>
      <c r="B277" s="587" t="s">
        <v>635</v>
      </c>
      <c r="C277" s="623">
        <f t="shared" si="31"/>
        <v>0.37530057406202699</v>
      </c>
      <c r="D277" s="623">
        <f t="shared" si="31"/>
        <v>0.34563080976092564</v>
      </c>
      <c r="E277" s="650">
        <f t="shared" si="32"/>
        <v>-2.9669764301101353E-2</v>
      </c>
    </row>
    <row r="278" spans="1:5" x14ac:dyDescent="0.2">
      <c r="A278" s="588">
        <v>3</v>
      </c>
      <c r="B278" s="587" t="s">
        <v>777</v>
      </c>
      <c r="C278" s="623">
        <f t="shared" si="31"/>
        <v>0.33838804907493397</v>
      </c>
      <c r="D278" s="623">
        <f t="shared" si="31"/>
        <v>0.30569006977535373</v>
      </c>
      <c r="E278" s="650">
        <f t="shared" si="32"/>
        <v>-3.2697979299580238E-2</v>
      </c>
    </row>
    <row r="279" spans="1:5" x14ac:dyDescent="0.2">
      <c r="A279" s="588">
        <v>4</v>
      </c>
      <c r="B279" s="587" t="s">
        <v>115</v>
      </c>
      <c r="C279" s="623">
        <f t="shared" si="31"/>
        <v>0.3383880937654421</v>
      </c>
      <c r="D279" s="623">
        <f t="shared" si="31"/>
        <v>0.30569022046479483</v>
      </c>
      <c r="E279" s="650">
        <f t="shared" si="32"/>
        <v>-3.2697873300647273E-2</v>
      </c>
    </row>
    <row r="280" spans="1:5" x14ac:dyDescent="0.2">
      <c r="A280" s="588">
        <v>5</v>
      </c>
      <c r="B280" s="587" t="s">
        <v>743</v>
      </c>
      <c r="C280" s="623">
        <f t="shared" si="31"/>
        <v>0.33838652911641726</v>
      </c>
      <c r="D280" s="623">
        <f t="shared" si="31"/>
        <v>0.30568554282014138</v>
      </c>
      <c r="E280" s="650">
        <f t="shared" si="32"/>
        <v>-3.270098629627588E-2</v>
      </c>
    </row>
    <row r="281" spans="1:5" x14ac:dyDescent="0.2">
      <c r="A281" s="588">
        <v>6</v>
      </c>
      <c r="B281" s="587" t="s">
        <v>424</v>
      </c>
      <c r="C281" s="623">
        <f t="shared" si="31"/>
        <v>0.93120546170329399</v>
      </c>
      <c r="D281" s="623">
        <f t="shared" si="31"/>
        <v>0.37110007358351726</v>
      </c>
      <c r="E281" s="650">
        <f t="shared" si="32"/>
        <v>-0.56010538811977673</v>
      </c>
    </row>
    <row r="282" spans="1:5" x14ac:dyDescent="0.2">
      <c r="A282" s="588">
        <v>7</v>
      </c>
      <c r="B282" s="587" t="s">
        <v>758</v>
      </c>
      <c r="C282" s="623">
        <f t="shared" si="31"/>
        <v>6.5988991391692453E-2</v>
      </c>
      <c r="D282" s="623">
        <f t="shared" si="31"/>
        <v>0.11406295819670741</v>
      </c>
      <c r="E282" s="650">
        <f t="shared" si="32"/>
        <v>4.8073966805014953E-2</v>
      </c>
    </row>
    <row r="283" spans="1:5" ht="29.25" customHeight="1" x14ac:dyDescent="0.2">
      <c r="A283" s="588"/>
      <c r="B283" s="592" t="s">
        <v>844</v>
      </c>
      <c r="C283" s="651">
        <f t="shared" si="31"/>
        <v>0.37122206866959701</v>
      </c>
      <c r="D283" s="651">
        <f t="shared" si="31"/>
        <v>0.34010193573278846</v>
      </c>
      <c r="E283" s="652">
        <f t="shared" si="32"/>
        <v>-3.1120132936808542E-2</v>
      </c>
    </row>
    <row r="284" spans="1:5" x14ac:dyDescent="0.2">
      <c r="A284" s="588"/>
      <c r="B284" s="592" t="s">
        <v>845</v>
      </c>
      <c r="C284" s="651">
        <f t="shared" si="31"/>
        <v>0.40409248959232907</v>
      </c>
      <c r="D284" s="651">
        <f t="shared" si="31"/>
        <v>0.36709581004143227</v>
      </c>
      <c r="E284" s="652">
        <f t="shared" si="32"/>
        <v>-3.6996679550896805E-2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0.53291465001483118</v>
      </c>
      <c r="D287" s="623">
        <f t="shared" si="33"/>
        <v>0.53823229014085161</v>
      </c>
      <c r="E287" s="650">
        <f t="shared" ref="E287:E295" si="34">D287-C287</f>
        <v>5.3176401260204287E-3</v>
      </c>
    </row>
    <row r="288" spans="1:5" x14ac:dyDescent="0.2">
      <c r="A288" s="588">
        <v>2</v>
      </c>
      <c r="B288" s="587" t="s">
        <v>635</v>
      </c>
      <c r="C288" s="623">
        <f t="shared" si="33"/>
        <v>0.21488850066870099</v>
      </c>
      <c r="D288" s="623">
        <f t="shared" si="33"/>
        <v>0.20158503102052233</v>
      </c>
      <c r="E288" s="650">
        <f t="shared" si="34"/>
        <v>-1.3303469648178662E-2</v>
      </c>
    </row>
    <row r="289" spans="1:5" x14ac:dyDescent="0.2">
      <c r="A289" s="588">
        <v>3</v>
      </c>
      <c r="B289" s="587" t="s">
        <v>777</v>
      </c>
      <c r="C289" s="623">
        <f t="shared" si="33"/>
        <v>0.23123251438784262</v>
      </c>
      <c r="D289" s="623">
        <f t="shared" si="33"/>
        <v>0.23525302212118263</v>
      </c>
      <c r="E289" s="650">
        <f t="shared" si="34"/>
        <v>4.0205077333400063E-3</v>
      </c>
    </row>
    <row r="290" spans="1:5" x14ac:dyDescent="0.2">
      <c r="A290" s="588">
        <v>4</v>
      </c>
      <c r="B290" s="587" t="s">
        <v>115</v>
      </c>
      <c r="C290" s="623">
        <f t="shared" si="33"/>
        <v>0.23123254075586011</v>
      </c>
      <c r="D290" s="623">
        <f t="shared" si="33"/>
        <v>0.23525304775462411</v>
      </c>
      <c r="E290" s="650">
        <f t="shared" si="34"/>
        <v>4.0205069987639952E-3</v>
      </c>
    </row>
    <row r="291" spans="1:5" x14ac:dyDescent="0.2">
      <c r="A291" s="588">
        <v>5</v>
      </c>
      <c r="B291" s="587" t="s">
        <v>743</v>
      </c>
      <c r="C291" s="623">
        <f t="shared" si="33"/>
        <v>0.23123145667919906</v>
      </c>
      <c r="D291" s="623">
        <f t="shared" si="33"/>
        <v>0.23525196653865044</v>
      </c>
      <c r="E291" s="650">
        <f t="shared" si="34"/>
        <v>4.0205098594513766E-3</v>
      </c>
    </row>
    <row r="292" spans="1:5" x14ac:dyDescent="0.2">
      <c r="A292" s="588">
        <v>6</v>
      </c>
      <c r="B292" s="587" t="s">
        <v>424</v>
      </c>
      <c r="C292" s="623">
        <f t="shared" si="33"/>
        <v>0.22533302004446293</v>
      </c>
      <c r="D292" s="623">
        <f t="shared" si="33"/>
        <v>0.1899726485807402</v>
      </c>
      <c r="E292" s="650">
        <f t="shared" si="34"/>
        <v>-3.5360371463722728E-2</v>
      </c>
    </row>
    <row r="293" spans="1:5" x14ac:dyDescent="0.2">
      <c r="A293" s="588">
        <v>7</v>
      </c>
      <c r="B293" s="587" t="s">
        <v>758</v>
      </c>
      <c r="C293" s="623">
        <f t="shared" si="33"/>
        <v>6.5989490612556739E-2</v>
      </c>
      <c r="D293" s="623">
        <f t="shared" si="33"/>
        <v>0.11406246018899681</v>
      </c>
      <c r="E293" s="650">
        <f t="shared" si="34"/>
        <v>4.8072969576440069E-2</v>
      </c>
    </row>
    <row r="294" spans="1:5" ht="29.25" customHeight="1" x14ac:dyDescent="0.2">
      <c r="A294" s="588"/>
      <c r="B294" s="592" t="s">
        <v>847</v>
      </c>
      <c r="C294" s="651">
        <f t="shared" si="33"/>
        <v>0.21811735770492677</v>
      </c>
      <c r="D294" s="651">
        <f t="shared" si="33"/>
        <v>0.20937697396070434</v>
      </c>
      <c r="E294" s="652">
        <f t="shared" si="34"/>
        <v>-8.7403837442224241E-3</v>
      </c>
    </row>
    <row r="295" spans="1:5" x14ac:dyDescent="0.2">
      <c r="A295" s="588"/>
      <c r="B295" s="592" t="s">
        <v>848</v>
      </c>
      <c r="C295" s="651">
        <f t="shared" si="33"/>
        <v>0.37124700231224528</v>
      </c>
      <c r="D295" s="651">
        <f t="shared" si="33"/>
        <v>0.36357948416338431</v>
      </c>
      <c r="E295" s="652">
        <f t="shared" si="34"/>
        <v>-7.6675181488609634E-3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69940163</v>
      </c>
      <c r="D301" s="590">
        <f>+D48+D47+D50+D51+D52+D59+D58+D61+D62+D63</f>
        <v>62744671</v>
      </c>
      <c r="E301" s="590">
        <f>D301-C301</f>
        <v>-7195492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69940163</v>
      </c>
      <c r="D303" s="593">
        <f>+D301+D302</f>
        <v>62744671</v>
      </c>
      <c r="E303" s="593">
        <f>D303-C303</f>
        <v>-7195492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-218542</v>
      </c>
      <c r="D305" s="654">
        <v>-937913</v>
      </c>
      <c r="E305" s="655">
        <f>D305-C305</f>
        <v>-719371</v>
      </c>
    </row>
    <row r="306" spans="1:5" x14ac:dyDescent="0.2">
      <c r="A306" s="588">
        <v>4</v>
      </c>
      <c r="B306" s="592" t="s">
        <v>855</v>
      </c>
      <c r="C306" s="593">
        <f>+C303+C305+C194+C190-C191</f>
        <v>73407958</v>
      </c>
      <c r="D306" s="593">
        <f>+D303+D305</f>
        <v>61806758</v>
      </c>
      <c r="E306" s="656">
        <f>D306-C306</f>
        <v>-11601200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69721620</v>
      </c>
      <c r="D308" s="589">
        <v>61806759</v>
      </c>
      <c r="E308" s="590">
        <f>D308-C308</f>
        <v>-7914861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3686338</v>
      </c>
      <c r="D310" s="658">
        <f>D306-D308</f>
        <v>-1</v>
      </c>
      <c r="E310" s="656">
        <f>D310-C310</f>
        <v>-3686339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184161329</v>
      </c>
      <c r="D314" s="590">
        <f>+D14+D15+D16+D19+D25+D26+D27+D30</f>
        <v>172137054</v>
      </c>
      <c r="E314" s="590">
        <f>D314-C314</f>
        <v>-12024275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184161329</v>
      </c>
      <c r="D316" s="657">
        <f>D314+D315</f>
        <v>172137054</v>
      </c>
      <c r="E316" s="593">
        <f>D316-C316</f>
        <v>-12024275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184161328</v>
      </c>
      <c r="D318" s="589">
        <v>172137054</v>
      </c>
      <c r="E318" s="590">
        <f>D318-C318</f>
        <v>-12024274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1</v>
      </c>
      <c r="D320" s="657">
        <f>D316-D318</f>
        <v>0</v>
      </c>
      <c r="E320" s="593">
        <f>D320-C320</f>
        <v>-1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3184868</v>
      </c>
      <c r="D324" s="589">
        <f>+D193+D194</f>
        <v>2301484</v>
      </c>
      <c r="E324" s="590">
        <f>D324-C324</f>
        <v>-883384</v>
      </c>
    </row>
    <row r="325" spans="1:5" x14ac:dyDescent="0.2">
      <c r="A325" s="588">
        <v>2</v>
      </c>
      <c r="B325" s="587" t="s">
        <v>865</v>
      </c>
      <c r="C325" s="589">
        <v>424398</v>
      </c>
      <c r="D325" s="589">
        <v>676198</v>
      </c>
      <c r="E325" s="590">
        <f>D325-C325</f>
        <v>251800</v>
      </c>
    </row>
    <row r="326" spans="1:5" x14ac:dyDescent="0.2">
      <c r="A326" s="588"/>
      <c r="B326" s="592" t="s">
        <v>866</v>
      </c>
      <c r="C326" s="657">
        <f>C324+C325</f>
        <v>3609266</v>
      </c>
      <c r="D326" s="657">
        <f>D324+D325</f>
        <v>2977682</v>
      </c>
      <c r="E326" s="593">
        <f>D326-C326</f>
        <v>-631584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3609267</v>
      </c>
      <c r="D328" s="589">
        <v>2977682</v>
      </c>
      <c r="E328" s="590">
        <f>D328-C328</f>
        <v>-631585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-1</v>
      </c>
      <c r="D330" s="657">
        <f>D326-D328</f>
        <v>0</v>
      </c>
      <c r="E330" s="593">
        <f>D330-C330</f>
        <v>1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9" fitToHeight="0" orientation="portrait" horizontalDpi="1200" verticalDpi="1200" r:id="rId1"/>
  <headerFooter>
    <oddHeader>_x000D_
                &amp;LOFFICE OF HEALTH CARE ACCESS&amp;CTWELVE MONTHS ACTUAL FILING&amp;RNEW MILFORD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11924121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28637366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4650066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4500265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149801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54360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412623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33341792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45265913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59490747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51308775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15716610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15344001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372609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355009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2080141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67380394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126871141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71414868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100722186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172137054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5277319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9897956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1421479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1375687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45792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20173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47065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11339608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16616927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32019841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10343081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3697380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3609723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87657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67442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237266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14107903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46127744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37297160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25447511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62744671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458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1047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129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123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6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35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1178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1636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1.3713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1.3188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1.1894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1.1894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1.1894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1.59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1.1025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1.3050901528013583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1.3236256723716378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68922104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37105879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31816225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0.46162585228100406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2084333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1308484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515390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1786094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2301484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1006794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65083198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62744671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62744671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-937913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61806758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61806759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-1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172137054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172137054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172137054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2301484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676198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2977682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2977682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FILING&amp;RNEW MILFORD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109</v>
      </c>
      <c r="D12" s="185">
        <v>127</v>
      </c>
      <c r="E12" s="185">
        <f>+D12-C12</f>
        <v>18</v>
      </c>
      <c r="F12" s="77">
        <f>IF(C12=0,0,+E12/C12)</f>
        <v>0.16513761467889909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108</v>
      </c>
      <c r="D13" s="185">
        <v>124</v>
      </c>
      <c r="E13" s="185">
        <f>+D13-C13</f>
        <v>16</v>
      </c>
      <c r="F13" s="77">
        <f>IF(C13=0,0,+E13/C13)</f>
        <v>0.14814814814814814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624534</v>
      </c>
      <c r="D15" s="76">
        <v>515390</v>
      </c>
      <c r="E15" s="76">
        <f>+D15-C15</f>
        <v>-109144</v>
      </c>
      <c r="F15" s="77">
        <f>IF(C15=0,0,+E15/C15)</f>
        <v>-0.17476070157909737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5782.7222222222226</v>
      </c>
      <c r="D16" s="79">
        <f>IF(D13=0,0,+D15/+D13)</f>
        <v>4156.3709677419356</v>
      </c>
      <c r="E16" s="79">
        <f>+D16-C16</f>
        <v>-1626.351254480287</v>
      </c>
      <c r="F16" s="80">
        <f>IF(C16=0,0,+E16/C16)</f>
        <v>-0.28124319169792356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0.43262400000000001</v>
      </c>
      <c r="D18" s="704">
        <v>0.39431500000000003</v>
      </c>
      <c r="E18" s="704">
        <f>+D18-C18</f>
        <v>-3.8308999999999982E-2</v>
      </c>
      <c r="F18" s="77">
        <f>IF(C18=0,0,+E18/C18)</f>
        <v>-8.8550334701727088E-2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270188.39721600001</v>
      </c>
      <c r="D19" s="79">
        <f>+D15*D18</f>
        <v>203226.00785000002</v>
      </c>
      <c r="E19" s="79">
        <f>+D19-C19</f>
        <v>-66962.389365999989</v>
      </c>
      <c r="F19" s="80">
        <f>IF(C19=0,0,+E19/C19)</f>
        <v>-0.24783591766328672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2501.7444186666667</v>
      </c>
      <c r="D20" s="79">
        <f>IF(D13=0,0,+D19/D13)</f>
        <v>1638.9194181451614</v>
      </c>
      <c r="E20" s="79">
        <f>+D20-C20</f>
        <v>-862.82500052150522</v>
      </c>
      <c r="F20" s="80">
        <f>IF(C20=0,0,+E20/C20)</f>
        <v>-0.34488934764221746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85653</v>
      </c>
      <c r="D22" s="76">
        <v>53906</v>
      </c>
      <c r="E22" s="76">
        <f>+D22-C22</f>
        <v>-31747</v>
      </c>
      <c r="F22" s="77">
        <f>IF(C22=0,0,+E22/C22)</f>
        <v>-0.37064667904218185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390707</v>
      </c>
      <c r="D23" s="185">
        <v>302236</v>
      </c>
      <c r="E23" s="185">
        <f>+D23-C23</f>
        <v>-88471</v>
      </c>
      <c r="F23" s="77">
        <f>IF(C23=0,0,+E23/C23)</f>
        <v>-0.22643822608757969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148174</v>
      </c>
      <c r="D24" s="185">
        <v>159248</v>
      </c>
      <c r="E24" s="185">
        <f>+D24-C24</f>
        <v>11074</v>
      </c>
      <c r="F24" s="77">
        <f>IF(C24=0,0,+E24/C24)</f>
        <v>7.4736458487993845E-2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624534</v>
      </c>
      <c r="D25" s="79">
        <f>+D22+D23+D24</f>
        <v>515390</v>
      </c>
      <c r="E25" s="79">
        <f>+E22+E23+E24</f>
        <v>-109144</v>
      </c>
      <c r="F25" s="80">
        <f>IF(C25=0,0,+E25/C25)</f>
        <v>-0.17476070157909737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16</v>
      </c>
      <c r="D27" s="185">
        <v>5</v>
      </c>
      <c r="E27" s="185">
        <f>+D27-C27</f>
        <v>-11</v>
      </c>
      <c r="F27" s="77">
        <f>IF(C27=0,0,+E27/C27)</f>
        <v>-0.6875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5</v>
      </c>
      <c r="D28" s="185">
        <v>3</v>
      </c>
      <c r="E28" s="185">
        <f>+D28-C28</f>
        <v>-2</v>
      </c>
      <c r="F28" s="77">
        <f>IF(C28=0,0,+E28/C28)</f>
        <v>-0.4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247</v>
      </c>
      <c r="D29" s="185">
        <v>282</v>
      </c>
      <c r="E29" s="185">
        <f>+D29-C29</f>
        <v>35</v>
      </c>
      <c r="F29" s="77">
        <f>IF(C29=0,0,+E29/C29)</f>
        <v>0.1417004048582996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545</v>
      </c>
      <c r="D30" s="185">
        <v>515</v>
      </c>
      <c r="E30" s="185">
        <f>+D30-C30</f>
        <v>-30</v>
      </c>
      <c r="F30" s="77">
        <f>IF(C30=0,0,+E30/C30)</f>
        <v>-5.5045871559633031E-2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664889</v>
      </c>
      <c r="D33" s="76">
        <v>469679</v>
      </c>
      <c r="E33" s="76">
        <f>+D33-C33</f>
        <v>-195210</v>
      </c>
      <c r="F33" s="77">
        <f>IF(C33=0,0,+E33/C33)</f>
        <v>-0.29359787874366999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1811941</v>
      </c>
      <c r="D34" s="185">
        <v>1155161</v>
      </c>
      <c r="E34" s="185">
        <f>+D34-C34</f>
        <v>-656780</v>
      </c>
      <c r="F34" s="77">
        <f>IF(C34=0,0,+E34/C34)</f>
        <v>-0.36247317103592225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83504</v>
      </c>
      <c r="D35" s="185">
        <v>161254</v>
      </c>
      <c r="E35" s="185">
        <f>+D35-C35</f>
        <v>77750</v>
      </c>
      <c r="F35" s="77">
        <f>IF(C35=0,0,+E35/C35)</f>
        <v>0.93109312128760302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2560334</v>
      </c>
      <c r="D36" s="79">
        <f>+D33+D34+D35</f>
        <v>1786094</v>
      </c>
      <c r="E36" s="79">
        <f>+E33+E34+E35</f>
        <v>-774240</v>
      </c>
      <c r="F36" s="80">
        <f>IF(C36=0,0,+E36/C36)</f>
        <v>-0.30239804650487007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624534</v>
      </c>
      <c r="D39" s="76">
        <f>+D25</f>
        <v>515390</v>
      </c>
      <c r="E39" s="76">
        <f>+D39-C39</f>
        <v>-109144</v>
      </c>
      <c r="F39" s="77">
        <f>IF(C39=0,0,+E39/C39)</f>
        <v>-0.17476070157909737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2560334</v>
      </c>
      <c r="D40" s="185">
        <f>+D36</f>
        <v>1786094</v>
      </c>
      <c r="E40" s="185">
        <f>+D40-C40</f>
        <v>-774240</v>
      </c>
      <c r="F40" s="77">
        <f>IF(C40=0,0,+E40/C40)</f>
        <v>-0.30239804650487007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3184868</v>
      </c>
      <c r="D41" s="79">
        <f>+D39+D40</f>
        <v>2301484</v>
      </c>
      <c r="E41" s="79">
        <f>+E39+E40</f>
        <v>-883384</v>
      </c>
      <c r="F41" s="80">
        <f>IF(C41=0,0,+E41/C41)</f>
        <v>-0.27736910917501134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750542</v>
      </c>
      <c r="D43" s="76">
        <f t="shared" si="0"/>
        <v>523585</v>
      </c>
      <c r="E43" s="76">
        <f>+D43-C43</f>
        <v>-226957</v>
      </c>
      <c r="F43" s="77">
        <f>IF(C43=0,0,+E43/C43)</f>
        <v>-0.30239080557783576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2202648</v>
      </c>
      <c r="D44" s="185">
        <f t="shared" si="0"/>
        <v>1457397</v>
      </c>
      <c r="E44" s="185">
        <f>+D44-C44</f>
        <v>-745251</v>
      </c>
      <c r="F44" s="77">
        <f>IF(C44=0,0,+E44/C44)</f>
        <v>-0.33834321235167852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231678</v>
      </c>
      <c r="D45" s="185">
        <f t="shared" si="0"/>
        <v>320502</v>
      </c>
      <c r="E45" s="185">
        <f>+D45-C45</f>
        <v>88824</v>
      </c>
      <c r="F45" s="77">
        <f>IF(C45=0,0,+E45/C45)</f>
        <v>0.38339419366534588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3184868</v>
      </c>
      <c r="D46" s="79">
        <f>+D43+D44+D45</f>
        <v>2301484</v>
      </c>
      <c r="E46" s="79">
        <f>+E43+E44+E45</f>
        <v>-883384</v>
      </c>
      <c r="F46" s="80">
        <f>IF(C46=0,0,+E46/C46)</f>
        <v>-0.27736910917501134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911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FILING&amp;RNEW MILFORD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76994635</v>
      </c>
      <c r="D15" s="76">
        <v>68922104</v>
      </c>
      <c r="E15" s="76">
        <f>+D15-C15</f>
        <v>-8072531</v>
      </c>
      <c r="F15" s="77">
        <f>IF(C15=0,0,E15/C15)</f>
        <v>-0.10484537007026529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35048662</v>
      </c>
      <c r="D17" s="76">
        <v>31816225</v>
      </c>
      <c r="E17" s="76">
        <f>+D17-C17</f>
        <v>-3232437</v>
      </c>
      <c r="F17" s="77">
        <f>IF(C17=0,0,E17/C17)</f>
        <v>-9.2227115545808855E-2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41945973</v>
      </c>
      <c r="D19" s="79">
        <f>+D15-D17</f>
        <v>37105879</v>
      </c>
      <c r="E19" s="79">
        <f>+D19-C19</f>
        <v>-4840094</v>
      </c>
      <c r="F19" s="80">
        <f>IF(C19=0,0,E19/C19)</f>
        <v>-0.11538876449474661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0.45520914541643065</v>
      </c>
      <c r="D21" s="720">
        <f>IF(D15=0,0,D17/D15)</f>
        <v>0.46162585228100406</v>
      </c>
      <c r="E21" s="720">
        <f>+D21-C21</f>
        <v>6.4167068645734071E-3</v>
      </c>
      <c r="F21" s="80">
        <f>IF(C21=0,0,E21/C21)</f>
        <v>1.4096172999124015E-2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FILING&amp;R&amp;12NEW MILFORD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57109530</v>
      </c>
      <c r="D10" s="744">
        <v>47824581</v>
      </c>
      <c r="E10" s="744">
        <v>45265913</v>
      </c>
    </row>
    <row r="11" spans="1:6" ht="26.1" customHeight="1" x14ac:dyDescent="0.25">
      <c r="A11" s="742">
        <v>2</v>
      </c>
      <c r="B11" s="743" t="s">
        <v>932</v>
      </c>
      <c r="C11" s="744">
        <v>147272097</v>
      </c>
      <c r="D11" s="744">
        <v>136336748</v>
      </c>
      <c r="E11" s="744">
        <v>126871141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204381627</v>
      </c>
      <c r="D12" s="744">
        <f>+D11+D10</f>
        <v>184161329</v>
      </c>
      <c r="E12" s="744">
        <f>+E11+E10</f>
        <v>172137054</v>
      </c>
    </row>
    <row r="13" spans="1:6" ht="26.1" customHeight="1" x14ac:dyDescent="0.25">
      <c r="A13" s="742">
        <v>4</v>
      </c>
      <c r="B13" s="743" t="s">
        <v>507</v>
      </c>
      <c r="C13" s="744">
        <v>81236073</v>
      </c>
      <c r="D13" s="744">
        <v>69721620</v>
      </c>
      <c r="E13" s="744">
        <v>62064046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88958809</v>
      </c>
      <c r="D16" s="744">
        <v>72962299</v>
      </c>
      <c r="E16" s="744">
        <v>65083198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8537</v>
      </c>
      <c r="D19" s="747">
        <v>7017</v>
      </c>
      <c r="E19" s="747">
        <v>6716</v>
      </c>
    </row>
    <row r="20" spans="1:5" ht="26.1" customHeight="1" x14ac:dyDescent="0.25">
      <c r="A20" s="742">
        <v>2</v>
      </c>
      <c r="B20" s="743" t="s">
        <v>381</v>
      </c>
      <c r="C20" s="748">
        <v>2288</v>
      </c>
      <c r="D20" s="748">
        <v>1824</v>
      </c>
      <c r="E20" s="748">
        <v>1636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3.7312062937062938</v>
      </c>
      <c r="D21" s="749">
        <f>IF(D20=0,0,+D19/D20)</f>
        <v>3.8470394736842106</v>
      </c>
      <c r="E21" s="749">
        <f>IF(E20=0,0,+E19/E20)</f>
        <v>4.1051344743276283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30551.922764887051</v>
      </c>
      <c r="D22" s="748">
        <f>IF(D10=0,0,D19*(D12/D10))</f>
        <v>27020.833608411544</v>
      </c>
      <c r="E22" s="748">
        <f>IF(E10=0,0,E19*(E12/E10))</f>
        <v>25539.581067634714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8188.2159173083719</v>
      </c>
      <c r="D23" s="748">
        <f>IF(D10=0,0,D20*(D12/D10))</f>
        <v>7023.7994159530645</v>
      </c>
      <c r="E23" s="748">
        <f>IF(E10=0,0,E20*(E12/E10))</f>
        <v>6221.3750188580098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1.1530093094405596</v>
      </c>
      <c r="D26" s="750">
        <v>1.2867315789473683</v>
      </c>
      <c r="E26" s="750">
        <v>1.323625672371638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9843.2404746940574</v>
      </c>
      <c r="D27" s="748">
        <f>D19*D26</f>
        <v>9028.9954894736838</v>
      </c>
      <c r="E27" s="748">
        <f>E19*E26</f>
        <v>8889.4700156479212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2638.0853000000002</v>
      </c>
      <c r="D28" s="748">
        <f>D20*D26</f>
        <v>2346.9983999999999</v>
      </c>
      <c r="E28" s="748">
        <f>E20*E26</f>
        <v>2165.4515999999999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35226.651369223728</v>
      </c>
      <c r="D29" s="748">
        <f>D22*D26</f>
        <v>34768.559893425503</v>
      </c>
      <c r="E29" s="748">
        <f>E22*E26</f>
        <v>33804.845162737955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9441.0891803659233</v>
      </c>
      <c r="D30" s="748">
        <f>D23*D26</f>
        <v>9037.7445126988896</v>
      </c>
      <c r="E30" s="748">
        <f>E23*E26</f>
        <v>8234.771692412045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23940.684901019093</v>
      </c>
      <c r="D33" s="744">
        <f>IF(D19=0,0,D12/D19)</f>
        <v>26245.023371811316</v>
      </c>
      <c r="E33" s="744">
        <f>IF(E19=0,0,E12/E19)</f>
        <v>25630.889517569984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89327.634178321678</v>
      </c>
      <c r="D34" s="744">
        <f>IF(D20=0,0,D12/D20)</f>
        <v>100965.64089912281</v>
      </c>
      <c r="E34" s="744">
        <f>IF(E20=0,0,E12/E20)</f>
        <v>105218.24816625917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6689.6485884971298</v>
      </c>
      <c r="D35" s="744">
        <f>IF(D22=0,0,D12/D22)</f>
        <v>6815.5309961522007</v>
      </c>
      <c r="E35" s="744">
        <f>IF(E22=0,0,E12/E22)</f>
        <v>6740.010869565217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24960.458916083917</v>
      </c>
      <c r="D36" s="744">
        <f>IF(D23=0,0,D12/D23)</f>
        <v>26219.616776315786</v>
      </c>
      <c r="E36" s="744">
        <f>IF(E23=0,0,E12/E23)</f>
        <v>27668.650977995108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5801.9033616848683</v>
      </c>
      <c r="D37" s="744">
        <f>IF(D29=0,0,D12/D29)</f>
        <v>5296.7775934494093</v>
      </c>
      <c r="E37" s="744">
        <f>IF(E29=0,0,E12/E29)</f>
        <v>5092.0823086550154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21648.098338594282</v>
      </c>
      <c r="D38" s="744">
        <f>IF(D30=0,0,D12/D30)</f>
        <v>20376.912485325938</v>
      </c>
      <c r="E38" s="744">
        <f>IF(E30=0,0,E12/E30)</f>
        <v>20903.682631373522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1869.2614026124497</v>
      </c>
      <c r="D39" s="744">
        <f>IF(D22=0,0,D10/D22)</f>
        <v>1769.9150845261961</v>
      </c>
      <c r="E39" s="744">
        <f>IF(E22=0,0,E10/E22)</f>
        <v>1772.3827528777938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6974.599910009827</v>
      </c>
      <c r="D40" s="744">
        <f>IF(D23=0,0,D10/D23)</f>
        <v>6808.9331952414032</v>
      </c>
      <c r="E40" s="744">
        <f>IF(E23=0,0,E10/E23)</f>
        <v>7275.8695405423368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9515.7635000585688</v>
      </c>
      <c r="D43" s="744">
        <f>IF(D19=0,0,D13/D19)</f>
        <v>9936.1008978195805</v>
      </c>
      <c r="E43" s="744">
        <f>IF(E19=0,0,E13/E19)</f>
        <v>9241.2218582489586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35505.276660839161</v>
      </c>
      <c r="D44" s="744">
        <f>IF(D20=0,0,D13/D20)</f>
        <v>38224.572368421053</v>
      </c>
      <c r="E44" s="744">
        <f>IF(E20=0,0,E13/E20)</f>
        <v>37936.458435207824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2658.9512426158531</v>
      </c>
      <c r="D45" s="744">
        <f>IF(D22=0,0,D13/D22)</f>
        <v>2580.2912304783881</v>
      </c>
      <c r="E45" s="744">
        <f>IF(E22=0,0,E13/E22)</f>
        <v>2430.1121398835817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9921.0956111064424</v>
      </c>
      <c r="D46" s="744">
        <f>IF(D23=0,0,D13/D23)</f>
        <v>9926.4822172515615</v>
      </c>
      <c r="E46" s="744">
        <f>IF(E23=0,0,E13/E23)</f>
        <v>9975.9371219181739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2306.0969420151318</v>
      </c>
      <c r="D47" s="744">
        <f>IF(D29=0,0,D13/D29)</f>
        <v>2005.3065244495181</v>
      </c>
      <c r="E47" s="744">
        <f>IF(E29=0,0,E13/E29)</f>
        <v>1835.9511987474298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8604.5234239436977</v>
      </c>
      <c r="D48" s="744">
        <f>IF(D30=0,0,D13/D30)</f>
        <v>7714.4933563937884</v>
      </c>
      <c r="E48" s="744">
        <f>IF(E30=0,0,E13/E30)</f>
        <v>7536.8265591612089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10420.38292140096</v>
      </c>
      <c r="D51" s="744">
        <f>IF(D19=0,0,D16/D19)</f>
        <v>10397.93344734217</v>
      </c>
      <c r="E51" s="744">
        <f>IF(E19=0,0,E16/E19)</f>
        <v>9690.7680166765931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38880.598339160839</v>
      </c>
      <c r="D52" s="744">
        <f>IF(D20=0,0,D16/D20)</f>
        <v>40001.260416666664</v>
      </c>
      <c r="E52" s="744">
        <f>IF(E20=0,0,E16/E20)</f>
        <v>39781.905867970658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2911.7253825425109</v>
      </c>
      <c r="D53" s="744">
        <f>IF(D22=0,0,D16/D22)</f>
        <v>2700.2238368133449</v>
      </c>
      <c r="E53" s="744">
        <f>IF(E22=0,0,E16/E22)</f>
        <v>2548.3267649396694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10864.248072886983</v>
      </c>
      <c r="D54" s="744">
        <f>IF(D23=0,0,D16/D23)</f>
        <v>10387.867688003971</v>
      </c>
      <c r="E54" s="744">
        <f>IF(E23=0,0,E16/E23)</f>
        <v>10461.224054605635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2525.326863106839</v>
      </c>
      <c r="D55" s="744">
        <f>IF(D29=0,0,D16/D29)</f>
        <v>2098.5136923602254</v>
      </c>
      <c r="E55" s="744">
        <f>IF(E29=0,0,E16/E29)</f>
        <v>1925.262419830256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9422.5154852898104</v>
      </c>
      <c r="D56" s="744">
        <f>IF(D30=0,0,D16/D30)</f>
        <v>8073.0650105765926</v>
      </c>
      <c r="E56" s="744">
        <f>IF(E30=0,0,E16/E30)</f>
        <v>7903.4611317726158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12057764</v>
      </c>
      <c r="D59" s="752">
        <v>10411751</v>
      </c>
      <c r="E59" s="752">
        <v>8258188</v>
      </c>
    </row>
    <row r="60" spans="1:6" ht="26.1" customHeight="1" x14ac:dyDescent="0.25">
      <c r="A60" s="742">
        <v>2</v>
      </c>
      <c r="B60" s="743" t="s">
        <v>968</v>
      </c>
      <c r="C60" s="752">
        <v>4328737</v>
      </c>
      <c r="D60" s="752">
        <v>3102852</v>
      </c>
      <c r="E60" s="752">
        <v>2189934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16386501</v>
      </c>
      <c r="D61" s="755">
        <f>D59+D60</f>
        <v>13514603</v>
      </c>
      <c r="E61" s="755">
        <f>E59+E60</f>
        <v>10448122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1009436</v>
      </c>
      <c r="D64" s="744">
        <v>352875</v>
      </c>
      <c r="E64" s="752">
        <v>268454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362388</v>
      </c>
      <c r="D65" s="752">
        <v>105162</v>
      </c>
      <c r="E65" s="752">
        <v>71189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1371824</v>
      </c>
      <c r="D66" s="757">
        <f>D64+D65</f>
        <v>458037</v>
      </c>
      <c r="E66" s="757">
        <f>E64+E65</f>
        <v>339643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20222169</v>
      </c>
      <c r="D69" s="752">
        <v>18201638</v>
      </c>
      <c r="E69" s="752">
        <v>16287946</v>
      </c>
    </row>
    <row r="70" spans="1:6" ht="26.1" customHeight="1" x14ac:dyDescent="0.25">
      <c r="A70" s="742">
        <v>2</v>
      </c>
      <c r="B70" s="743" t="s">
        <v>976</v>
      </c>
      <c r="C70" s="752">
        <v>7254980</v>
      </c>
      <c r="D70" s="752">
        <v>5424351</v>
      </c>
      <c r="E70" s="752">
        <v>4319289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27477149</v>
      </c>
      <c r="D71" s="755">
        <f>D69+D70</f>
        <v>23625989</v>
      </c>
      <c r="E71" s="755">
        <f>E69+E70</f>
        <v>20607235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33289369</v>
      </c>
      <c r="D75" s="744">
        <f t="shared" si="0"/>
        <v>28966264</v>
      </c>
      <c r="E75" s="744">
        <f t="shared" si="0"/>
        <v>24814588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11946105</v>
      </c>
      <c r="D76" s="744">
        <f t="shared" si="0"/>
        <v>8632365</v>
      </c>
      <c r="E76" s="744">
        <f t="shared" si="0"/>
        <v>6580412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45235474</v>
      </c>
      <c r="D77" s="757">
        <f>D75+D76</f>
        <v>37598629</v>
      </c>
      <c r="E77" s="757">
        <f>E75+E76</f>
        <v>31395000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129.1</v>
      </c>
      <c r="D80" s="749">
        <v>109.4</v>
      </c>
      <c r="E80" s="749">
        <v>90.1</v>
      </c>
    </row>
    <row r="81" spans="1:5" ht="26.1" customHeight="1" x14ac:dyDescent="0.25">
      <c r="A81" s="742">
        <v>2</v>
      </c>
      <c r="B81" s="743" t="s">
        <v>617</v>
      </c>
      <c r="C81" s="749">
        <v>3.8</v>
      </c>
      <c r="D81" s="749">
        <v>2.4</v>
      </c>
      <c r="E81" s="749">
        <v>2.2000000000000002</v>
      </c>
    </row>
    <row r="82" spans="1:5" ht="26.1" customHeight="1" x14ac:dyDescent="0.25">
      <c r="A82" s="742">
        <v>3</v>
      </c>
      <c r="B82" s="743" t="s">
        <v>982</v>
      </c>
      <c r="C82" s="749">
        <v>287.39999999999998</v>
      </c>
      <c r="D82" s="749">
        <v>250.4</v>
      </c>
      <c r="E82" s="749">
        <v>214.7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420.29999999999995</v>
      </c>
      <c r="D83" s="759">
        <f>D80+D81+D82</f>
        <v>362.20000000000005</v>
      </c>
      <c r="E83" s="759">
        <f>E80+E81+E82</f>
        <v>307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93398.636715724249</v>
      </c>
      <c r="D86" s="752">
        <f>IF(D80=0,0,D59/D80)</f>
        <v>95171.398537477144</v>
      </c>
      <c r="E86" s="752">
        <f>IF(E80=0,0,E59/E80)</f>
        <v>91655.804661487244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33530.108443067395</v>
      </c>
      <c r="D87" s="752">
        <f>IF(D80=0,0,D60/D80)</f>
        <v>28362.449725776965</v>
      </c>
      <c r="E87" s="752">
        <f>IF(E80=0,0,E60/E80)</f>
        <v>24305.593784683686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126928.74515879164</v>
      </c>
      <c r="D88" s="755">
        <f>+D86+D87</f>
        <v>123533.84826325411</v>
      </c>
      <c r="E88" s="755">
        <f>+E86+E87</f>
        <v>115961.39844617093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265641.05263157893</v>
      </c>
      <c r="D91" s="744">
        <f>IF(D81=0,0,D64/D81)</f>
        <v>147031.25</v>
      </c>
      <c r="E91" s="744">
        <f>IF(E81=0,0,E64/E81)</f>
        <v>122024.54545454544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95365.263157894748</v>
      </c>
      <c r="D92" s="744">
        <f>IF(D81=0,0,D65/D81)</f>
        <v>43817.5</v>
      </c>
      <c r="E92" s="744">
        <f>IF(E81=0,0,E65/E81)</f>
        <v>32358.63636363636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361006.31578947371</v>
      </c>
      <c r="D93" s="757">
        <f>+D91+D92</f>
        <v>190848.75</v>
      </c>
      <c r="E93" s="757">
        <f>+E91+E92</f>
        <v>154383.18181818179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70362.453027139883</v>
      </c>
      <c r="D96" s="752">
        <f>IF(D82=0,0,D69/D82)</f>
        <v>72690.247603833865</v>
      </c>
      <c r="E96" s="752">
        <f>IF(E82=0,0,E69/E82)</f>
        <v>75863.744760130416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25243.493389004874</v>
      </c>
      <c r="D97" s="752">
        <f>IF(D82=0,0,D70/D82)</f>
        <v>21662.743610223642</v>
      </c>
      <c r="E97" s="752">
        <f>IF(E82=0,0,E70/E82)</f>
        <v>20117.787610619471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95605.946416144754</v>
      </c>
      <c r="D98" s="757">
        <f>+D96+D97</f>
        <v>94352.991214057503</v>
      </c>
      <c r="E98" s="757">
        <f>+E96+E97</f>
        <v>95981.53237074989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79203.828217939576</v>
      </c>
      <c r="D101" s="744">
        <f>IF(D83=0,0,D75/D83)</f>
        <v>79973.119823302026</v>
      </c>
      <c r="E101" s="744">
        <f>IF(E83=0,0,E75/E83)</f>
        <v>80829.276872964168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28422.805139186297</v>
      </c>
      <c r="D102" s="761">
        <f>IF(D83=0,0,D76/D83)</f>
        <v>23833.144671452232</v>
      </c>
      <c r="E102" s="761">
        <f>IF(E83=0,0,E76/E83)</f>
        <v>21434.566775244301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107626.63335712587</v>
      </c>
      <c r="D103" s="757">
        <f>+D101+D102</f>
        <v>103806.26449475426</v>
      </c>
      <c r="E103" s="757">
        <f>+E101+E102</f>
        <v>102263.84364820847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5298.7553004568354</v>
      </c>
      <c r="D108" s="744">
        <f>IF(D19=0,0,D77/D19)</f>
        <v>5358.2198945418268</v>
      </c>
      <c r="E108" s="744">
        <f>IF(E19=0,0,E77/E19)</f>
        <v>4674.6575342465758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19770.749125874125</v>
      </c>
      <c r="D109" s="744">
        <f>IF(D20=0,0,D77/D20)</f>
        <v>20613.283442982458</v>
      </c>
      <c r="E109" s="744">
        <f>IF(E20=0,0,E77/E20)</f>
        <v>19190.097799511001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1480.6097262064493</v>
      </c>
      <c r="D110" s="744">
        <f>IF(D22=0,0,D77/D22)</f>
        <v>1391.4681369525033</v>
      </c>
      <c r="E110" s="744">
        <f>IF(E22=0,0,E77/E22)</f>
        <v>1229.2684017352824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5524.4603289442557</v>
      </c>
      <c r="D111" s="744">
        <f>IF(D23=0,0,D77/D23)</f>
        <v>5353.0328492301078</v>
      </c>
      <c r="E111" s="744">
        <f>IF(E23=0,0,E77/E23)</f>
        <v>5046.3120941651323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1284.126428194098</v>
      </c>
      <c r="D112" s="744">
        <f>IF(D29=0,0,D77/D29)</f>
        <v>1081.3973634585207</v>
      </c>
      <c r="E112" s="744">
        <f>IF(E29=0,0,E77/E29)</f>
        <v>928.71302468220586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4791.340610792402</v>
      </c>
      <c r="D113" s="744">
        <f>IF(D30=0,0,D77/D30)</f>
        <v>4160.1783439629608</v>
      </c>
      <c r="E113" s="744">
        <f>IF(E30=0,0,E77/E30)</f>
        <v>3812.4918543800086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FILING&amp;R&amp;"Arial,Bold"&amp;12NEW MILFORD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184161328</v>
      </c>
      <c r="D12" s="76">
        <v>172137054</v>
      </c>
      <c r="E12" s="76">
        <f t="shared" ref="E12:E21" si="0">D12-C12</f>
        <v>-12024274</v>
      </c>
      <c r="F12" s="77">
        <f t="shared" ref="F12:F21" si="1">IF(C12=0,0,E12/C12)</f>
        <v>-6.5292068267448641E-2</v>
      </c>
    </row>
    <row r="13" spans="1:8" ht="23.1" customHeight="1" x14ac:dyDescent="0.2">
      <c r="A13" s="74">
        <v>2</v>
      </c>
      <c r="B13" s="75" t="s">
        <v>72</v>
      </c>
      <c r="C13" s="76">
        <v>110830443</v>
      </c>
      <c r="D13" s="76">
        <v>107352613</v>
      </c>
      <c r="E13" s="76">
        <f t="shared" si="0"/>
        <v>-3477830</v>
      </c>
      <c r="F13" s="77">
        <f t="shared" si="1"/>
        <v>-3.1379735620112967E-2</v>
      </c>
    </row>
    <row r="14" spans="1:8" ht="23.1" customHeight="1" x14ac:dyDescent="0.2">
      <c r="A14" s="74">
        <v>3</v>
      </c>
      <c r="B14" s="75" t="s">
        <v>73</v>
      </c>
      <c r="C14" s="76">
        <v>1048931</v>
      </c>
      <c r="D14" s="76">
        <v>934301</v>
      </c>
      <c r="E14" s="76">
        <f t="shared" si="0"/>
        <v>-114630</v>
      </c>
      <c r="F14" s="77">
        <f t="shared" si="1"/>
        <v>-0.10928268875645776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72281954</v>
      </c>
      <c r="D16" s="79">
        <f>D12-D13-D14-D15</f>
        <v>63850140</v>
      </c>
      <c r="E16" s="79">
        <f t="shared" si="0"/>
        <v>-8431814</v>
      </c>
      <c r="F16" s="80">
        <f t="shared" si="1"/>
        <v>-0.11665171641596739</v>
      </c>
    </row>
    <row r="17" spans="1:7" ht="23.1" customHeight="1" x14ac:dyDescent="0.2">
      <c r="A17" s="74">
        <v>5</v>
      </c>
      <c r="B17" s="75" t="s">
        <v>76</v>
      </c>
      <c r="C17" s="76">
        <v>2560334</v>
      </c>
      <c r="D17" s="76">
        <v>1786094</v>
      </c>
      <c r="E17" s="76">
        <f t="shared" si="0"/>
        <v>-774240</v>
      </c>
      <c r="F17" s="77">
        <f t="shared" si="1"/>
        <v>-0.30239804650487007</v>
      </c>
      <c r="G17" s="65"/>
    </row>
    <row r="18" spans="1:7" ht="31.5" customHeight="1" x14ac:dyDescent="0.25">
      <c r="A18" s="71"/>
      <c r="B18" s="81" t="s">
        <v>77</v>
      </c>
      <c r="C18" s="79">
        <f>C16-C17</f>
        <v>69721620</v>
      </c>
      <c r="D18" s="79">
        <f>D16-D17</f>
        <v>62064046</v>
      </c>
      <c r="E18" s="79">
        <f t="shared" si="0"/>
        <v>-7657574</v>
      </c>
      <c r="F18" s="80">
        <f t="shared" si="1"/>
        <v>-0.10983069527070656</v>
      </c>
    </row>
    <row r="19" spans="1:7" ht="23.1" customHeight="1" x14ac:dyDescent="0.2">
      <c r="A19" s="74">
        <v>6</v>
      </c>
      <c r="B19" s="75" t="s">
        <v>78</v>
      </c>
      <c r="C19" s="76">
        <v>1026861</v>
      </c>
      <c r="D19" s="76">
        <v>981148</v>
      </c>
      <c r="E19" s="76">
        <f t="shared" si="0"/>
        <v>-45713</v>
      </c>
      <c r="F19" s="77">
        <f t="shared" si="1"/>
        <v>-4.4517222876319193E-2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130298</v>
      </c>
      <c r="D20" s="76">
        <v>18850</v>
      </c>
      <c r="E20" s="76">
        <f t="shared" si="0"/>
        <v>-111448</v>
      </c>
      <c r="F20" s="77">
        <f t="shared" si="1"/>
        <v>-0.85533162443015243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70878779</v>
      </c>
      <c r="D21" s="79">
        <f>SUM(D18:D20)</f>
        <v>63064044</v>
      </c>
      <c r="E21" s="79">
        <f t="shared" si="0"/>
        <v>-7814735</v>
      </c>
      <c r="F21" s="80">
        <f t="shared" si="1"/>
        <v>-0.11025493258003218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28966264</v>
      </c>
      <c r="D24" s="76">
        <v>24814588</v>
      </c>
      <c r="E24" s="76">
        <f t="shared" ref="E24:E33" si="2">D24-C24</f>
        <v>-4151676</v>
      </c>
      <c r="F24" s="77">
        <f t="shared" ref="F24:F33" si="3">IF(C24=0,0,E24/C24)</f>
        <v>-0.14332797629683966</v>
      </c>
    </row>
    <row r="25" spans="1:7" ht="23.1" customHeight="1" x14ac:dyDescent="0.2">
      <c r="A25" s="74">
        <v>2</v>
      </c>
      <c r="B25" s="75" t="s">
        <v>83</v>
      </c>
      <c r="C25" s="76">
        <v>8632365</v>
      </c>
      <c r="D25" s="76">
        <v>6580412</v>
      </c>
      <c r="E25" s="76">
        <f t="shared" si="2"/>
        <v>-2051953</v>
      </c>
      <c r="F25" s="77">
        <f t="shared" si="3"/>
        <v>-0.23770461513154276</v>
      </c>
    </row>
    <row r="26" spans="1:7" ht="23.1" customHeight="1" x14ac:dyDescent="0.2">
      <c r="A26" s="74">
        <v>3</v>
      </c>
      <c r="B26" s="75" t="s">
        <v>84</v>
      </c>
      <c r="C26" s="76">
        <v>6420799</v>
      </c>
      <c r="D26" s="76">
        <v>6700193</v>
      </c>
      <c r="E26" s="76">
        <f t="shared" si="2"/>
        <v>279394</v>
      </c>
      <c r="F26" s="77">
        <f t="shared" si="3"/>
        <v>4.3513899126884366E-2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9771389</v>
      </c>
      <c r="D27" s="76">
        <v>9063608</v>
      </c>
      <c r="E27" s="76">
        <f t="shared" si="2"/>
        <v>-707781</v>
      </c>
      <c r="F27" s="77">
        <f t="shared" si="3"/>
        <v>-7.2434021406782595E-2</v>
      </c>
    </row>
    <row r="28" spans="1:7" ht="23.1" customHeight="1" x14ac:dyDescent="0.2">
      <c r="A28" s="74">
        <v>5</v>
      </c>
      <c r="B28" s="75" t="s">
        <v>86</v>
      </c>
      <c r="C28" s="76">
        <v>5443180</v>
      </c>
      <c r="D28" s="76">
        <v>5477484</v>
      </c>
      <c r="E28" s="76">
        <f t="shared" si="2"/>
        <v>34304</v>
      </c>
      <c r="F28" s="77">
        <f t="shared" si="3"/>
        <v>6.3021983472896356E-3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263572</v>
      </c>
      <c r="D30" s="76">
        <v>128030</v>
      </c>
      <c r="E30" s="76">
        <f t="shared" si="2"/>
        <v>-135542</v>
      </c>
      <c r="F30" s="77">
        <f t="shared" si="3"/>
        <v>-0.51425037560894182</v>
      </c>
    </row>
    <row r="31" spans="1:7" ht="23.1" customHeight="1" x14ac:dyDescent="0.2">
      <c r="A31" s="74">
        <v>8</v>
      </c>
      <c r="B31" s="75" t="s">
        <v>89</v>
      </c>
      <c r="C31" s="76">
        <v>2065738</v>
      </c>
      <c r="D31" s="76">
        <v>2092746</v>
      </c>
      <c r="E31" s="76">
        <f t="shared" si="2"/>
        <v>27008</v>
      </c>
      <c r="F31" s="77">
        <f t="shared" si="3"/>
        <v>1.3074262079702267E-2</v>
      </c>
    </row>
    <row r="32" spans="1:7" ht="23.1" customHeight="1" x14ac:dyDescent="0.2">
      <c r="A32" s="74">
        <v>9</v>
      </c>
      <c r="B32" s="75" t="s">
        <v>90</v>
      </c>
      <c r="C32" s="76">
        <v>11398992</v>
      </c>
      <c r="D32" s="76">
        <v>10226137</v>
      </c>
      <c r="E32" s="76">
        <f t="shared" si="2"/>
        <v>-1172855</v>
      </c>
      <c r="F32" s="77">
        <f t="shared" si="3"/>
        <v>-0.10289111528457955</v>
      </c>
    </row>
    <row r="33" spans="1:6" ht="23.1" customHeight="1" x14ac:dyDescent="0.25">
      <c r="A33" s="71"/>
      <c r="B33" s="78" t="s">
        <v>91</v>
      </c>
      <c r="C33" s="79">
        <f>SUM(C24:C32)</f>
        <v>72962299</v>
      </c>
      <c r="D33" s="79">
        <f>SUM(D24:D32)</f>
        <v>65083198</v>
      </c>
      <c r="E33" s="79">
        <f t="shared" si="2"/>
        <v>-7879101</v>
      </c>
      <c r="F33" s="80">
        <f t="shared" si="3"/>
        <v>-0.10798866137702158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-2083520</v>
      </c>
      <c r="D35" s="79">
        <f>+D21-D33</f>
        <v>-2019154</v>
      </c>
      <c r="E35" s="79">
        <f>D35-C35</f>
        <v>64366</v>
      </c>
      <c r="F35" s="80">
        <f>IF(C35=0,0,E35/C35)</f>
        <v>-3.0892911995085242E-2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0</v>
      </c>
      <c r="D41" s="79">
        <f>SUM(D38:D40)</f>
        <v>0</v>
      </c>
      <c r="E41" s="79">
        <f>D41-C41</f>
        <v>0</v>
      </c>
      <c r="F41" s="80">
        <f>IF(C41=0,0,E41/C41)</f>
        <v>0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-2083520</v>
      </c>
      <c r="D43" s="79">
        <f>D35+D41</f>
        <v>-2019154</v>
      </c>
      <c r="E43" s="79">
        <f>D43-C43</f>
        <v>64366</v>
      </c>
      <c r="F43" s="80">
        <f>IF(C43=0,0,E43/C43)</f>
        <v>-3.0892911995085242E-2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-2083520</v>
      </c>
      <c r="D50" s="79">
        <f>D43+D48</f>
        <v>-2019154</v>
      </c>
      <c r="E50" s="79">
        <f>D50-C50</f>
        <v>64366</v>
      </c>
      <c r="F50" s="80">
        <f>IF(C50=0,0,E50/C50)</f>
        <v>-3.0892911995085242E-2</v>
      </c>
    </row>
    <row r="51" spans="1:6" ht="23.1" customHeight="1" x14ac:dyDescent="0.2">
      <c r="A51" s="85"/>
      <c r="B51" s="75" t="s">
        <v>104</v>
      </c>
      <c r="C51" s="76">
        <v>1508855</v>
      </c>
      <c r="D51" s="76">
        <v>1339233</v>
      </c>
      <c r="E51" s="76">
        <f>D51-C51</f>
        <v>-169622</v>
      </c>
      <c r="F51" s="77">
        <f>IF(C51=0,0,E51/C51)</f>
        <v>-0.11241769421183613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FILING&amp;RNEW MILFORD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B55" sqref="B55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26131519</v>
      </c>
      <c r="D14" s="113">
        <v>25333528</v>
      </c>
      <c r="E14" s="113">
        <f t="shared" ref="E14:E25" si="0">D14-C14</f>
        <v>-797991</v>
      </c>
      <c r="F14" s="114">
        <f t="shared" ref="F14:F25" si="1">IF(C14=0,0,E14/C14)</f>
        <v>-3.0537489994362746E-2</v>
      </c>
    </row>
    <row r="15" spans="1:6" x14ac:dyDescent="0.2">
      <c r="A15" s="115">
        <v>2</v>
      </c>
      <c r="B15" s="116" t="s">
        <v>114</v>
      </c>
      <c r="C15" s="113">
        <v>3274711</v>
      </c>
      <c r="D15" s="113">
        <v>3303838</v>
      </c>
      <c r="E15" s="113">
        <f t="shared" si="0"/>
        <v>29127</v>
      </c>
      <c r="F15" s="114">
        <f t="shared" si="1"/>
        <v>8.8945253489544577E-3</v>
      </c>
    </row>
    <row r="16" spans="1:6" x14ac:dyDescent="0.2">
      <c r="A16" s="115">
        <v>3</v>
      </c>
      <c r="B16" s="116" t="s">
        <v>115</v>
      </c>
      <c r="C16" s="113">
        <v>4213322</v>
      </c>
      <c r="D16" s="113">
        <v>4500265</v>
      </c>
      <c r="E16" s="113">
        <f t="shared" si="0"/>
        <v>286943</v>
      </c>
      <c r="F16" s="114">
        <f t="shared" si="1"/>
        <v>6.8103743317031076E-2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40134</v>
      </c>
      <c r="D18" s="113">
        <v>54360</v>
      </c>
      <c r="E18" s="113">
        <f t="shared" si="0"/>
        <v>14226</v>
      </c>
      <c r="F18" s="114">
        <f t="shared" si="1"/>
        <v>0.35446255045597247</v>
      </c>
    </row>
    <row r="19" spans="1:6" x14ac:dyDescent="0.2">
      <c r="A19" s="115">
        <v>6</v>
      </c>
      <c r="B19" s="116" t="s">
        <v>118</v>
      </c>
      <c r="C19" s="113">
        <v>945553</v>
      </c>
      <c r="D19" s="113">
        <v>985992</v>
      </c>
      <c r="E19" s="113">
        <f t="shared" si="0"/>
        <v>40439</v>
      </c>
      <c r="F19" s="114">
        <f t="shared" si="1"/>
        <v>4.2767565646769666E-2</v>
      </c>
    </row>
    <row r="20" spans="1:6" x14ac:dyDescent="0.2">
      <c r="A20" s="115">
        <v>7</v>
      </c>
      <c r="B20" s="116" t="s">
        <v>119</v>
      </c>
      <c r="C20" s="113">
        <v>11713504</v>
      </c>
      <c r="D20" s="113">
        <v>9754576</v>
      </c>
      <c r="E20" s="113">
        <f t="shared" si="0"/>
        <v>-1958928</v>
      </c>
      <c r="F20" s="114">
        <f t="shared" si="1"/>
        <v>-0.16723672096752604</v>
      </c>
    </row>
    <row r="21" spans="1:6" x14ac:dyDescent="0.2">
      <c r="A21" s="115">
        <v>8</v>
      </c>
      <c r="B21" s="116" t="s">
        <v>120</v>
      </c>
      <c r="C21" s="113">
        <v>759534</v>
      </c>
      <c r="D21" s="113">
        <v>770930</v>
      </c>
      <c r="E21" s="113">
        <f t="shared" si="0"/>
        <v>11396</v>
      </c>
      <c r="F21" s="114">
        <f t="shared" si="1"/>
        <v>1.5003936624298582E-2</v>
      </c>
    </row>
    <row r="22" spans="1:6" x14ac:dyDescent="0.2">
      <c r="A22" s="115">
        <v>9</v>
      </c>
      <c r="B22" s="116" t="s">
        <v>121</v>
      </c>
      <c r="C22" s="113">
        <v>622422</v>
      </c>
      <c r="D22" s="113">
        <v>412623</v>
      </c>
      <c r="E22" s="113">
        <f t="shared" si="0"/>
        <v>-209799</v>
      </c>
      <c r="F22" s="114">
        <f t="shared" si="1"/>
        <v>-0.33706874114346858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123882</v>
      </c>
      <c r="D24" s="113">
        <v>149801</v>
      </c>
      <c r="E24" s="113">
        <f t="shared" si="0"/>
        <v>25919</v>
      </c>
      <c r="F24" s="114">
        <f t="shared" si="1"/>
        <v>0.2092232931337886</v>
      </c>
    </row>
    <row r="25" spans="1:6" ht="15.75" x14ac:dyDescent="0.25">
      <c r="A25" s="117"/>
      <c r="B25" s="118" t="s">
        <v>124</v>
      </c>
      <c r="C25" s="119">
        <f>SUM(C14:C24)</f>
        <v>47824581</v>
      </c>
      <c r="D25" s="119">
        <f>SUM(D14:D24)</f>
        <v>45265913</v>
      </c>
      <c r="E25" s="119">
        <f t="shared" si="0"/>
        <v>-2558668</v>
      </c>
      <c r="F25" s="120">
        <f t="shared" si="1"/>
        <v>-5.3501106470749842E-2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49775839</v>
      </c>
      <c r="D27" s="113">
        <v>44719911</v>
      </c>
      <c r="E27" s="113">
        <f t="shared" ref="E27:E38" si="2">D27-C27</f>
        <v>-5055928</v>
      </c>
      <c r="F27" s="114">
        <f t="shared" ref="F27:F38" si="3">IF(C27=0,0,E27/C27)</f>
        <v>-0.10157393831171786</v>
      </c>
    </row>
    <row r="28" spans="1:6" x14ac:dyDescent="0.2">
      <c r="A28" s="115">
        <v>2</v>
      </c>
      <c r="B28" s="116" t="s">
        <v>114</v>
      </c>
      <c r="C28" s="113">
        <v>6329206</v>
      </c>
      <c r="D28" s="113">
        <v>6588864</v>
      </c>
      <c r="E28" s="113">
        <f t="shared" si="2"/>
        <v>259658</v>
      </c>
      <c r="F28" s="114">
        <f t="shared" si="3"/>
        <v>4.1025367162958515E-2</v>
      </c>
    </row>
    <row r="29" spans="1:6" x14ac:dyDescent="0.2">
      <c r="A29" s="115">
        <v>3</v>
      </c>
      <c r="B29" s="116" t="s">
        <v>115</v>
      </c>
      <c r="C29" s="113">
        <v>13357895</v>
      </c>
      <c r="D29" s="113">
        <v>15344001</v>
      </c>
      <c r="E29" s="113">
        <f t="shared" si="2"/>
        <v>1986106</v>
      </c>
      <c r="F29" s="114">
        <f t="shared" si="3"/>
        <v>0.14868405538447488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221308</v>
      </c>
      <c r="D31" s="113">
        <v>355009</v>
      </c>
      <c r="E31" s="113">
        <f t="shared" si="2"/>
        <v>133701</v>
      </c>
      <c r="F31" s="114">
        <f t="shared" si="3"/>
        <v>0.6041399316789271</v>
      </c>
    </row>
    <row r="32" spans="1:6" x14ac:dyDescent="0.2">
      <c r="A32" s="115">
        <v>6</v>
      </c>
      <c r="B32" s="116" t="s">
        <v>118</v>
      </c>
      <c r="C32" s="113">
        <v>5025832</v>
      </c>
      <c r="D32" s="113">
        <v>3902643</v>
      </c>
      <c r="E32" s="113">
        <f t="shared" si="2"/>
        <v>-1123189</v>
      </c>
      <c r="F32" s="114">
        <f t="shared" si="3"/>
        <v>-0.22348319641404646</v>
      </c>
    </row>
    <row r="33" spans="1:6" x14ac:dyDescent="0.2">
      <c r="A33" s="115">
        <v>7</v>
      </c>
      <c r="B33" s="116" t="s">
        <v>119</v>
      </c>
      <c r="C33" s="113">
        <v>56978993</v>
      </c>
      <c r="D33" s="113">
        <v>51911709</v>
      </c>
      <c r="E33" s="113">
        <f t="shared" si="2"/>
        <v>-5067284</v>
      </c>
      <c r="F33" s="114">
        <f t="shared" si="3"/>
        <v>-8.8932494823135963E-2</v>
      </c>
    </row>
    <row r="34" spans="1:6" x14ac:dyDescent="0.2">
      <c r="A34" s="115">
        <v>8</v>
      </c>
      <c r="B34" s="116" t="s">
        <v>120</v>
      </c>
      <c r="C34" s="113">
        <v>1571219</v>
      </c>
      <c r="D34" s="113">
        <v>1596254</v>
      </c>
      <c r="E34" s="113">
        <f t="shared" si="2"/>
        <v>25035</v>
      </c>
      <c r="F34" s="114">
        <f t="shared" si="3"/>
        <v>1.5933488584341203E-2</v>
      </c>
    </row>
    <row r="35" spans="1:6" x14ac:dyDescent="0.2">
      <c r="A35" s="115">
        <v>9</v>
      </c>
      <c r="B35" s="116" t="s">
        <v>121</v>
      </c>
      <c r="C35" s="113">
        <v>2743452</v>
      </c>
      <c r="D35" s="113">
        <v>2080141</v>
      </c>
      <c r="E35" s="113">
        <f t="shared" si="2"/>
        <v>-663311</v>
      </c>
      <c r="F35" s="114">
        <f t="shared" si="3"/>
        <v>-0.24177969944434968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333004</v>
      </c>
      <c r="D37" s="113">
        <v>372609</v>
      </c>
      <c r="E37" s="113">
        <f t="shared" si="2"/>
        <v>39605</v>
      </c>
      <c r="F37" s="114">
        <f t="shared" si="3"/>
        <v>0.11893250531525147</v>
      </c>
    </row>
    <row r="38" spans="1:6" ht="15.75" x14ac:dyDescent="0.25">
      <c r="A38" s="117"/>
      <c r="B38" s="118" t="s">
        <v>126</v>
      </c>
      <c r="C38" s="119">
        <f>SUM(C27:C37)</f>
        <v>136336748</v>
      </c>
      <c r="D38" s="119">
        <f>SUM(D27:D37)</f>
        <v>126871141</v>
      </c>
      <c r="E38" s="119">
        <f t="shared" si="2"/>
        <v>-9465607</v>
      </c>
      <c r="F38" s="120">
        <f t="shared" si="3"/>
        <v>-6.9428141266799179E-2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75907358</v>
      </c>
      <c r="D41" s="119">
        <f t="shared" si="4"/>
        <v>70053439</v>
      </c>
      <c r="E41" s="123">
        <f t="shared" ref="E41:E52" si="5">D41-C41</f>
        <v>-5853919</v>
      </c>
      <c r="F41" s="124">
        <f t="shared" ref="F41:F52" si="6">IF(C41=0,0,E41/C41)</f>
        <v>-7.7119256344029261E-2</v>
      </c>
    </row>
    <row r="42" spans="1:6" ht="15.75" x14ac:dyDescent="0.25">
      <c r="A42" s="121">
        <v>2</v>
      </c>
      <c r="B42" s="122" t="s">
        <v>114</v>
      </c>
      <c r="C42" s="119">
        <f t="shared" si="4"/>
        <v>9603917</v>
      </c>
      <c r="D42" s="119">
        <f t="shared" si="4"/>
        <v>9892702</v>
      </c>
      <c r="E42" s="123">
        <f t="shared" si="5"/>
        <v>288785</v>
      </c>
      <c r="F42" s="124">
        <f t="shared" si="6"/>
        <v>3.0069501850130523E-2</v>
      </c>
    </row>
    <row r="43" spans="1:6" ht="15.75" x14ac:dyDescent="0.25">
      <c r="A43" s="121">
        <v>3</v>
      </c>
      <c r="B43" s="122" t="s">
        <v>115</v>
      </c>
      <c r="C43" s="119">
        <f t="shared" si="4"/>
        <v>17571217</v>
      </c>
      <c r="D43" s="119">
        <f t="shared" si="4"/>
        <v>19844266</v>
      </c>
      <c r="E43" s="123">
        <f t="shared" si="5"/>
        <v>2273049</v>
      </c>
      <c r="F43" s="124">
        <f t="shared" si="6"/>
        <v>0.12936206979858025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261442</v>
      </c>
      <c r="D45" s="119">
        <f t="shared" si="4"/>
        <v>409369</v>
      </c>
      <c r="E45" s="123">
        <f t="shared" si="5"/>
        <v>147927</v>
      </c>
      <c r="F45" s="124">
        <f t="shared" si="6"/>
        <v>0.56581192004345127</v>
      </c>
    </row>
    <row r="46" spans="1:6" ht="15.75" x14ac:dyDescent="0.25">
      <c r="A46" s="121">
        <v>6</v>
      </c>
      <c r="B46" s="122" t="s">
        <v>118</v>
      </c>
      <c r="C46" s="119">
        <f t="shared" si="4"/>
        <v>5971385</v>
      </c>
      <c r="D46" s="119">
        <f t="shared" si="4"/>
        <v>4888635</v>
      </c>
      <c r="E46" s="123">
        <f t="shared" si="5"/>
        <v>-1082750</v>
      </c>
      <c r="F46" s="124">
        <f t="shared" si="6"/>
        <v>-0.18132309338620772</v>
      </c>
    </row>
    <row r="47" spans="1:6" ht="15.75" x14ac:dyDescent="0.25">
      <c r="A47" s="121">
        <v>7</v>
      </c>
      <c r="B47" s="122" t="s">
        <v>119</v>
      </c>
      <c r="C47" s="119">
        <f t="shared" si="4"/>
        <v>68692497</v>
      </c>
      <c r="D47" s="119">
        <f t="shared" si="4"/>
        <v>61666285</v>
      </c>
      <c r="E47" s="123">
        <f t="shared" si="5"/>
        <v>-7026212</v>
      </c>
      <c r="F47" s="124">
        <f t="shared" si="6"/>
        <v>-0.10228499918994065</v>
      </c>
    </row>
    <row r="48" spans="1:6" ht="15.75" x14ac:dyDescent="0.25">
      <c r="A48" s="121">
        <v>8</v>
      </c>
      <c r="B48" s="122" t="s">
        <v>120</v>
      </c>
      <c r="C48" s="119">
        <f t="shared" si="4"/>
        <v>2330753</v>
      </c>
      <c r="D48" s="119">
        <f t="shared" si="4"/>
        <v>2367184</v>
      </c>
      <c r="E48" s="123">
        <f t="shared" si="5"/>
        <v>36431</v>
      </c>
      <c r="F48" s="124">
        <f t="shared" si="6"/>
        <v>1.5630570892754402E-2</v>
      </c>
    </row>
    <row r="49" spans="1:6" ht="15.75" x14ac:dyDescent="0.25">
      <c r="A49" s="121">
        <v>9</v>
      </c>
      <c r="B49" s="122" t="s">
        <v>121</v>
      </c>
      <c r="C49" s="119">
        <f t="shared" si="4"/>
        <v>3365874</v>
      </c>
      <c r="D49" s="119">
        <f t="shared" si="4"/>
        <v>2492764</v>
      </c>
      <c r="E49" s="123">
        <f t="shared" si="5"/>
        <v>-873110</v>
      </c>
      <c r="F49" s="124">
        <f t="shared" si="6"/>
        <v>-0.25940067869444905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456886</v>
      </c>
      <c r="D51" s="119">
        <f t="shared" si="4"/>
        <v>522410</v>
      </c>
      <c r="E51" s="123">
        <f t="shared" si="5"/>
        <v>65524</v>
      </c>
      <c r="F51" s="124">
        <f t="shared" si="6"/>
        <v>0.14341433092718972</v>
      </c>
    </row>
    <row r="52" spans="1:6" ht="18.75" customHeight="1" thickBot="1" x14ac:dyDescent="0.3">
      <c r="A52" s="125"/>
      <c r="B52" s="126" t="s">
        <v>128</v>
      </c>
      <c r="C52" s="127">
        <f>SUM(C41:C51)</f>
        <v>184161329</v>
      </c>
      <c r="D52" s="128">
        <f>SUM(D41:D51)</f>
        <v>172137054</v>
      </c>
      <c r="E52" s="127">
        <f t="shared" si="5"/>
        <v>-12024275</v>
      </c>
      <c r="F52" s="129">
        <f t="shared" si="6"/>
        <v>-6.5292073342932924E-2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9895858</v>
      </c>
      <c r="D57" s="113">
        <v>8814866</v>
      </c>
      <c r="E57" s="113">
        <f t="shared" ref="E57:E68" si="7">D57-C57</f>
        <v>-1080992</v>
      </c>
      <c r="F57" s="114">
        <f t="shared" ref="F57:F68" si="8">IF(C57=0,0,E57/C57)</f>
        <v>-0.10923681402865724</v>
      </c>
    </row>
    <row r="58" spans="1:6" x14ac:dyDescent="0.2">
      <c r="A58" s="115">
        <v>2</v>
      </c>
      <c r="B58" s="116" t="s">
        <v>114</v>
      </c>
      <c r="C58" s="113">
        <v>1140317</v>
      </c>
      <c r="D58" s="113">
        <v>1083090</v>
      </c>
      <c r="E58" s="113">
        <f t="shared" si="7"/>
        <v>-57227</v>
      </c>
      <c r="F58" s="114">
        <f t="shared" si="8"/>
        <v>-5.0185167808600592E-2</v>
      </c>
    </row>
    <row r="59" spans="1:6" x14ac:dyDescent="0.2">
      <c r="A59" s="115">
        <v>3</v>
      </c>
      <c r="B59" s="116" t="s">
        <v>115</v>
      </c>
      <c r="C59" s="113">
        <v>1425738</v>
      </c>
      <c r="D59" s="113">
        <v>1375687</v>
      </c>
      <c r="E59" s="113">
        <f t="shared" si="7"/>
        <v>-50051</v>
      </c>
      <c r="F59" s="114">
        <f t="shared" si="8"/>
        <v>-3.5105327907371482E-2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37373</v>
      </c>
      <c r="D61" s="113">
        <v>20173</v>
      </c>
      <c r="E61" s="113">
        <f t="shared" si="7"/>
        <v>-17200</v>
      </c>
      <c r="F61" s="114">
        <f t="shared" si="8"/>
        <v>-0.46022529633692771</v>
      </c>
    </row>
    <row r="62" spans="1:6" x14ac:dyDescent="0.2">
      <c r="A62" s="115">
        <v>6</v>
      </c>
      <c r="B62" s="116" t="s">
        <v>118</v>
      </c>
      <c r="C62" s="113">
        <v>420233</v>
      </c>
      <c r="D62" s="113">
        <v>380615</v>
      </c>
      <c r="E62" s="113">
        <f t="shared" si="7"/>
        <v>-39618</v>
      </c>
      <c r="F62" s="114">
        <f t="shared" si="8"/>
        <v>-9.4276270545149948E-2</v>
      </c>
    </row>
    <row r="63" spans="1:6" x14ac:dyDescent="0.2">
      <c r="A63" s="115">
        <v>7</v>
      </c>
      <c r="B63" s="116" t="s">
        <v>119</v>
      </c>
      <c r="C63" s="113">
        <v>5953276</v>
      </c>
      <c r="D63" s="113">
        <v>4483648</v>
      </c>
      <c r="E63" s="113">
        <f t="shared" si="7"/>
        <v>-1469628</v>
      </c>
      <c r="F63" s="114">
        <f t="shared" si="8"/>
        <v>-0.24686038409776398</v>
      </c>
    </row>
    <row r="64" spans="1:6" x14ac:dyDescent="0.2">
      <c r="A64" s="115">
        <v>8</v>
      </c>
      <c r="B64" s="116" t="s">
        <v>120</v>
      </c>
      <c r="C64" s="113">
        <v>369766</v>
      </c>
      <c r="D64" s="113">
        <v>365991</v>
      </c>
      <c r="E64" s="113">
        <f t="shared" si="7"/>
        <v>-3775</v>
      </c>
      <c r="F64" s="114">
        <f t="shared" si="8"/>
        <v>-1.0209159306155785E-2</v>
      </c>
    </row>
    <row r="65" spans="1:6" x14ac:dyDescent="0.2">
      <c r="A65" s="115">
        <v>9</v>
      </c>
      <c r="B65" s="116" t="s">
        <v>121</v>
      </c>
      <c r="C65" s="113">
        <v>41073</v>
      </c>
      <c r="D65" s="113">
        <v>47065</v>
      </c>
      <c r="E65" s="113">
        <f t="shared" si="7"/>
        <v>5992</v>
      </c>
      <c r="F65" s="114">
        <f t="shared" si="8"/>
        <v>0.14588659216516933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41920</v>
      </c>
      <c r="D67" s="113">
        <v>45792</v>
      </c>
      <c r="E67" s="113">
        <f t="shared" si="7"/>
        <v>3872</v>
      </c>
      <c r="F67" s="114">
        <f t="shared" si="8"/>
        <v>9.2366412213740465E-2</v>
      </c>
    </row>
    <row r="68" spans="1:6" ht="15.75" x14ac:dyDescent="0.25">
      <c r="A68" s="117"/>
      <c r="B68" s="118" t="s">
        <v>131</v>
      </c>
      <c r="C68" s="119">
        <f>SUM(C57:C67)</f>
        <v>19325554</v>
      </c>
      <c r="D68" s="119">
        <f>SUM(D57:D67)</f>
        <v>16616927</v>
      </c>
      <c r="E68" s="119">
        <f t="shared" si="7"/>
        <v>-2708627</v>
      </c>
      <c r="F68" s="120">
        <f t="shared" si="8"/>
        <v>-0.14015779314787044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10611477</v>
      </c>
      <c r="D70" s="113">
        <v>8945521</v>
      </c>
      <c r="E70" s="113">
        <f t="shared" ref="E70:E81" si="9">D70-C70</f>
        <v>-1665956</v>
      </c>
      <c r="F70" s="114">
        <f t="shared" ref="F70:F81" si="10">IF(C70=0,0,E70/C70)</f>
        <v>-0.15699567553131388</v>
      </c>
    </row>
    <row r="71" spans="1:6" x14ac:dyDescent="0.2">
      <c r="A71" s="115">
        <v>2</v>
      </c>
      <c r="B71" s="116" t="s">
        <v>114</v>
      </c>
      <c r="C71" s="113">
        <v>1444852</v>
      </c>
      <c r="D71" s="113">
        <v>1397560</v>
      </c>
      <c r="E71" s="113">
        <f t="shared" si="9"/>
        <v>-47292</v>
      </c>
      <c r="F71" s="114">
        <f t="shared" si="10"/>
        <v>-3.2731380099830294E-2</v>
      </c>
    </row>
    <row r="72" spans="1:6" x14ac:dyDescent="0.2">
      <c r="A72" s="115">
        <v>3</v>
      </c>
      <c r="B72" s="116" t="s">
        <v>115</v>
      </c>
      <c r="C72" s="113">
        <v>3088780</v>
      </c>
      <c r="D72" s="113">
        <v>3609723</v>
      </c>
      <c r="E72" s="113">
        <f t="shared" si="9"/>
        <v>520943</v>
      </c>
      <c r="F72" s="114">
        <f t="shared" si="10"/>
        <v>0.16865655695776327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49868</v>
      </c>
      <c r="D74" s="113">
        <v>67442</v>
      </c>
      <c r="E74" s="113">
        <f t="shared" si="9"/>
        <v>17574</v>
      </c>
      <c r="F74" s="114">
        <f t="shared" si="10"/>
        <v>0.35241036335926845</v>
      </c>
    </row>
    <row r="75" spans="1:6" x14ac:dyDescent="0.2">
      <c r="A75" s="115">
        <v>6</v>
      </c>
      <c r="B75" s="116" t="s">
        <v>118</v>
      </c>
      <c r="C75" s="113">
        <v>2653060</v>
      </c>
      <c r="D75" s="113">
        <v>2199320</v>
      </c>
      <c r="E75" s="113">
        <f t="shared" si="9"/>
        <v>-453740</v>
      </c>
      <c r="F75" s="114">
        <f t="shared" si="10"/>
        <v>-0.17102515585776423</v>
      </c>
    </row>
    <row r="76" spans="1:6" x14ac:dyDescent="0.2">
      <c r="A76" s="115">
        <v>7</v>
      </c>
      <c r="B76" s="116" t="s">
        <v>119</v>
      </c>
      <c r="C76" s="113">
        <v>31474845</v>
      </c>
      <c r="D76" s="113">
        <v>28574879</v>
      </c>
      <c r="E76" s="113">
        <f t="shared" si="9"/>
        <v>-2899966</v>
      </c>
      <c r="F76" s="114">
        <f t="shared" si="10"/>
        <v>-9.2135989867464005E-2</v>
      </c>
    </row>
    <row r="77" spans="1:6" x14ac:dyDescent="0.2">
      <c r="A77" s="115">
        <v>8</v>
      </c>
      <c r="B77" s="116" t="s">
        <v>120</v>
      </c>
      <c r="C77" s="113">
        <v>1033687</v>
      </c>
      <c r="D77" s="113">
        <v>1008376</v>
      </c>
      <c r="E77" s="113">
        <f t="shared" si="9"/>
        <v>-25311</v>
      </c>
      <c r="F77" s="114">
        <f t="shared" si="10"/>
        <v>-2.4486135551670864E-2</v>
      </c>
    </row>
    <row r="78" spans="1:6" x14ac:dyDescent="0.2">
      <c r="A78" s="115">
        <v>9</v>
      </c>
      <c r="B78" s="116" t="s">
        <v>121</v>
      </c>
      <c r="C78" s="113">
        <v>181039</v>
      </c>
      <c r="D78" s="113">
        <v>237266</v>
      </c>
      <c r="E78" s="113">
        <f t="shared" si="9"/>
        <v>56227</v>
      </c>
      <c r="F78" s="114">
        <f t="shared" si="10"/>
        <v>0.31057948839752758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77001</v>
      </c>
      <c r="D80" s="113">
        <v>87657</v>
      </c>
      <c r="E80" s="113">
        <f t="shared" si="9"/>
        <v>10656</v>
      </c>
      <c r="F80" s="114">
        <f t="shared" si="10"/>
        <v>0.13838781314528384</v>
      </c>
    </row>
    <row r="81" spans="1:6" ht="15.75" x14ac:dyDescent="0.25">
      <c r="A81" s="117"/>
      <c r="B81" s="118" t="s">
        <v>133</v>
      </c>
      <c r="C81" s="119">
        <f>SUM(C70:C80)</f>
        <v>50614609</v>
      </c>
      <c r="D81" s="119">
        <f>SUM(D70:D80)</f>
        <v>46127744</v>
      </c>
      <c r="E81" s="119">
        <f t="shared" si="9"/>
        <v>-4486865</v>
      </c>
      <c r="F81" s="120">
        <f t="shared" si="10"/>
        <v>-8.8647627407336088E-2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20507335</v>
      </c>
      <c r="D84" s="119">
        <f t="shared" si="11"/>
        <v>17760387</v>
      </c>
      <c r="E84" s="119">
        <f t="shared" ref="E84:E95" si="12">D84-C84</f>
        <v>-2746948</v>
      </c>
      <c r="F84" s="120">
        <f t="shared" ref="F84:F95" si="13">IF(C84=0,0,E84/C84)</f>
        <v>-0.13394953561737788</v>
      </c>
    </row>
    <row r="85" spans="1:6" ht="15.75" x14ac:dyDescent="0.25">
      <c r="A85" s="130">
        <v>2</v>
      </c>
      <c r="B85" s="122" t="s">
        <v>114</v>
      </c>
      <c r="C85" s="119">
        <f t="shared" si="11"/>
        <v>2585169</v>
      </c>
      <c r="D85" s="119">
        <f t="shared" si="11"/>
        <v>2480650</v>
      </c>
      <c r="E85" s="119">
        <f t="shared" si="12"/>
        <v>-104519</v>
      </c>
      <c r="F85" s="120">
        <f t="shared" si="13"/>
        <v>-4.043023879676725E-2</v>
      </c>
    </row>
    <row r="86" spans="1:6" ht="15.75" x14ac:dyDescent="0.25">
      <c r="A86" s="130">
        <v>3</v>
      </c>
      <c r="B86" s="122" t="s">
        <v>115</v>
      </c>
      <c r="C86" s="119">
        <f t="shared" si="11"/>
        <v>4514518</v>
      </c>
      <c r="D86" s="119">
        <f t="shared" si="11"/>
        <v>4985410</v>
      </c>
      <c r="E86" s="119">
        <f t="shared" si="12"/>
        <v>470892</v>
      </c>
      <c r="F86" s="120">
        <f t="shared" si="13"/>
        <v>0.10430615184168056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87241</v>
      </c>
      <c r="D88" s="119">
        <f t="shared" si="11"/>
        <v>87615</v>
      </c>
      <c r="E88" s="119">
        <f t="shared" si="12"/>
        <v>374</v>
      </c>
      <c r="F88" s="120">
        <f t="shared" si="13"/>
        <v>4.2869751607615683E-3</v>
      </c>
    </row>
    <row r="89" spans="1:6" ht="15.75" x14ac:dyDescent="0.25">
      <c r="A89" s="130">
        <v>6</v>
      </c>
      <c r="B89" s="122" t="s">
        <v>118</v>
      </c>
      <c r="C89" s="119">
        <f t="shared" si="11"/>
        <v>3073293</v>
      </c>
      <c r="D89" s="119">
        <f t="shared" si="11"/>
        <v>2579935</v>
      </c>
      <c r="E89" s="119">
        <f t="shared" si="12"/>
        <v>-493358</v>
      </c>
      <c r="F89" s="120">
        <f t="shared" si="13"/>
        <v>-0.16053074015396515</v>
      </c>
    </row>
    <row r="90" spans="1:6" ht="15.75" x14ac:dyDescent="0.25">
      <c r="A90" s="130">
        <v>7</v>
      </c>
      <c r="B90" s="122" t="s">
        <v>119</v>
      </c>
      <c r="C90" s="119">
        <f t="shared" si="11"/>
        <v>37428121</v>
      </c>
      <c r="D90" s="119">
        <f t="shared" si="11"/>
        <v>33058527</v>
      </c>
      <c r="E90" s="119">
        <f t="shared" si="12"/>
        <v>-4369594</v>
      </c>
      <c r="F90" s="120">
        <f t="shared" si="13"/>
        <v>-0.11674628282835785</v>
      </c>
    </row>
    <row r="91" spans="1:6" ht="15.75" x14ac:dyDescent="0.25">
      <c r="A91" s="130">
        <v>8</v>
      </c>
      <c r="B91" s="122" t="s">
        <v>120</v>
      </c>
      <c r="C91" s="119">
        <f t="shared" si="11"/>
        <v>1403453</v>
      </c>
      <c r="D91" s="119">
        <f t="shared" si="11"/>
        <v>1374367</v>
      </c>
      <c r="E91" s="119">
        <f t="shared" si="12"/>
        <v>-29086</v>
      </c>
      <c r="F91" s="120">
        <f t="shared" si="13"/>
        <v>-2.0724598543734631E-2</v>
      </c>
    </row>
    <row r="92" spans="1:6" ht="15.75" x14ac:dyDescent="0.25">
      <c r="A92" s="130">
        <v>9</v>
      </c>
      <c r="B92" s="122" t="s">
        <v>121</v>
      </c>
      <c r="C92" s="119">
        <f t="shared" si="11"/>
        <v>222112</v>
      </c>
      <c r="D92" s="119">
        <f t="shared" si="11"/>
        <v>284331</v>
      </c>
      <c r="E92" s="119">
        <f t="shared" si="12"/>
        <v>62219</v>
      </c>
      <c r="F92" s="120">
        <f t="shared" si="13"/>
        <v>0.28012444172309464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118921</v>
      </c>
      <c r="D94" s="119">
        <f t="shared" si="11"/>
        <v>133449</v>
      </c>
      <c r="E94" s="119">
        <f t="shared" si="12"/>
        <v>14528</v>
      </c>
      <c r="F94" s="120">
        <f t="shared" si="13"/>
        <v>0.12216513483741308</v>
      </c>
    </row>
    <row r="95" spans="1:6" ht="18.75" customHeight="1" thickBot="1" x14ac:dyDescent="0.3">
      <c r="A95" s="131"/>
      <c r="B95" s="132" t="s">
        <v>134</v>
      </c>
      <c r="C95" s="128">
        <f>SUM(C84:C94)</f>
        <v>69940163</v>
      </c>
      <c r="D95" s="128">
        <f>SUM(D84:D94)</f>
        <v>62744671</v>
      </c>
      <c r="E95" s="128">
        <f t="shared" si="12"/>
        <v>-7195492</v>
      </c>
      <c r="F95" s="129">
        <f t="shared" si="13"/>
        <v>-0.1028806867378905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958</v>
      </c>
      <c r="D100" s="133">
        <v>918</v>
      </c>
      <c r="E100" s="133">
        <f t="shared" ref="E100:E111" si="14">D100-C100</f>
        <v>-40</v>
      </c>
      <c r="F100" s="114">
        <f t="shared" ref="F100:F111" si="15">IF(C100=0,0,E100/C100)</f>
        <v>-4.1753653444676408E-2</v>
      </c>
    </row>
    <row r="101" spans="1:6" x14ac:dyDescent="0.2">
      <c r="A101" s="115">
        <v>2</v>
      </c>
      <c r="B101" s="116" t="s">
        <v>114</v>
      </c>
      <c r="C101" s="133">
        <v>125</v>
      </c>
      <c r="D101" s="133">
        <v>129</v>
      </c>
      <c r="E101" s="133">
        <f t="shared" si="14"/>
        <v>4</v>
      </c>
      <c r="F101" s="114">
        <f t="shared" si="15"/>
        <v>3.2000000000000001E-2</v>
      </c>
    </row>
    <row r="102" spans="1:6" x14ac:dyDescent="0.2">
      <c r="A102" s="115">
        <v>3</v>
      </c>
      <c r="B102" s="116" t="s">
        <v>115</v>
      </c>
      <c r="C102" s="133">
        <v>188</v>
      </c>
      <c r="D102" s="133">
        <v>123</v>
      </c>
      <c r="E102" s="133">
        <f t="shared" si="14"/>
        <v>-65</v>
      </c>
      <c r="F102" s="114">
        <f t="shared" si="15"/>
        <v>-0.34574468085106386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</v>
      </c>
      <c r="D104" s="133">
        <v>2</v>
      </c>
      <c r="E104" s="133">
        <f t="shared" si="14"/>
        <v>0</v>
      </c>
      <c r="F104" s="114">
        <f t="shared" si="15"/>
        <v>0</v>
      </c>
    </row>
    <row r="105" spans="1:6" x14ac:dyDescent="0.2">
      <c r="A105" s="115">
        <v>6</v>
      </c>
      <c r="B105" s="116" t="s">
        <v>118</v>
      </c>
      <c r="C105" s="133">
        <v>40</v>
      </c>
      <c r="D105" s="133">
        <v>52</v>
      </c>
      <c r="E105" s="133">
        <f t="shared" si="14"/>
        <v>12</v>
      </c>
      <c r="F105" s="114">
        <f t="shared" si="15"/>
        <v>0.3</v>
      </c>
    </row>
    <row r="106" spans="1:6" x14ac:dyDescent="0.2">
      <c r="A106" s="115">
        <v>7</v>
      </c>
      <c r="B106" s="116" t="s">
        <v>119</v>
      </c>
      <c r="C106" s="133">
        <v>454</v>
      </c>
      <c r="D106" s="133">
        <v>356</v>
      </c>
      <c r="E106" s="133">
        <f t="shared" si="14"/>
        <v>-98</v>
      </c>
      <c r="F106" s="114">
        <f t="shared" si="15"/>
        <v>-0.21585903083700442</v>
      </c>
    </row>
    <row r="107" spans="1:6" x14ac:dyDescent="0.2">
      <c r="A107" s="115">
        <v>8</v>
      </c>
      <c r="B107" s="116" t="s">
        <v>120</v>
      </c>
      <c r="C107" s="133">
        <v>13</v>
      </c>
      <c r="D107" s="133">
        <v>15</v>
      </c>
      <c r="E107" s="133">
        <f t="shared" si="14"/>
        <v>2</v>
      </c>
      <c r="F107" s="114">
        <f t="shared" si="15"/>
        <v>0.15384615384615385</v>
      </c>
    </row>
    <row r="108" spans="1:6" x14ac:dyDescent="0.2">
      <c r="A108" s="115">
        <v>9</v>
      </c>
      <c r="B108" s="116" t="s">
        <v>121</v>
      </c>
      <c r="C108" s="133">
        <v>38</v>
      </c>
      <c r="D108" s="133">
        <v>35</v>
      </c>
      <c r="E108" s="133">
        <f t="shared" si="14"/>
        <v>-3</v>
      </c>
      <c r="F108" s="114">
        <f t="shared" si="15"/>
        <v>-7.8947368421052627E-2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6</v>
      </c>
      <c r="D110" s="133">
        <v>6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1824</v>
      </c>
      <c r="D111" s="134">
        <f>SUM(D100:D110)</f>
        <v>1636</v>
      </c>
      <c r="E111" s="134">
        <f t="shared" si="14"/>
        <v>-188</v>
      </c>
      <c r="F111" s="120">
        <f t="shared" si="15"/>
        <v>-0.10307017543859649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4069</v>
      </c>
      <c r="D113" s="133">
        <v>4026</v>
      </c>
      <c r="E113" s="133">
        <f t="shared" ref="E113:E124" si="16">D113-C113</f>
        <v>-43</v>
      </c>
      <c r="F113" s="114">
        <f t="shared" ref="F113:F124" si="17">IF(C113=0,0,E113/C113)</f>
        <v>-1.0567707053330056E-2</v>
      </c>
    </row>
    <row r="114" spans="1:6" x14ac:dyDescent="0.2">
      <c r="A114" s="115">
        <v>2</v>
      </c>
      <c r="B114" s="116" t="s">
        <v>114</v>
      </c>
      <c r="C114" s="133">
        <v>524</v>
      </c>
      <c r="D114" s="133">
        <v>544</v>
      </c>
      <c r="E114" s="133">
        <f t="shared" si="16"/>
        <v>20</v>
      </c>
      <c r="F114" s="114">
        <f t="shared" si="17"/>
        <v>3.8167938931297711E-2</v>
      </c>
    </row>
    <row r="115" spans="1:6" x14ac:dyDescent="0.2">
      <c r="A115" s="115">
        <v>3</v>
      </c>
      <c r="B115" s="116" t="s">
        <v>115</v>
      </c>
      <c r="C115" s="133">
        <v>703</v>
      </c>
      <c r="D115" s="133">
        <v>668</v>
      </c>
      <c r="E115" s="133">
        <f t="shared" si="16"/>
        <v>-35</v>
      </c>
      <c r="F115" s="114">
        <f t="shared" si="17"/>
        <v>-4.9786628733997154E-2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3</v>
      </c>
      <c r="D117" s="133">
        <v>6</v>
      </c>
      <c r="E117" s="133">
        <f t="shared" si="16"/>
        <v>3</v>
      </c>
      <c r="F117" s="114">
        <f t="shared" si="17"/>
        <v>1</v>
      </c>
    </row>
    <row r="118" spans="1:6" x14ac:dyDescent="0.2">
      <c r="A118" s="115">
        <v>6</v>
      </c>
      <c r="B118" s="116" t="s">
        <v>118</v>
      </c>
      <c r="C118" s="133">
        <v>122</v>
      </c>
      <c r="D118" s="133">
        <v>152</v>
      </c>
      <c r="E118" s="133">
        <f t="shared" si="16"/>
        <v>30</v>
      </c>
      <c r="F118" s="114">
        <f t="shared" si="17"/>
        <v>0.24590163934426229</v>
      </c>
    </row>
    <row r="119" spans="1:6" x14ac:dyDescent="0.2">
      <c r="A119" s="115">
        <v>7</v>
      </c>
      <c r="B119" s="116" t="s">
        <v>119</v>
      </c>
      <c r="C119" s="133">
        <v>1444</v>
      </c>
      <c r="D119" s="133">
        <v>1138</v>
      </c>
      <c r="E119" s="133">
        <f t="shared" si="16"/>
        <v>-306</v>
      </c>
      <c r="F119" s="114">
        <f t="shared" si="17"/>
        <v>-0.21191135734072022</v>
      </c>
    </row>
    <row r="120" spans="1:6" x14ac:dyDescent="0.2">
      <c r="A120" s="115">
        <v>8</v>
      </c>
      <c r="B120" s="116" t="s">
        <v>120</v>
      </c>
      <c r="C120" s="133">
        <v>28</v>
      </c>
      <c r="D120" s="133">
        <v>35</v>
      </c>
      <c r="E120" s="133">
        <f t="shared" si="16"/>
        <v>7</v>
      </c>
      <c r="F120" s="114">
        <f t="shared" si="17"/>
        <v>0.25</v>
      </c>
    </row>
    <row r="121" spans="1:6" x14ac:dyDescent="0.2">
      <c r="A121" s="115">
        <v>9</v>
      </c>
      <c r="B121" s="116" t="s">
        <v>121</v>
      </c>
      <c r="C121" s="133">
        <v>111</v>
      </c>
      <c r="D121" s="133">
        <v>117</v>
      </c>
      <c r="E121" s="133">
        <f t="shared" si="16"/>
        <v>6</v>
      </c>
      <c r="F121" s="114">
        <f t="shared" si="17"/>
        <v>5.4054054054054057E-2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13</v>
      </c>
      <c r="D123" s="133">
        <v>30</v>
      </c>
      <c r="E123" s="133">
        <f t="shared" si="16"/>
        <v>17</v>
      </c>
      <c r="F123" s="114">
        <f t="shared" si="17"/>
        <v>1.3076923076923077</v>
      </c>
    </row>
    <row r="124" spans="1:6" ht="15.75" x14ac:dyDescent="0.25">
      <c r="A124" s="117"/>
      <c r="B124" s="118" t="s">
        <v>140</v>
      </c>
      <c r="C124" s="134">
        <f>SUM(C113:C123)</f>
        <v>7017</v>
      </c>
      <c r="D124" s="134">
        <f>SUM(D113:D123)</f>
        <v>6716</v>
      </c>
      <c r="E124" s="134">
        <f t="shared" si="16"/>
        <v>-301</v>
      </c>
      <c r="F124" s="120">
        <f t="shared" si="17"/>
        <v>-4.2895824426393045E-2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17995</v>
      </c>
      <c r="D126" s="133">
        <v>17381</v>
      </c>
      <c r="E126" s="133">
        <f t="shared" ref="E126:E137" si="18">D126-C126</f>
        <v>-614</v>
      </c>
      <c r="F126" s="114">
        <f t="shared" ref="F126:F137" si="19">IF(C126=0,0,E126/C126)</f>
        <v>-3.412058905251459E-2</v>
      </c>
    </row>
    <row r="127" spans="1:6" x14ac:dyDescent="0.2">
      <c r="A127" s="115">
        <v>2</v>
      </c>
      <c r="B127" s="116" t="s">
        <v>114</v>
      </c>
      <c r="C127" s="133">
        <v>2091</v>
      </c>
      <c r="D127" s="133">
        <v>2375</v>
      </c>
      <c r="E127" s="133">
        <f t="shared" si="18"/>
        <v>284</v>
      </c>
      <c r="F127" s="114">
        <f t="shared" si="19"/>
        <v>0.13582018173122909</v>
      </c>
    </row>
    <row r="128" spans="1:6" x14ac:dyDescent="0.2">
      <c r="A128" s="115">
        <v>3</v>
      </c>
      <c r="B128" s="116" t="s">
        <v>115</v>
      </c>
      <c r="C128" s="133">
        <v>9291</v>
      </c>
      <c r="D128" s="133">
        <v>9842</v>
      </c>
      <c r="E128" s="133">
        <f t="shared" si="18"/>
        <v>551</v>
      </c>
      <c r="F128" s="114">
        <f t="shared" si="19"/>
        <v>5.9304703476482618E-2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123</v>
      </c>
      <c r="D130" s="133">
        <v>163</v>
      </c>
      <c r="E130" s="133">
        <f t="shared" si="18"/>
        <v>40</v>
      </c>
      <c r="F130" s="114">
        <f t="shared" si="19"/>
        <v>0.32520325203252032</v>
      </c>
    </row>
    <row r="131" spans="1:6" x14ac:dyDescent="0.2">
      <c r="A131" s="115">
        <v>6</v>
      </c>
      <c r="B131" s="116" t="s">
        <v>118</v>
      </c>
      <c r="C131" s="133">
        <v>2341</v>
      </c>
      <c r="D131" s="133">
        <v>2002</v>
      </c>
      <c r="E131" s="133">
        <f t="shared" si="18"/>
        <v>-339</v>
      </c>
      <c r="F131" s="114">
        <f t="shared" si="19"/>
        <v>-0.14480991029474582</v>
      </c>
    </row>
    <row r="132" spans="1:6" x14ac:dyDescent="0.2">
      <c r="A132" s="115">
        <v>7</v>
      </c>
      <c r="B132" s="116" t="s">
        <v>119</v>
      </c>
      <c r="C132" s="133">
        <v>23582</v>
      </c>
      <c r="D132" s="133">
        <v>21980</v>
      </c>
      <c r="E132" s="133">
        <f t="shared" si="18"/>
        <v>-1602</v>
      </c>
      <c r="F132" s="114">
        <f t="shared" si="19"/>
        <v>-6.7933169366465943E-2</v>
      </c>
    </row>
    <row r="133" spans="1:6" x14ac:dyDescent="0.2">
      <c r="A133" s="115">
        <v>8</v>
      </c>
      <c r="B133" s="116" t="s">
        <v>120</v>
      </c>
      <c r="C133" s="133">
        <v>672</v>
      </c>
      <c r="D133" s="133">
        <v>670</v>
      </c>
      <c r="E133" s="133">
        <f t="shared" si="18"/>
        <v>-2</v>
      </c>
      <c r="F133" s="114">
        <f t="shared" si="19"/>
        <v>-2.976190476190476E-3</v>
      </c>
    </row>
    <row r="134" spans="1:6" x14ac:dyDescent="0.2">
      <c r="A134" s="115">
        <v>9</v>
      </c>
      <c r="B134" s="116" t="s">
        <v>121</v>
      </c>
      <c r="C134" s="133">
        <v>1805</v>
      </c>
      <c r="D134" s="133">
        <v>1494</v>
      </c>
      <c r="E134" s="133">
        <f t="shared" si="18"/>
        <v>-311</v>
      </c>
      <c r="F134" s="114">
        <f t="shared" si="19"/>
        <v>-0.17229916897506925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238</v>
      </c>
      <c r="D136" s="133">
        <v>224</v>
      </c>
      <c r="E136" s="133">
        <f t="shared" si="18"/>
        <v>-14</v>
      </c>
      <c r="F136" s="114">
        <f t="shared" si="19"/>
        <v>-5.8823529411764705E-2</v>
      </c>
    </row>
    <row r="137" spans="1:6" ht="15.75" x14ac:dyDescent="0.25">
      <c r="A137" s="117"/>
      <c r="B137" s="118" t="s">
        <v>142</v>
      </c>
      <c r="C137" s="134">
        <f>SUM(C126:C136)</f>
        <v>58138</v>
      </c>
      <c r="D137" s="134">
        <f>SUM(D126:D136)</f>
        <v>56131</v>
      </c>
      <c r="E137" s="134">
        <f t="shared" si="18"/>
        <v>-2007</v>
      </c>
      <c r="F137" s="120">
        <f t="shared" si="19"/>
        <v>-3.4521311362619975E-2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5596262</v>
      </c>
      <c r="D142" s="113">
        <v>5858288</v>
      </c>
      <c r="E142" s="113">
        <f t="shared" ref="E142:E153" si="20">D142-C142</f>
        <v>262026</v>
      </c>
      <c r="F142" s="114">
        <f t="shared" ref="F142:F153" si="21">IF(C142=0,0,E142/C142)</f>
        <v>4.6821610567911225E-2</v>
      </c>
    </row>
    <row r="143" spans="1:6" x14ac:dyDescent="0.2">
      <c r="A143" s="115">
        <v>2</v>
      </c>
      <c r="B143" s="116" t="s">
        <v>114</v>
      </c>
      <c r="C143" s="113">
        <v>764282</v>
      </c>
      <c r="D143" s="113">
        <v>863832</v>
      </c>
      <c r="E143" s="113">
        <f t="shared" si="20"/>
        <v>99550</v>
      </c>
      <c r="F143" s="114">
        <f t="shared" si="21"/>
        <v>0.13025296945368334</v>
      </c>
    </row>
    <row r="144" spans="1:6" x14ac:dyDescent="0.2">
      <c r="A144" s="115">
        <v>3</v>
      </c>
      <c r="B144" s="116" t="s">
        <v>115</v>
      </c>
      <c r="C144" s="113">
        <v>4743583</v>
      </c>
      <c r="D144" s="113">
        <v>4760966</v>
      </c>
      <c r="E144" s="113">
        <f t="shared" si="20"/>
        <v>17383</v>
      </c>
      <c r="F144" s="114">
        <f t="shared" si="21"/>
        <v>3.6645295338987426E-3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90541</v>
      </c>
      <c r="D146" s="113">
        <v>114114</v>
      </c>
      <c r="E146" s="113">
        <f t="shared" si="20"/>
        <v>23573</v>
      </c>
      <c r="F146" s="114">
        <f t="shared" si="21"/>
        <v>0.26035718624711457</v>
      </c>
    </row>
    <row r="147" spans="1:6" x14ac:dyDescent="0.2">
      <c r="A147" s="115">
        <v>6</v>
      </c>
      <c r="B147" s="116" t="s">
        <v>118</v>
      </c>
      <c r="C147" s="113">
        <v>1214745</v>
      </c>
      <c r="D147" s="113">
        <v>1358514</v>
      </c>
      <c r="E147" s="113">
        <f t="shared" si="20"/>
        <v>143769</v>
      </c>
      <c r="F147" s="114">
        <f t="shared" si="21"/>
        <v>0.11835323462949014</v>
      </c>
    </row>
    <row r="148" spans="1:6" x14ac:dyDescent="0.2">
      <c r="A148" s="115">
        <v>7</v>
      </c>
      <c r="B148" s="116" t="s">
        <v>119</v>
      </c>
      <c r="C148" s="113">
        <v>11133229</v>
      </c>
      <c r="D148" s="113">
        <v>10485611</v>
      </c>
      <c r="E148" s="113">
        <f t="shared" si="20"/>
        <v>-647618</v>
      </c>
      <c r="F148" s="114">
        <f t="shared" si="21"/>
        <v>-5.8169826561548316E-2</v>
      </c>
    </row>
    <row r="149" spans="1:6" x14ac:dyDescent="0.2">
      <c r="A149" s="115">
        <v>8</v>
      </c>
      <c r="B149" s="116" t="s">
        <v>120</v>
      </c>
      <c r="C149" s="113">
        <v>618950</v>
      </c>
      <c r="D149" s="113">
        <v>686606</v>
      </c>
      <c r="E149" s="113">
        <f t="shared" si="20"/>
        <v>67656</v>
      </c>
      <c r="F149" s="114">
        <f t="shared" si="21"/>
        <v>0.10930769852168996</v>
      </c>
    </row>
    <row r="150" spans="1:6" x14ac:dyDescent="0.2">
      <c r="A150" s="115">
        <v>9</v>
      </c>
      <c r="B150" s="116" t="s">
        <v>121</v>
      </c>
      <c r="C150" s="113">
        <v>1457821</v>
      </c>
      <c r="D150" s="113">
        <v>1349274</v>
      </c>
      <c r="E150" s="113">
        <f t="shared" si="20"/>
        <v>-108547</v>
      </c>
      <c r="F150" s="114">
        <f t="shared" si="21"/>
        <v>-7.4458386866425988E-2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294433</v>
      </c>
      <c r="D152" s="113">
        <v>328369</v>
      </c>
      <c r="E152" s="113">
        <f t="shared" si="20"/>
        <v>33936</v>
      </c>
      <c r="F152" s="114">
        <f t="shared" si="21"/>
        <v>0.11525881949373881</v>
      </c>
    </row>
    <row r="153" spans="1:6" ht="33.75" customHeight="1" x14ac:dyDescent="0.25">
      <c r="A153" s="117"/>
      <c r="B153" s="118" t="s">
        <v>146</v>
      </c>
      <c r="C153" s="119">
        <f>SUM(C142:C152)</f>
        <v>25913846</v>
      </c>
      <c r="D153" s="119">
        <f>SUM(D142:D152)</f>
        <v>25805574</v>
      </c>
      <c r="E153" s="119">
        <f t="shared" si="20"/>
        <v>-108272</v>
      </c>
      <c r="F153" s="120">
        <f t="shared" si="21"/>
        <v>-4.1781524826534815E-3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1242389</v>
      </c>
      <c r="D155" s="113">
        <v>1396959</v>
      </c>
      <c r="E155" s="113">
        <f t="shared" ref="E155:E166" si="22">D155-C155</f>
        <v>154570</v>
      </c>
      <c r="F155" s="114">
        <f t="shared" ref="F155:F166" si="23">IF(C155=0,0,E155/C155)</f>
        <v>0.12441352909595947</v>
      </c>
    </row>
    <row r="156" spans="1:6" x14ac:dyDescent="0.2">
      <c r="A156" s="115">
        <v>2</v>
      </c>
      <c r="B156" s="116" t="s">
        <v>114</v>
      </c>
      <c r="C156" s="113">
        <v>169982</v>
      </c>
      <c r="D156" s="113">
        <v>219529</v>
      </c>
      <c r="E156" s="113">
        <f t="shared" si="22"/>
        <v>49547</v>
      </c>
      <c r="F156" s="114">
        <f t="shared" si="23"/>
        <v>0.29148380416750008</v>
      </c>
    </row>
    <row r="157" spans="1:6" x14ac:dyDescent="0.2">
      <c r="A157" s="115">
        <v>3</v>
      </c>
      <c r="B157" s="116" t="s">
        <v>115</v>
      </c>
      <c r="C157" s="113">
        <v>1032127</v>
      </c>
      <c r="D157" s="113">
        <v>1011658</v>
      </c>
      <c r="E157" s="113">
        <f t="shared" si="22"/>
        <v>-20469</v>
      </c>
      <c r="F157" s="114">
        <f t="shared" si="23"/>
        <v>-1.9831861776699961E-2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19896</v>
      </c>
      <c r="D159" s="113">
        <v>26196</v>
      </c>
      <c r="E159" s="113">
        <f t="shared" si="22"/>
        <v>6300</v>
      </c>
      <c r="F159" s="114">
        <f t="shared" si="23"/>
        <v>0.31664656212303982</v>
      </c>
    </row>
    <row r="160" spans="1:6" x14ac:dyDescent="0.2">
      <c r="A160" s="115">
        <v>6</v>
      </c>
      <c r="B160" s="116" t="s">
        <v>118</v>
      </c>
      <c r="C160" s="113">
        <v>694352</v>
      </c>
      <c r="D160" s="113">
        <v>722543</v>
      </c>
      <c r="E160" s="113">
        <f t="shared" si="22"/>
        <v>28191</v>
      </c>
      <c r="F160" s="114">
        <f t="shared" si="23"/>
        <v>4.0600444731202619E-2</v>
      </c>
    </row>
    <row r="161" spans="1:6" x14ac:dyDescent="0.2">
      <c r="A161" s="115">
        <v>7</v>
      </c>
      <c r="B161" s="116" t="s">
        <v>119</v>
      </c>
      <c r="C161" s="113">
        <v>5980791</v>
      </c>
      <c r="D161" s="113">
        <v>5714243</v>
      </c>
      <c r="E161" s="113">
        <f t="shared" si="22"/>
        <v>-266548</v>
      </c>
      <c r="F161" s="114">
        <f t="shared" si="23"/>
        <v>-4.4567349034600939E-2</v>
      </c>
    </row>
    <row r="162" spans="1:6" x14ac:dyDescent="0.2">
      <c r="A162" s="115">
        <v>8</v>
      </c>
      <c r="B162" s="116" t="s">
        <v>120</v>
      </c>
      <c r="C162" s="113">
        <v>377688</v>
      </c>
      <c r="D162" s="113">
        <v>411563</v>
      </c>
      <c r="E162" s="113">
        <f t="shared" si="22"/>
        <v>33875</v>
      </c>
      <c r="F162" s="114">
        <f t="shared" si="23"/>
        <v>8.969043231450298E-2</v>
      </c>
    </row>
    <row r="163" spans="1:6" x14ac:dyDescent="0.2">
      <c r="A163" s="115">
        <v>9</v>
      </c>
      <c r="B163" s="116" t="s">
        <v>121</v>
      </c>
      <c r="C163" s="113">
        <v>129293</v>
      </c>
      <c r="D163" s="113">
        <v>125001</v>
      </c>
      <c r="E163" s="113">
        <f t="shared" si="22"/>
        <v>-4292</v>
      </c>
      <c r="F163" s="114">
        <f t="shared" si="23"/>
        <v>-3.3195919345981609E-2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42659</v>
      </c>
      <c r="D165" s="113">
        <v>45911</v>
      </c>
      <c r="E165" s="113">
        <f t="shared" si="22"/>
        <v>3252</v>
      </c>
      <c r="F165" s="114">
        <f t="shared" si="23"/>
        <v>7.6232448018003232E-2</v>
      </c>
    </row>
    <row r="166" spans="1:6" ht="33.75" customHeight="1" x14ac:dyDescent="0.25">
      <c r="A166" s="117"/>
      <c r="B166" s="118" t="s">
        <v>148</v>
      </c>
      <c r="C166" s="119">
        <f>SUM(C155:C165)</f>
        <v>9689177</v>
      </c>
      <c r="D166" s="119">
        <f>SUM(D155:D165)</f>
        <v>9673603</v>
      </c>
      <c r="E166" s="119">
        <f t="shared" si="22"/>
        <v>-15574</v>
      </c>
      <c r="F166" s="120">
        <f t="shared" si="23"/>
        <v>-1.6073604600266875E-3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2891</v>
      </c>
      <c r="D168" s="133">
        <v>2731</v>
      </c>
      <c r="E168" s="133">
        <f t="shared" ref="E168:E179" si="24">D168-C168</f>
        <v>-160</v>
      </c>
      <c r="F168" s="114">
        <f t="shared" ref="F168:F179" si="25">IF(C168=0,0,E168/C168)</f>
        <v>-5.534417156693186E-2</v>
      </c>
    </row>
    <row r="169" spans="1:6" x14ac:dyDescent="0.2">
      <c r="A169" s="115">
        <v>2</v>
      </c>
      <c r="B169" s="116" t="s">
        <v>114</v>
      </c>
      <c r="C169" s="133">
        <v>382</v>
      </c>
      <c r="D169" s="133">
        <v>408</v>
      </c>
      <c r="E169" s="133">
        <f t="shared" si="24"/>
        <v>26</v>
      </c>
      <c r="F169" s="114">
        <f t="shared" si="25"/>
        <v>6.8062827225130892E-2</v>
      </c>
    </row>
    <row r="170" spans="1:6" x14ac:dyDescent="0.2">
      <c r="A170" s="115">
        <v>3</v>
      </c>
      <c r="B170" s="116" t="s">
        <v>115</v>
      </c>
      <c r="C170" s="133">
        <v>3402</v>
      </c>
      <c r="D170" s="133">
        <v>3258</v>
      </c>
      <c r="E170" s="133">
        <f t="shared" si="24"/>
        <v>-144</v>
      </c>
      <c r="F170" s="114">
        <f t="shared" si="25"/>
        <v>-4.2328042328042326E-2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52</v>
      </c>
      <c r="D172" s="133">
        <v>68</v>
      </c>
      <c r="E172" s="133">
        <f t="shared" si="24"/>
        <v>16</v>
      </c>
      <c r="F172" s="114">
        <f t="shared" si="25"/>
        <v>0.30769230769230771</v>
      </c>
    </row>
    <row r="173" spans="1:6" x14ac:dyDescent="0.2">
      <c r="A173" s="115">
        <v>6</v>
      </c>
      <c r="B173" s="116" t="s">
        <v>118</v>
      </c>
      <c r="C173" s="133">
        <v>773</v>
      </c>
      <c r="D173" s="133">
        <v>744</v>
      </c>
      <c r="E173" s="133">
        <f t="shared" si="24"/>
        <v>-29</v>
      </c>
      <c r="F173" s="114">
        <f t="shared" si="25"/>
        <v>-3.7516170763260026E-2</v>
      </c>
    </row>
    <row r="174" spans="1:6" x14ac:dyDescent="0.2">
      <c r="A174" s="115">
        <v>7</v>
      </c>
      <c r="B174" s="116" t="s">
        <v>119</v>
      </c>
      <c r="C174" s="133">
        <v>6487</v>
      </c>
      <c r="D174" s="133">
        <v>5897</v>
      </c>
      <c r="E174" s="133">
        <f t="shared" si="24"/>
        <v>-590</v>
      </c>
      <c r="F174" s="114">
        <f t="shared" si="25"/>
        <v>-9.0951133035301376E-2</v>
      </c>
    </row>
    <row r="175" spans="1:6" x14ac:dyDescent="0.2">
      <c r="A175" s="115">
        <v>8</v>
      </c>
      <c r="B175" s="116" t="s">
        <v>120</v>
      </c>
      <c r="C175" s="133">
        <v>480</v>
      </c>
      <c r="D175" s="133">
        <v>498</v>
      </c>
      <c r="E175" s="133">
        <f t="shared" si="24"/>
        <v>18</v>
      </c>
      <c r="F175" s="114">
        <f t="shared" si="25"/>
        <v>3.7499999999999999E-2</v>
      </c>
    </row>
    <row r="176" spans="1:6" x14ac:dyDescent="0.2">
      <c r="A176" s="115">
        <v>9</v>
      </c>
      <c r="B176" s="116" t="s">
        <v>121</v>
      </c>
      <c r="C176" s="133">
        <v>1015</v>
      </c>
      <c r="D176" s="133">
        <v>832</v>
      </c>
      <c r="E176" s="133">
        <f t="shared" si="24"/>
        <v>-183</v>
      </c>
      <c r="F176" s="114">
        <f t="shared" si="25"/>
        <v>-0.18029556650246306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233</v>
      </c>
      <c r="D178" s="133">
        <v>218</v>
      </c>
      <c r="E178" s="133">
        <f t="shared" si="24"/>
        <v>-15</v>
      </c>
      <c r="F178" s="114">
        <f t="shared" si="25"/>
        <v>-6.4377682403433473E-2</v>
      </c>
    </row>
    <row r="179" spans="1:6" ht="33.75" customHeight="1" x14ac:dyDescent="0.25">
      <c r="A179" s="117"/>
      <c r="B179" s="118" t="s">
        <v>150</v>
      </c>
      <c r="C179" s="134">
        <f>SUM(C168:C178)</f>
        <v>15715</v>
      </c>
      <c r="D179" s="134">
        <f>SUM(D168:D178)</f>
        <v>14654</v>
      </c>
      <c r="E179" s="134">
        <f t="shared" si="24"/>
        <v>-1061</v>
      </c>
      <c r="F179" s="120">
        <f t="shared" si="25"/>
        <v>-6.7515112949411385E-2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FILING&amp;RNEW MILFORD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10411751</v>
      </c>
      <c r="D15" s="157">
        <v>8258188</v>
      </c>
      <c r="E15" s="157">
        <f>+D15-C15</f>
        <v>-2153563</v>
      </c>
      <c r="F15" s="161">
        <f>IF(C15=0,0,E15/C15)</f>
        <v>-0.20683965646124269</v>
      </c>
    </row>
    <row r="16" spans="1:6" ht="15" customHeight="1" x14ac:dyDescent="0.2">
      <c r="A16" s="147">
        <v>2</v>
      </c>
      <c r="B16" s="160" t="s">
        <v>157</v>
      </c>
      <c r="C16" s="157">
        <v>352875</v>
      </c>
      <c r="D16" s="157">
        <v>268454</v>
      </c>
      <c r="E16" s="157">
        <f>+D16-C16</f>
        <v>-84421</v>
      </c>
      <c r="F16" s="161">
        <f>IF(C16=0,0,E16/C16)</f>
        <v>-0.23923769040028339</v>
      </c>
    </row>
    <row r="17" spans="1:6" ht="15" customHeight="1" x14ac:dyDescent="0.2">
      <c r="A17" s="147">
        <v>3</v>
      </c>
      <c r="B17" s="160" t="s">
        <v>158</v>
      </c>
      <c r="C17" s="157">
        <v>18201638</v>
      </c>
      <c r="D17" s="157">
        <v>16287946</v>
      </c>
      <c r="E17" s="157">
        <f>+D17-C17</f>
        <v>-1913692</v>
      </c>
      <c r="F17" s="161">
        <f>IF(C17=0,0,E17/C17)</f>
        <v>-0.10513844962744562</v>
      </c>
    </row>
    <row r="18" spans="1:6" ht="15.75" customHeight="1" x14ac:dyDescent="0.25">
      <c r="A18" s="147"/>
      <c r="B18" s="162" t="s">
        <v>159</v>
      </c>
      <c r="C18" s="158">
        <f>SUM(C15:C17)</f>
        <v>28966264</v>
      </c>
      <c r="D18" s="158">
        <f>SUM(D15:D17)</f>
        <v>24814588</v>
      </c>
      <c r="E18" s="158">
        <f>+D18-C18</f>
        <v>-4151676</v>
      </c>
      <c r="F18" s="159">
        <f>IF(C18=0,0,E18/C18)</f>
        <v>-0.14332797629683966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3102852</v>
      </c>
      <c r="D21" s="157">
        <v>2189934</v>
      </c>
      <c r="E21" s="157">
        <f>+D21-C21</f>
        <v>-912918</v>
      </c>
      <c r="F21" s="161">
        <f>IF(C21=0,0,E21/C21)</f>
        <v>-0.2942189959430872</v>
      </c>
    </row>
    <row r="22" spans="1:6" ht="15" customHeight="1" x14ac:dyDescent="0.2">
      <c r="A22" s="147">
        <v>2</v>
      </c>
      <c r="B22" s="160" t="s">
        <v>162</v>
      </c>
      <c r="C22" s="157">
        <v>105162</v>
      </c>
      <c r="D22" s="157">
        <v>71189</v>
      </c>
      <c r="E22" s="157">
        <f>+D22-C22</f>
        <v>-33973</v>
      </c>
      <c r="F22" s="161">
        <f>IF(C22=0,0,E22/C22)</f>
        <v>-0.32305395485061145</v>
      </c>
    </row>
    <row r="23" spans="1:6" ht="15" customHeight="1" x14ac:dyDescent="0.2">
      <c r="A23" s="147">
        <v>3</v>
      </c>
      <c r="B23" s="160" t="s">
        <v>163</v>
      </c>
      <c r="C23" s="157">
        <v>5424351</v>
      </c>
      <c r="D23" s="157">
        <v>4319289</v>
      </c>
      <c r="E23" s="157">
        <f>+D23-C23</f>
        <v>-1105062</v>
      </c>
      <c r="F23" s="161">
        <f>IF(C23=0,0,E23/C23)</f>
        <v>-0.20372243610341587</v>
      </c>
    </row>
    <row r="24" spans="1:6" ht="15.75" customHeight="1" x14ac:dyDescent="0.25">
      <c r="A24" s="147"/>
      <c r="B24" s="162" t="s">
        <v>164</v>
      </c>
      <c r="C24" s="158">
        <f>SUM(C21:C23)</f>
        <v>8632365</v>
      </c>
      <c r="D24" s="158">
        <f>SUM(D21:D23)</f>
        <v>6580412</v>
      </c>
      <c r="E24" s="158">
        <f>+D24-C24</f>
        <v>-2051953</v>
      </c>
      <c r="F24" s="159">
        <f>IF(C24=0,0,E24/C24)</f>
        <v>-0.23770461513154276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6420799</v>
      </c>
      <c r="D28" s="157">
        <v>6700193</v>
      </c>
      <c r="E28" s="157">
        <f>+D28-C28</f>
        <v>279394</v>
      </c>
      <c r="F28" s="161">
        <f>IF(C28=0,0,E28/C28)</f>
        <v>4.3513899126884366E-2</v>
      </c>
    </row>
    <row r="29" spans="1:6" ht="15" customHeight="1" x14ac:dyDescent="0.2">
      <c r="A29" s="147">
        <v>3</v>
      </c>
      <c r="B29" s="160" t="s">
        <v>168</v>
      </c>
      <c r="C29" s="157">
        <v>82781</v>
      </c>
      <c r="D29" s="157">
        <v>3726</v>
      </c>
      <c r="E29" s="157">
        <f>+D29-C29</f>
        <v>-79055</v>
      </c>
      <c r="F29" s="161">
        <f>IF(C29=0,0,E29/C29)</f>
        <v>-0.95498967154298686</v>
      </c>
    </row>
    <row r="30" spans="1:6" ht="15.75" customHeight="1" x14ac:dyDescent="0.25">
      <c r="A30" s="147"/>
      <c r="B30" s="162" t="s">
        <v>169</v>
      </c>
      <c r="C30" s="158">
        <f>SUM(C27:C29)</f>
        <v>6503580</v>
      </c>
      <c r="D30" s="158">
        <f>SUM(D27:D29)</f>
        <v>6703919</v>
      </c>
      <c r="E30" s="158">
        <f>+D30-C30</f>
        <v>200339</v>
      </c>
      <c r="F30" s="159">
        <f>IF(C30=0,0,E30/C30)</f>
        <v>3.0804418489508854E-2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5504762</v>
      </c>
      <c r="D33" s="157">
        <v>4789622</v>
      </c>
      <c r="E33" s="157">
        <f>+D33-C33</f>
        <v>-715140</v>
      </c>
      <c r="F33" s="161">
        <f>IF(C33=0,0,E33/C33)</f>
        <v>-0.12991297353091741</v>
      </c>
    </row>
    <row r="34" spans="1:6" ht="15" customHeight="1" x14ac:dyDescent="0.2">
      <c r="A34" s="147">
        <v>2</v>
      </c>
      <c r="B34" s="160" t="s">
        <v>173</v>
      </c>
      <c r="C34" s="157">
        <v>4266627</v>
      </c>
      <c r="D34" s="157">
        <v>4273986</v>
      </c>
      <c r="E34" s="157">
        <f>+D34-C34</f>
        <v>7359</v>
      </c>
      <c r="F34" s="161">
        <f>IF(C34=0,0,E34/C34)</f>
        <v>1.7247816600794962E-3</v>
      </c>
    </row>
    <row r="35" spans="1:6" ht="15.75" customHeight="1" x14ac:dyDescent="0.25">
      <c r="A35" s="147"/>
      <c r="B35" s="162" t="s">
        <v>174</v>
      </c>
      <c r="C35" s="158">
        <f>SUM(C33:C34)</f>
        <v>9771389</v>
      </c>
      <c r="D35" s="158">
        <f>SUM(D33:D34)</f>
        <v>9063608</v>
      </c>
      <c r="E35" s="158">
        <f>+D35-C35</f>
        <v>-707781</v>
      </c>
      <c r="F35" s="159">
        <f>IF(C35=0,0,E35/C35)</f>
        <v>-7.2434021406782595E-2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1904702</v>
      </c>
      <c r="D38" s="157">
        <v>1989583</v>
      </c>
      <c r="E38" s="157">
        <f>+D38-C38</f>
        <v>84881</v>
      </c>
      <c r="F38" s="161">
        <f>IF(C38=0,0,E38/C38)</f>
        <v>4.4563926535489538E-2</v>
      </c>
    </row>
    <row r="39" spans="1:6" ht="15" customHeight="1" x14ac:dyDescent="0.2">
      <c r="A39" s="147">
        <v>2</v>
      </c>
      <c r="B39" s="160" t="s">
        <v>178</v>
      </c>
      <c r="C39" s="157">
        <v>3192397</v>
      </c>
      <c r="D39" s="157">
        <v>3141821</v>
      </c>
      <c r="E39" s="157">
        <f>+D39-C39</f>
        <v>-50576</v>
      </c>
      <c r="F39" s="161">
        <f>IF(C39=0,0,E39/C39)</f>
        <v>-1.5842641125148282E-2</v>
      </c>
    </row>
    <row r="40" spans="1:6" ht="15" customHeight="1" x14ac:dyDescent="0.2">
      <c r="A40" s="147">
        <v>3</v>
      </c>
      <c r="B40" s="160" t="s">
        <v>179</v>
      </c>
      <c r="C40" s="157">
        <v>346081</v>
      </c>
      <c r="D40" s="157">
        <v>346080</v>
      </c>
      <c r="E40" s="157">
        <f>+D40-C40</f>
        <v>-1</v>
      </c>
      <c r="F40" s="161">
        <f>IF(C40=0,0,E40/C40)</f>
        <v>-2.8894969674729325E-6</v>
      </c>
    </row>
    <row r="41" spans="1:6" ht="15.75" customHeight="1" x14ac:dyDescent="0.25">
      <c r="A41" s="147"/>
      <c r="B41" s="162" t="s">
        <v>180</v>
      </c>
      <c r="C41" s="158">
        <f>SUM(C38:C40)</f>
        <v>5443180</v>
      </c>
      <c r="D41" s="158">
        <f>SUM(D38:D40)</f>
        <v>5477484</v>
      </c>
      <c r="E41" s="158">
        <f>+D41-C41</f>
        <v>34304</v>
      </c>
      <c r="F41" s="159">
        <f>IF(C41=0,0,E41/C41)</f>
        <v>6.3021983472896356E-3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263572</v>
      </c>
      <c r="D47" s="157">
        <v>128030</v>
      </c>
      <c r="E47" s="157">
        <f>+D47-C47</f>
        <v>-135542</v>
      </c>
      <c r="F47" s="161">
        <f>IF(C47=0,0,E47/C47)</f>
        <v>-0.51425037560894182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2065738</v>
      </c>
      <c r="D50" s="157">
        <v>2092746</v>
      </c>
      <c r="E50" s="157">
        <f>+D50-C50</f>
        <v>27008</v>
      </c>
      <c r="F50" s="161">
        <f>IF(C50=0,0,E50/C50)</f>
        <v>1.3074262079702267E-2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107821</v>
      </c>
      <c r="D53" s="157">
        <v>88064</v>
      </c>
      <c r="E53" s="157">
        <f t="shared" ref="E53:E59" si="0">+D53-C53</f>
        <v>-19757</v>
      </c>
      <c r="F53" s="161">
        <f t="shared" ref="F53:F59" si="1">IF(C53=0,0,E53/C53)</f>
        <v>-0.18323888667328256</v>
      </c>
    </row>
    <row r="54" spans="1:6" ht="15" customHeight="1" x14ac:dyDescent="0.2">
      <c r="A54" s="147">
        <v>2</v>
      </c>
      <c r="B54" s="160" t="s">
        <v>189</v>
      </c>
      <c r="C54" s="157">
        <v>196341</v>
      </c>
      <c r="D54" s="157">
        <v>239322</v>
      </c>
      <c r="E54" s="157">
        <f t="shared" si="0"/>
        <v>42981</v>
      </c>
      <c r="F54" s="161">
        <f t="shared" si="1"/>
        <v>0.2189099576756765</v>
      </c>
    </row>
    <row r="55" spans="1:6" ht="15" customHeight="1" x14ac:dyDescent="0.2">
      <c r="A55" s="147">
        <v>3</v>
      </c>
      <c r="B55" s="160" t="s">
        <v>190</v>
      </c>
      <c r="C55" s="157">
        <v>58196</v>
      </c>
      <c r="D55" s="157">
        <v>77771</v>
      </c>
      <c r="E55" s="157">
        <f t="shared" si="0"/>
        <v>19575</v>
      </c>
      <c r="F55" s="161">
        <f t="shared" si="1"/>
        <v>0.33636332393978968</v>
      </c>
    </row>
    <row r="56" spans="1:6" ht="15" customHeight="1" x14ac:dyDescent="0.2">
      <c r="A56" s="147">
        <v>4</v>
      </c>
      <c r="B56" s="160" t="s">
        <v>191</v>
      </c>
      <c r="C56" s="157">
        <v>748381</v>
      </c>
      <c r="D56" s="157">
        <v>729281</v>
      </c>
      <c r="E56" s="157">
        <f t="shared" si="0"/>
        <v>-19100</v>
      </c>
      <c r="F56" s="161">
        <f t="shared" si="1"/>
        <v>-2.5521759638472918E-2</v>
      </c>
    </row>
    <row r="57" spans="1:6" ht="15" customHeight="1" x14ac:dyDescent="0.2">
      <c r="A57" s="147">
        <v>5</v>
      </c>
      <c r="B57" s="160" t="s">
        <v>192</v>
      </c>
      <c r="C57" s="157">
        <v>173673</v>
      </c>
      <c r="D57" s="157">
        <v>175612</v>
      </c>
      <c r="E57" s="157">
        <f t="shared" si="0"/>
        <v>1939</v>
      </c>
      <c r="F57" s="161">
        <f t="shared" si="1"/>
        <v>1.1164660021995359E-2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1284412</v>
      </c>
      <c r="D59" s="158">
        <f>SUM(D53:D58)</f>
        <v>1310050</v>
      </c>
      <c r="E59" s="158">
        <f t="shared" si="0"/>
        <v>25638</v>
      </c>
      <c r="F59" s="159">
        <f t="shared" si="1"/>
        <v>1.996088482511842E-2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137201</v>
      </c>
      <c r="D62" s="157">
        <v>190929</v>
      </c>
      <c r="E62" s="157">
        <f t="shared" ref="E62:E90" si="2">+D62-C62</f>
        <v>53728</v>
      </c>
      <c r="F62" s="161">
        <f t="shared" ref="F62:F90" si="3">IF(C62=0,0,E62/C62)</f>
        <v>0.39160064431017266</v>
      </c>
    </row>
    <row r="63" spans="1:6" ht="15" customHeight="1" x14ac:dyDescent="0.2">
      <c r="A63" s="147">
        <v>2</v>
      </c>
      <c r="B63" s="160" t="s">
        <v>198</v>
      </c>
      <c r="C63" s="157">
        <v>105602</v>
      </c>
      <c r="D63" s="157">
        <v>28086</v>
      </c>
      <c r="E63" s="157">
        <f t="shared" si="2"/>
        <v>-77516</v>
      </c>
      <c r="F63" s="161">
        <f t="shared" si="3"/>
        <v>-0.73403912804681726</v>
      </c>
    </row>
    <row r="64" spans="1:6" ht="15" customHeight="1" x14ac:dyDescent="0.2">
      <c r="A64" s="147">
        <v>3</v>
      </c>
      <c r="B64" s="160" t="s">
        <v>199</v>
      </c>
      <c r="C64" s="157">
        <v>130770</v>
      </c>
      <c r="D64" s="157">
        <v>132799</v>
      </c>
      <c r="E64" s="157">
        <f t="shared" si="2"/>
        <v>2029</v>
      </c>
      <c r="F64" s="161">
        <f t="shared" si="3"/>
        <v>1.5515791083581861E-2</v>
      </c>
    </row>
    <row r="65" spans="1:6" ht="15" customHeight="1" x14ac:dyDescent="0.2">
      <c r="A65" s="147">
        <v>4</v>
      </c>
      <c r="B65" s="160" t="s">
        <v>200</v>
      </c>
      <c r="C65" s="157">
        <v>205521</v>
      </c>
      <c r="D65" s="157">
        <v>256088</v>
      </c>
      <c r="E65" s="157">
        <f t="shared" si="2"/>
        <v>50567</v>
      </c>
      <c r="F65" s="161">
        <f t="shared" si="3"/>
        <v>0.24604298344208134</v>
      </c>
    </row>
    <row r="66" spans="1:6" ht="15" customHeight="1" x14ac:dyDescent="0.2">
      <c r="A66" s="147">
        <v>5</v>
      </c>
      <c r="B66" s="160" t="s">
        <v>201</v>
      </c>
      <c r="C66" s="157">
        <v>664495</v>
      </c>
      <c r="D66" s="157">
        <v>600253</v>
      </c>
      <c r="E66" s="157">
        <f t="shared" si="2"/>
        <v>-64242</v>
      </c>
      <c r="F66" s="161">
        <f t="shared" si="3"/>
        <v>-9.6677928351605352E-2</v>
      </c>
    </row>
    <row r="67" spans="1:6" ht="15" customHeight="1" x14ac:dyDescent="0.2">
      <c r="A67" s="147">
        <v>6</v>
      </c>
      <c r="B67" s="160" t="s">
        <v>202</v>
      </c>
      <c r="C67" s="157">
        <v>87311</v>
      </c>
      <c r="D67" s="157">
        <v>61389</v>
      </c>
      <c r="E67" s="157">
        <f t="shared" si="2"/>
        <v>-25922</v>
      </c>
      <c r="F67" s="161">
        <f t="shared" si="3"/>
        <v>-0.29689271683980256</v>
      </c>
    </row>
    <row r="68" spans="1:6" ht="15" customHeight="1" x14ac:dyDescent="0.2">
      <c r="A68" s="147">
        <v>7</v>
      </c>
      <c r="B68" s="160" t="s">
        <v>203</v>
      </c>
      <c r="C68" s="157">
        <v>1387877</v>
      </c>
      <c r="D68" s="157">
        <v>1254223</v>
      </c>
      <c r="E68" s="157">
        <f t="shared" si="2"/>
        <v>-133654</v>
      </c>
      <c r="F68" s="161">
        <f t="shared" si="3"/>
        <v>-9.6301041086493983E-2</v>
      </c>
    </row>
    <row r="69" spans="1:6" ht="15" customHeight="1" x14ac:dyDescent="0.2">
      <c r="A69" s="147">
        <v>8</v>
      </c>
      <c r="B69" s="160" t="s">
        <v>204</v>
      </c>
      <c r="C69" s="157">
        <v>87997</v>
      </c>
      <c r="D69" s="157">
        <v>116428</v>
      </c>
      <c r="E69" s="157">
        <f t="shared" si="2"/>
        <v>28431</v>
      </c>
      <c r="F69" s="161">
        <f t="shared" si="3"/>
        <v>0.32309055990545132</v>
      </c>
    </row>
    <row r="70" spans="1:6" ht="15" customHeight="1" x14ac:dyDescent="0.2">
      <c r="A70" s="147">
        <v>9</v>
      </c>
      <c r="B70" s="160" t="s">
        <v>205</v>
      </c>
      <c r="C70" s="157">
        <v>77864</v>
      </c>
      <c r="D70" s="157">
        <v>58565</v>
      </c>
      <c r="E70" s="157">
        <f t="shared" si="2"/>
        <v>-19299</v>
      </c>
      <c r="F70" s="161">
        <f t="shared" si="3"/>
        <v>-0.24785523476831398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19631</v>
      </c>
      <c r="D72" s="157">
        <v>14310</v>
      </c>
      <c r="E72" s="157">
        <f t="shared" si="2"/>
        <v>-5321</v>
      </c>
      <c r="F72" s="161">
        <f t="shared" si="3"/>
        <v>-0.27105088890020884</v>
      </c>
    </row>
    <row r="73" spans="1:6" ht="15" customHeight="1" x14ac:dyDescent="0.2">
      <c r="A73" s="147">
        <v>12</v>
      </c>
      <c r="B73" s="160" t="s">
        <v>208</v>
      </c>
      <c r="C73" s="157">
        <v>1003226</v>
      </c>
      <c r="D73" s="157">
        <v>971257</v>
      </c>
      <c r="E73" s="157">
        <f t="shared" si="2"/>
        <v>-31969</v>
      </c>
      <c r="F73" s="161">
        <f t="shared" si="3"/>
        <v>-3.1866199639961484E-2</v>
      </c>
    </row>
    <row r="74" spans="1:6" ht="15" customHeight="1" x14ac:dyDescent="0.2">
      <c r="A74" s="147">
        <v>13</v>
      </c>
      <c r="B74" s="160" t="s">
        <v>209</v>
      </c>
      <c r="C74" s="157">
        <v>29907</v>
      </c>
      <c r="D74" s="157">
        <v>53901</v>
      </c>
      <c r="E74" s="157">
        <f t="shared" si="2"/>
        <v>23994</v>
      </c>
      <c r="F74" s="161">
        <f t="shared" si="3"/>
        <v>0.80228708997893472</v>
      </c>
    </row>
    <row r="75" spans="1:6" ht="15" customHeight="1" x14ac:dyDescent="0.2">
      <c r="A75" s="147">
        <v>14</v>
      </c>
      <c r="B75" s="160" t="s">
        <v>210</v>
      </c>
      <c r="C75" s="157">
        <v>65626</v>
      </c>
      <c r="D75" s="157">
        <v>68596</v>
      </c>
      <c r="E75" s="157">
        <f t="shared" si="2"/>
        <v>2970</v>
      </c>
      <c r="F75" s="161">
        <f t="shared" si="3"/>
        <v>4.5256453234998321E-2</v>
      </c>
    </row>
    <row r="76" spans="1:6" ht="15" customHeight="1" x14ac:dyDescent="0.2">
      <c r="A76" s="147">
        <v>15</v>
      </c>
      <c r="B76" s="160" t="s">
        <v>211</v>
      </c>
      <c r="C76" s="157">
        <v>756</v>
      </c>
      <c r="D76" s="157">
        <v>252</v>
      </c>
      <c r="E76" s="157">
        <f t="shared" si="2"/>
        <v>-504</v>
      </c>
      <c r="F76" s="161">
        <f t="shared" si="3"/>
        <v>-0.66666666666666663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39318</v>
      </c>
      <c r="D78" s="157">
        <v>49225</v>
      </c>
      <c r="E78" s="157">
        <f t="shared" si="2"/>
        <v>9907</v>
      </c>
      <c r="F78" s="161">
        <f t="shared" si="3"/>
        <v>0.25197110738084338</v>
      </c>
    </row>
    <row r="79" spans="1:6" ht="15" customHeight="1" x14ac:dyDescent="0.2">
      <c r="A79" s="147">
        <v>18</v>
      </c>
      <c r="B79" s="160" t="s">
        <v>214</v>
      </c>
      <c r="C79" s="157">
        <v>18814</v>
      </c>
      <c r="D79" s="157">
        <v>24251</v>
      </c>
      <c r="E79" s="157">
        <f t="shared" si="2"/>
        <v>5437</v>
      </c>
      <c r="F79" s="161">
        <f t="shared" si="3"/>
        <v>0.28898692463059422</v>
      </c>
    </row>
    <row r="80" spans="1:6" ht="15" customHeight="1" x14ac:dyDescent="0.2">
      <c r="A80" s="147">
        <v>19</v>
      </c>
      <c r="B80" s="160" t="s">
        <v>215</v>
      </c>
      <c r="C80" s="157">
        <v>1035059</v>
      </c>
      <c r="D80" s="157">
        <v>1158116</v>
      </c>
      <c r="E80" s="157">
        <f t="shared" si="2"/>
        <v>123057</v>
      </c>
      <c r="F80" s="161">
        <f t="shared" si="3"/>
        <v>0.11888887493369943</v>
      </c>
    </row>
    <row r="81" spans="1:6" ht="15" customHeight="1" x14ac:dyDescent="0.2">
      <c r="A81" s="147">
        <v>20</v>
      </c>
      <c r="B81" s="160" t="s">
        <v>216</v>
      </c>
      <c r="C81" s="157">
        <v>384408</v>
      </c>
      <c r="D81" s="157">
        <v>364305</v>
      </c>
      <c r="E81" s="157">
        <f t="shared" si="2"/>
        <v>-20103</v>
      </c>
      <c r="F81" s="161">
        <f t="shared" si="3"/>
        <v>-5.2295998002122743E-2</v>
      </c>
    </row>
    <row r="82" spans="1:6" ht="15" customHeight="1" x14ac:dyDescent="0.2">
      <c r="A82" s="147">
        <v>21</v>
      </c>
      <c r="B82" s="160" t="s">
        <v>217</v>
      </c>
      <c r="C82" s="157">
        <v>299324</v>
      </c>
      <c r="D82" s="157">
        <v>257287</v>
      </c>
      <c r="E82" s="157">
        <f t="shared" si="2"/>
        <v>-42037</v>
      </c>
      <c r="F82" s="161">
        <f t="shared" si="3"/>
        <v>-0.14043979099571033</v>
      </c>
    </row>
    <row r="83" spans="1:6" ht="15" customHeight="1" x14ac:dyDescent="0.2">
      <c r="A83" s="147">
        <v>22</v>
      </c>
      <c r="B83" s="160" t="s">
        <v>218</v>
      </c>
      <c r="C83" s="157">
        <v>100652</v>
      </c>
      <c r="D83" s="157">
        <v>104394</v>
      </c>
      <c r="E83" s="157">
        <f t="shared" si="2"/>
        <v>3742</v>
      </c>
      <c r="F83" s="161">
        <f t="shared" si="3"/>
        <v>3.717760203473354E-2</v>
      </c>
    </row>
    <row r="84" spans="1:6" ht="15" customHeight="1" x14ac:dyDescent="0.2">
      <c r="A84" s="147">
        <v>23</v>
      </c>
      <c r="B84" s="160" t="s">
        <v>219</v>
      </c>
      <c r="C84" s="157">
        <v>161905</v>
      </c>
      <c r="D84" s="157">
        <v>138643</v>
      </c>
      <c r="E84" s="157">
        <f t="shared" si="2"/>
        <v>-23262</v>
      </c>
      <c r="F84" s="161">
        <f t="shared" si="3"/>
        <v>-0.14367684753404775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1585638</v>
      </c>
      <c r="D87" s="157">
        <v>1277799</v>
      </c>
      <c r="E87" s="157">
        <f t="shared" si="2"/>
        <v>-307839</v>
      </c>
      <c r="F87" s="161">
        <f t="shared" si="3"/>
        <v>-0.19414204250907205</v>
      </c>
    </row>
    <row r="88" spans="1:6" ht="15" customHeight="1" x14ac:dyDescent="0.2">
      <c r="A88" s="147">
        <v>27</v>
      </c>
      <c r="B88" s="160" t="s">
        <v>223</v>
      </c>
      <c r="C88" s="157">
        <v>1857826</v>
      </c>
      <c r="D88" s="157">
        <v>1286352</v>
      </c>
      <c r="E88" s="157">
        <f t="shared" si="2"/>
        <v>-571474</v>
      </c>
      <c r="F88" s="161">
        <f t="shared" si="3"/>
        <v>-0.30760361842282324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9486728</v>
      </c>
      <c r="D90" s="158">
        <f>SUM(D62:D89)</f>
        <v>8467448</v>
      </c>
      <c r="E90" s="158">
        <f t="shared" si="2"/>
        <v>-1019280</v>
      </c>
      <c r="F90" s="159">
        <f t="shared" si="3"/>
        <v>-0.10744273473425189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545071</v>
      </c>
      <c r="D93" s="157">
        <v>444913</v>
      </c>
      <c r="E93" s="157">
        <f>+D93-C93</f>
        <v>-100158</v>
      </c>
      <c r="F93" s="161">
        <f>IF(C93=0,0,E93/C93)</f>
        <v>-0.18375220842789289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72962299</v>
      </c>
      <c r="D95" s="158">
        <f>+D93+D90+D59+D50+D47+D44+D41+D35+D30+D24+D18</f>
        <v>65083198</v>
      </c>
      <c r="E95" s="158">
        <f>+D95-C95</f>
        <v>-7879101</v>
      </c>
      <c r="F95" s="159">
        <f>IF(C95=0,0,E95/C95)</f>
        <v>-0.10798866137702158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17274808</v>
      </c>
      <c r="D103" s="157">
        <v>14901835</v>
      </c>
      <c r="E103" s="157">
        <f t="shared" ref="E103:E121" si="4">D103-C103</f>
        <v>-2372973</v>
      </c>
      <c r="F103" s="161">
        <f t="shared" ref="F103:F121" si="5">IF(C103=0,0,E103/C103)</f>
        <v>-0.13736609981424974</v>
      </c>
    </row>
    <row r="104" spans="1:6" ht="15" customHeight="1" x14ac:dyDescent="0.2">
      <c r="A104" s="147">
        <v>2</v>
      </c>
      <c r="B104" s="169" t="s">
        <v>234</v>
      </c>
      <c r="C104" s="157">
        <v>626738</v>
      </c>
      <c r="D104" s="157">
        <v>696704</v>
      </c>
      <c r="E104" s="157">
        <f t="shared" si="4"/>
        <v>69966</v>
      </c>
      <c r="F104" s="161">
        <f t="shared" si="5"/>
        <v>0.11163516493335333</v>
      </c>
    </row>
    <row r="105" spans="1:6" ht="15" customHeight="1" x14ac:dyDescent="0.2">
      <c r="A105" s="147">
        <v>3</v>
      </c>
      <c r="B105" s="169" t="s">
        <v>235</v>
      </c>
      <c r="C105" s="157">
        <v>1024566</v>
      </c>
      <c r="D105" s="157">
        <v>1103477</v>
      </c>
      <c r="E105" s="157">
        <f t="shared" si="4"/>
        <v>78911</v>
      </c>
      <c r="F105" s="161">
        <f t="shared" si="5"/>
        <v>7.7018952414973751E-2</v>
      </c>
    </row>
    <row r="106" spans="1:6" ht="15" customHeight="1" x14ac:dyDescent="0.2">
      <c r="A106" s="147">
        <v>4</v>
      </c>
      <c r="B106" s="169" t="s">
        <v>236</v>
      </c>
      <c r="C106" s="157">
        <v>1099102</v>
      </c>
      <c r="D106" s="157">
        <v>910361</v>
      </c>
      <c r="E106" s="157">
        <f t="shared" si="4"/>
        <v>-188741</v>
      </c>
      <c r="F106" s="161">
        <f t="shared" si="5"/>
        <v>-0.17172291561656697</v>
      </c>
    </row>
    <row r="107" spans="1:6" ht="15" customHeight="1" x14ac:dyDescent="0.2">
      <c r="A107" s="147">
        <v>5</v>
      </c>
      <c r="B107" s="169" t="s">
        <v>237</v>
      </c>
      <c r="C107" s="157">
        <v>1580088</v>
      </c>
      <c r="D107" s="157">
        <v>1456377</v>
      </c>
      <c r="E107" s="157">
        <f t="shared" si="4"/>
        <v>-123711</v>
      </c>
      <c r="F107" s="161">
        <f t="shared" si="5"/>
        <v>-7.8293740601789272E-2</v>
      </c>
    </row>
    <row r="108" spans="1:6" ht="15" customHeight="1" x14ac:dyDescent="0.2">
      <c r="A108" s="147">
        <v>6</v>
      </c>
      <c r="B108" s="169" t="s">
        <v>238</v>
      </c>
      <c r="C108" s="157">
        <v>166580</v>
      </c>
      <c r="D108" s="157">
        <v>105886</v>
      </c>
      <c r="E108" s="157">
        <f t="shared" si="4"/>
        <v>-60694</v>
      </c>
      <c r="F108" s="161">
        <f t="shared" si="5"/>
        <v>-0.36435346380117661</v>
      </c>
    </row>
    <row r="109" spans="1:6" ht="15" customHeight="1" x14ac:dyDescent="0.2">
      <c r="A109" s="147">
        <v>7</v>
      </c>
      <c r="B109" s="169" t="s">
        <v>239</v>
      </c>
      <c r="C109" s="157">
        <v>541838</v>
      </c>
      <c r="D109" s="157">
        <v>384413</v>
      </c>
      <c r="E109" s="157">
        <f t="shared" si="4"/>
        <v>-157425</v>
      </c>
      <c r="F109" s="161">
        <f t="shared" si="5"/>
        <v>-0.29053886955141572</v>
      </c>
    </row>
    <row r="110" spans="1:6" ht="15" customHeight="1" x14ac:dyDescent="0.2">
      <c r="A110" s="147">
        <v>8</v>
      </c>
      <c r="B110" s="169" t="s">
        <v>240</v>
      </c>
      <c r="C110" s="157">
        <v>519649</v>
      </c>
      <c r="D110" s="157">
        <v>436957</v>
      </c>
      <c r="E110" s="157">
        <f t="shared" si="4"/>
        <v>-82692</v>
      </c>
      <c r="F110" s="161">
        <f t="shared" si="5"/>
        <v>-0.15913049000382951</v>
      </c>
    </row>
    <row r="111" spans="1:6" ht="15" customHeight="1" x14ac:dyDescent="0.2">
      <c r="A111" s="147">
        <v>9</v>
      </c>
      <c r="B111" s="169" t="s">
        <v>241</v>
      </c>
      <c r="C111" s="157">
        <v>3538107</v>
      </c>
      <c r="D111" s="157">
        <v>3277630</v>
      </c>
      <c r="E111" s="157">
        <f t="shared" si="4"/>
        <v>-260477</v>
      </c>
      <c r="F111" s="161">
        <f t="shared" si="5"/>
        <v>-7.3620441665557312E-2</v>
      </c>
    </row>
    <row r="112" spans="1:6" ht="15" customHeight="1" x14ac:dyDescent="0.2">
      <c r="A112" s="147">
        <v>10</v>
      </c>
      <c r="B112" s="169" t="s">
        <v>242</v>
      </c>
      <c r="C112" s="157">
        <v>1279302</v>
      </c>
      <c r="D112" s="157">
        <v>1163296</v>
      </c>
      <c r="E112" s="157">
        <f t="shared" si="4"/>
        <v>-116006</v>
      </c>
      <c r="F112" s="161">
        <f t="shared" si="5"/>
        <v>-9.0679135966331634E-2</v>
      </c>
    </row>
    <row r="113" spans="1:6" ht="15" customHeight="1" x14ac:dyDescent="0.2">
      <c r="A113" s="147">
        <v>11</v>
      </c>
      <c r="B113" s="169" t="s">
        <v>243</v>
      </c>
      <c r="C113" s="157">
        <v>914036</v>
      </c>
      <c r="D113" s="157">
        <v>818313</v>
      </c>
      <c r="E113" s="157">
        <f t="shared" si="4"/>
        <v>-95723</v>
      </c>
      <c r="F113" s="161">
        <f t="shared" si="5"/>
        <v>-0.10472563443890613</v>
      </c>
    </row>
    <row r="114" spans="1:6" ht="15" customHeight="1" x14ac:dyDescent="0.2">
      <c r="A114" s="147">
        <v>12</v>
      </c>
      <c r="B114" s="169" t="s">
        <v>244</v>
      </c>
      <c r="C114" s="157">
        <v>181673</v>
      </c>
      <c r="D114" s="157">
        <v>160969</v>
      </c>
      <c r="E114" s="157">
        <f t="shared" si="4"/>
        <v>-20704</v>
      </c>
      <c r="F114" s="161">
        <f t="shared" si="5"/>
        <v>-0.11396299945506487</v>
      </c>
    </row>
    <row r="115" spans="1:6" ht="15" customHeight="1" x14ac:dyDescent="0.2">
      <c r="A115" s="147">
        <v>13</v>
      </c>
      <c r="B115" s="169" t="s">
        <v>245</v>
      </c>
      <c r="C115" s="157">
        <v>1169852</v>
      </c>
      <c r="D115" s="157">
        <v>1134487</v>
      </c>
      <c r="E115" s="157">
        <f t="shared" si="4"/>
        <v>-35365</v>
      </c>
      <c r="F115" s="161">
        <f t="shared" si="5"/>
        <v>-3.023031973275252E-2</v>
      </c>
    </row>
    <row r="116" spans="1:6" ht="15" customHeight="1" x14ac:dyDescent="0.2">
      <c r="A116" s="147">
        <v>14</v>
      </c>
      <c r="B116" s="169" t="s">
        <v>246</v>
      </c>
      <c r="C116" s="157">
        <v>500933</v>
      </c>
      <c r="D116" s="157">
        <v>440516</v>
      </c>
      <c r="E116" s="157">
        <f t="shared" si="4"/>
        <v>-60417</v>
      </c>
      <c r="F116" s="161">
        <f t="shared" si="5"/>
        <v>-0.12060894371103521</v>
      </c>
    </row>
    <row r="117" spans="1:6" ht="15" customHeight="1" x14ac:dyDescent="0.2">
      <c r="A117" s="147">
        <v>15</v>
      </c>
      <c r="B117" s="169" t="s">
        <v>203</v>
      </c>
      <c r="C117" s="157">
        <v>1568348</v>
      </c>
      <c r="D117" s="157">
        <v>1457507</v>
      </c>
      <c r="E117" s="157">
        <f t="shared" si="4"/>
        <v>-110841</v>
      </c>
      <c r="F117" s="161">
        <f t="shared" si="5"/>
        <v>-7.0673728024647595E-2</v>
      </c>
    </row>
    <row r="118" spans="1:6" ht="15" customHeight="1" x14ac:dyDescent="0.2">
      <c r="A118" s="147">
        <v>16</v>
      </c>
      <c r="B118" s="169" t="s">
        <v>247</v>
      </c>
      <c r="C118" s="157">
        <v>233574</v>
      </c>
      <c r="D118" s="157">
        <v>260068</v>
      </c>
      <c r="E118" s="157">
        <f t="shared" si="4"/>
        <v>26494</v>
      </c>
      <c r="F118" s="161">
        <f t="shared" si="5"/>
        <v>0.11342872066240249</v>
      </c>
    </row>
    <row r="119" spans="1:6" ht="15" customHeight="1" x14ac:dyDescent="0.2">
      <c r="A119" s="147">
        <v>17</v>
      </c>
      <c r="B119" s="169" t="s">
        <v>248</v>
      </c>
      <c r="C119" s="157">
        <v>5749835</v>
      </c>
      <c r="D119" s="157">
        <v>5407398</v>
      </c>
      <c r="E119" s="157">
        <f t="shared" si="4"/>
        <v>-342437</v>
      </c>
      <c r="F119" s="161">
        <f t="shared" si="5"/>
        <v>-5.9555969866961399E-2</v>
      </c>
    </row>
    <row r="120" spans="1:6" ht="15" customHeight="1" x14ac:dyDescent="0.2">
      <c r="A120" s="147">
        <v>18</v>
      </c>
      <c r="B120" s="169" t="s">
        <v>249</v>
      </c>
      <c r="C120" s="157">
        <v>2570896</v>
      </c>
      <c r="D120" s="157">
        <v>1955719</v>
      </c>
      <c r="E120" s="157">
        <f t="shared" si="4"/>
        <v>-615177</v>
      </c>
      <c r="F120" s="161">
        <f t="shared" si="5"/>
        <v>-0.23928505859435775</v>
      </c>
    </row>
    <row r="121" spans="1:6" ht="15.75" customHeight="1" x14ac:dyDescent="0.25">
      <c r="A121" s="147"/>
      <c r="B121" s="165" t="s">
        <v>250</v>
      </c>
      <c r="C121" s="158">
        <f>SUM(C103:C120)</f>
        <v>40539925</v>
      </c>
      <c r="D121" s="158">
        <f>SUM(D103:D120)</f>
        <v>36071913</v>
      </c>
      <c r="E121" s="158">
        <f t="shared" si="4"/>
        <v>-4468012</v>
      </c>
      <c r="F121" s="159">
        <f t="shared" si="5"/>
        <v>-0.11021263606185754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1683454</v>
      </c>
      <c r="D124" s="157">
        <v>1287454</v>
      </c>
      <c r="E124" s="157">
        <f t="shared" ref="E124:E130" si="6">D124-C124</f>
        <v>-396000</v>
      </c>
      <c r="F124" s="161">
        <f t="shared" ref="F124:F130" si="7">IF(C124=0,0,E124/C124)</f>
        <v>-0.23523066267328957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645553</v>
      </c>
      <c r="D126" s="157">
        <v>652366</v>
      </c>
      <c r="E126" s="157">
        <f t="shared" si="6"/>
        <v>6813</v>
      </c>
      <c r="F126" s="161">
        <f t="shared" si="7"/>
        <v>1.0553742295365369E-2</v>
      </c>
    </row>
    <row r="127" spans="1:6" ht="15" customHeight="1" x14ac:dyDescent="0.2">
      <c r="A127" s="147">
        <v>4</v>
      </c>
      <c r="B127" s="169" t="s">
        <v>255</v>
      </c>
      <c r="C127" s="157">
        <v>905276</v>
      </c>
      <c r="D127" s="157">
        <v>809029</v>
      </c>
      <c r="E127" s="157">
        <f t="shared" si="6"/>
        <v>-96247</v>
      </c>
      <c r="F127" s="161">
        <f t="shared" si="7"/>
        <v>-0.10631785223511946</v>
      </c>
    </row>
    <row r="128" spans="1:6" ht="15" customHeight="1" x14ac:dyDescent="0.2">
      <c r="A128" s="147">
        <v>5</v>
      </c>
      <c r="B128" s="169" t="s">
        <v>256</v>
      </c>
      <c r="C128" s="157">
        <v>18</v>
      </c>
      <c r="D128" s="157">
        <v>0</v>
      </c>
      <c r="E128" s="157">
        <f t="shared" si="6"/>
        <v>-18</v>
      </c>
      <c r="F128" s="161">
        <f t="shared" si="7"/>
        <v>-1</v>
      </c>
    </row>
    <row r="129" spans="1:6" ht="15" customHeight="1" x14ac:dyDescent="0.2">
      <c r="A129" s="147">
        <v>6</v>
      </c>
      <c r="B129" s="169" t="s">
        <v>257</v>
      </c>
      <c r="C129" s="157">
        <v>650349</v>
      </c>
      <c r="D129" s="157">
        <v>467167</v>
      </c>
      <c r="E129" s="157">
        <f t="shared" si="6"/>
        <v>-183182</v>
      </c>
      <c r="F129" s="161">
        <f t="shared" si="7"/>
        <v>-0.28166722790378707</v>
      </c>
    </row>
    <row r="130" spans="1:6" ht="15.75" customHeight="1" x14ac:dyDescent="0.25">
      <c r="A130" s="147"/>
      <c r="B130" s="165" t="s">
        <v>258</v>
      </c>
      <c r="C130" s="158">
        <f>SUM(C124:C129)</f>
        <v>3884650</v>
      </c>
      <c r="D130" s="158">
        <f>SUM(D124:D129)</f>
        <v>3216016</v>
      </c>
      <c r="E130" s="158">
        <f t="shared" si="6"/>
        <v>-668634</v>
      </c>
      <c r="F130" s="159">
        <f t="shared" si="7"/>
        <v>-0.17212207019937445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2319666</v>
      </c>
      <c r="D133" s="157">
        <v>1982772</v>
      </c>
      <c r="E133" s="157">
        <f t="shared" ref="E133:E167" si="8">D133-C133</f>
        <v>-336894</v>
      </c>
      <c r="F133" s="161">
        <f t="shared" ref="F133:F167" si="9">IF(C133=0,0,E133/C133)</f>
        <v>-0.14523383969933604</v>
      </c>
    </row>
    <row r="134" spans="1:6" ht="15" customHeight="1" x14ac:dyDescent="0.2">
      <c r="A134" s="147">
        <v>2</v>
      </c>
      <c r="B134" s="169" t="s">
        <v>261</v>
      </c>
      <c r="C134" s="157">
        <v>365023</v>
      </c>
      <c r="D134" s="157">
        <v>372933</v>
      </c>
      <c r="E134" s="157">
        <f t="shared" si="8"/>
        <v>7910</v>
      </c>
      <c r="F134" s="161">
        <f t="shared" si="9"/>
        <v>2.1669867378220003E-2</v>
      </c>
    </row>
    <row r="135" spans="1:6" ht="15" customHeight="1" x14ac:dyDescent="0.2">
      <c r="A135" s="147">
        <v>3</v>
      </c>
      <c r="B135" s="169" t="s">
        <v>262</v>
      </c>
      <c r="C135" s="157">
        <v>86835</v>
      </c>
      <c r="D135" s="157">
        <v>74437</v>
      </c>
      <c r="E135" s="157">
        <f t="shared" si="8"/>
        <v>-12398</v>
      </c>
      <c r="F135" s="161">
        <f t="shared" si="9"/>
        <v>-0.14277653020095585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1532333</v>
      </c>
      <c r="D137" s="157">
        <v>1357948</v>
      </c>
      <c r="E137" s="157">
        <f t="shared" si="8"/>
        <v>-174385</v>
      </c>
      <c r="F137" s="161">
        <f t="shared" si="9"/>
        <v>-0.11380359230010709</v>
      </c>
    </row>
    <row r="138" spans="1:6" ht="15" customHeight="1" x14ac:dyDescent="0.2">
      <c r="A138" s="147">
        <v>6</v>
      </c>
      <c r="B138" s="169" t="s">
        <v>265</v>
      </c>
      <c r="C138" s="157">
        <v>0</v>
      </c>
      <c r="D138" s="157">
        <v>0</v>
      </c>
      <c r="E138" s="157">
        <f t="shared" si="8"/>
        <v>0</v>
      </c>
      <c r="F138" s="161">
        <f t="shared" si="9"/>
        <v>0</v>
      </c>
    </row>
    <row r="139" spans="1:6" ht="15" customHeight="1" x14ac:dyDescent="0.2">
      <c r="A139" s="147">
        <v>7</v>
      </c>
      <c r="B139" s="169" t="s">
        <v>266</v>
      </c>
      <c r="C139" s="157">
        <v>1155375</v>
      </c>
      <c r="D139" s="157">
        <v>1117967</v>
      </c>
      <c r="E139" s="157">
        <f t="shared" si="8"/>
        <v>-37408</v>
      </c>
      <c r="F139" s="161">
        <f t="shared" si="9"/>
        <v>-3.2377366655847666E-2</v>
      </c>
    </row>
    <row r="140" spans="1:6" ht="15" customHeight="1" x14ac:dyDescent="0.2">
      <c r="A140" s="147">
        <v>8</v>
      </c>
      <c r="B140" s="169" t="s">
        <v>267</v>
      </c>
      <c r="C140" s="157">
        <v>419062</v>
      </c>
      <c r="D140" s="157">
        <v>309825</v>
      </c>
      <c r="E140" s="157">
        <f t="shared" si="8"/>
        <v>-109237</v>
      </c>
      <c r="F140" s="161">
        <f t="shared" si="9"/>
        <v>-0.26067025881611788</v>
      </c>
    </row>
    <row r="141" spans="1:6" ht="15" customHeight="1" x14ac:dyDescent="0.2">
      <c r="A141" s="147">
        <v>9</v>
      </c>
      <c r="B141" s="169" t="s">
        <v>268</v>
      </c>
      <c r="C141" s="157">
        <v>554672</v>
      </c>
      <c r="D141" s="157">
        <v>480022</v>
      </c>
      <c r="E141" s="157">
        <f t="shared" si="8"/>
        <v>-74650</v>
      </c>
      <c r="F141" s="161">
        <f t="shared" si="9"/>
        <v>-0.13458404246113018</v>
      </c>
    </row>
    <row r="142" spans="1:6" ht="15" customHeight="1" x14ac:dyDescent="0.2">
      <c r="A142" s="147">
        <v>10</v>
      </c>
      <c r="B142" s="169" t="s">
        <v>269</v>
      </c>
      <c r="C142" s="157">
        <v>2000316</v>
      </c>
      <c r="D142" s="157">
        <v>1748004</v>
      </c>
      <c r="E142" s="157">
        <f t="shared" si="8"/>
        <v>-252312</v>
      </c>
      <c r="F142" s="161">
        <f t="shared" si="9"/>
        <v>-0.12613607050086087</v>
      </c>
    </row>
    <row r="143" spans="1:6" ht="15" customHeight="1" x14ac:dyDescent="0.2">
      <c r="A143" s="147">
        <v>11</v>
      </c>
      <c r="B143" s="169" t="s">
        <v>270</v>
      </c>
      <c r="C143" s="157">
        <v>331574</v>
      </c>
      <c r="D143" s="157">
        <v>335375</v>
      </c>
      <c r="E143" s="157">
        <f t="shared" si="8"/>
        <v>3801</v>
      </c>
      <c r="F143" s="161">
        <f t="shared" si="9"/>
        <v>1.146350437609704E-2</v>
      </c>
    </row>
    <row r="144" spans="1:6" ht="15" customHeight="1" x14ac:dyDescent="0.2">
      <c r="A144" s="147">
        <v>12</v>
      </c>
      <c r="B144" s="169" t="s">
        <v>271</v>
      </c>
      <c r="C144" s="157">
        <v>116074</v>
      </c>
      <c r="D144" s="157">
        <v>49996</v>
      </c>
      <c r="E144" s="157">
        <f t="shared" si="8"/>
        <v>-66078</v>
      </c>
      <c r="F144" s="161">
        <f t="shared" si="9"/>
        <v>-0.56927477298964457</v>
      </c>
    </row>
    <row r="145" spans="1:6" ht="15" customHeight="1" x14ac:dyDescent="0.2">
      <c r="A145" s="147">
        <v>13</v>
      </c>
      <c r="B145" s="169" t="s">
        <v>272</v>
      </c>
      <c r="C145" s="157">
        <v>534433</v>
      </c>
      <c r="D145" s="157">
        <v>548276</v>
      </c>
      <c r="E145" s="157">
        <f t="shared" si="8"/>
        <v>13843</v>
      </c>
      <c r="F145" s="161">
        <f t="shared" si="9"/>
        <v>2.5902217864540552E-2</v>
      </c>
    </row>
    <row r="146" spans="1:6" ht="15" customHeight="1" x14ac:dyDescent="0.2">
      <c r="A146" s="147">
        <v>14</v>
      </c>
      <c r="B146" s="169" t="s">
        <v>273</v>
      </c>
      <c r="C146" s="157">
        <v>0</v>
      </c>
      <c r="D146" s="157">
        <v>0</v>
      </c>
      <c r="E146" s="157">
        <f t="shared" si="8"/>
        <v>0</v>
      </c>
      <c r="F146" s="161">
        <f t="shared" si="9"/>
        <v>0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34379</v>
      </c>
      <c r="D148" s="157">
        <v>2813</v>
      </c>
      <c r="E148" s="157">
        <f t="shared" si="8"/>
        <v>-31566</v>
      </c>
      <c r="F148" s="161">
        <f t="shared" si="9"/>
        <v>-0.91817679397306495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676310</v>
      </c>
      <c r="D150" s="157">
        <v>602208</v>
      </c>
      <c r="E150" s="157">
        <f t="shared" si="8"/>
        <v>-74102</v>
      </c>
      <c r="F150" s="161">
        <f t="shared" si="9"/>
        <v>-0.10956809747009508</v>
      </c>
    </row>
    <row r="151" spans="1:6" ht="15" customHeight="1" x14ac:dyDescent="0.2">
      <c r="A151" s="147">
        <v>19</v>
      </c>
      <c r="B151" s="169" t="s">
        <v>278</v>
      </c>
      <c r="C151" s="157">
        <v>302709</v>
      </c>
      <c r="D151" s="157">
        <v>0</v>
      </c>
      <c r="E151" s="157">
        <f t="shared" si="8"/>
        <v>-302709</v>
      </c>
      <c r="F151" s="161">
        <f t="shared" si="9"/>
        <v>-1</v>
      </c>
    </row>
    <row r="152" spans="1:6" ht="15" customHeight="1" x14ac:dyDescent="0.2">
      <c r="A152" s="147">
        <v>20</v>
      </c>
      <c r="B152" s="169" t="s">
        <v>279</v>
      </c>
      <c r="C152" s="157">
        <v>177408</v>
      </c>
      <c r="D152" s="157">
        <v>152833</v>
      </c>
      <c r="E152" s="157">
        <f t="shared" si="8"/>
        <v>-24575</v>
      </c>
      <c r="F152" s="161">
        <f t="shared" si="9"/>
        <v>-0.13852250180375181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838212</v>
      </c>
      <c r="D154" s="157">
        <v>589138</v>
      </c>
      <c r="E154" s="157">
        <f t="shared" si="8"/>
        <v>-249074</v>
      </c>
      <c r="F154" s="161">
        <f t="shared" si="9"/>
        <v>-0.29714916989973894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2089736</v>
      </c>
      <c r="D156" s="157">
        <v>2132330</v>
      </c>
      <c r="E156" s="157">
        <f t="shared" si="8"/>
        <v>42594</v>
      </c>
      <c r="F156" s="161">
        <f t="shared" si="9"/>
        <v>2.0382478935138219E-2</v>
      </c>
    </row>
    <row r="157" spans="1:6" ht="15" customHeight="1" x14ac:dyDescent="0.2">
      <c r="A157" s="147">
        <v>25</v>
      </c>
      <c r="B157" s="169" t="s">
        <v>284</v>
      </c>
      <c r="C157" s="157">
        <v>820734</v>
      </c>
      <c r="D157" s="157">
        <v>865609</v>
      </c>
      <c r="E157" s="157">
        <f t="shared" si="8"/>
        <v>44875</v>
      </c>
      <c r="F157" s="161">
        <f t="shared" si="9"/>
        <v>5.4676667470824898E-2</v>
      </c>
    </row>
    <row r="158" spans="1:6" ht="15" customHeight="1" x14ac:dyDescent="0.2">
      <c r="A158" s="147">
        <v>26</v>
      </c>
      <c r="B158" s="169" t="s">
        <v>285</v>
      </c>
      <c r="C158" s="157">
        <v>9142</v>
      </c>
      <c r="D158" s="157">
        <v>0</v>
      </c>
      <c r="E158" s="157">
        <f t="shared" si="8"/>
        <v>-9142</v>
      </c>
      <c r="F158" s="161">
        <f t="shared" si="9"/>
        <v>-1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943352</v>
      </c>
      <c r="D160" s="157">
        <v>848445</v>
      </c>
      <c r="E160" s="157">
        <f t="shared" si="8"/>
        <v>-94907</v>
      </c>
      <c r="F160" s="161">
        <f t="shared" si="9"/>
        <v>-0.10060613641567517</v>
      </c>
    </row>
    <row r="161" spans="1:6" ht="15" customHeight="1" x14ac:dyDescent="0.2">
      <c r="A161" s="147">
        <v>29</v>
      </c>
      <c r="B161" s="169" t="s">
        <v>288</v>
      </c>
      <c r="C161" s="157">
        <v>170112</v>
      </c>
      <c r="D161" s="157">
        <v>84981</v>
      </c>
      <c r="E161" s="157">
        <f t="shared" si="8"/>
        <v>-85131</v>
      </c>
      <c r="F161" s="161">
        <f t="shared" si="9"/>
        <v>-0.50044088600451464</v>
      </c>
    </row>
    <row r="162" spans="1:6" ht="15" customHeight="1" x14ac:dyDescent="0.2">
      <c r="A162" s="147">
        <v>30</v>
      </c>
      <c r="B162" s="169" t="s">
        <v>289</v>
      </c>
      <c r="C162" s="157">
        <v>72756</v>
      </c>
      <c r="D162" s="157">
        <v>26316</v>
      </c>
      <c r="E162" s="157">
        <f t="shared" si="8"/>
        <v>-46440</v>
      </c>
      <c r="F162" s="161">
        <f t="shared" si="9"/>
        <v>-0.63829787234042556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230856</v>
      </c>
      <c r="D164" s="157">
        <v>227065</v>
      </c>
      <c r="E164" s="157">
        <f t="shared" si="8"/>
        <v>-3791</v>
      </c>
      <c r="F164" s="161">
        <f t="shared" si="9"/>
        <v>-1.6421492185604878E-2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1197896</v>
      </c>
      <c r="D166" s="157">
        <v>910776</v>
      </c>
      <c r="E166" s="157">
        <f t="shared" si="8"/>
        <v>-287120</v>
      </c>
      <c r="F166" s="161">
        <f t="shared" si="9"/>
        <v>-0.23968691772908499</v>
      </c>
    </row>
    <row r="167" spans="1:6" ht="15.75" customHeight="1" x14ac:dyDescent="0.25">
      <c r="A167" s="147"/>
      <c r="B167" s="165" t="s">
        <v>294</v>
      </c>
      <c r="C167" s="158">
        <f>SUM(C133:C166)</f>
        <v>16978965</v>
      </c>
      <c r="D167" s="158">
        <f>SUM(D133:D166)</f>
        <v>14820069</v>
      </c>
      <c r="E167" s="158">
        <f t="shared" si="8"/>
        <v>-2158896</v>
      </c>
      <c r="F167" s="159">
        <f t="shared" si="9"/>
        <v>-0.12715121328066817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3089032</v>
      </c>
      <c r="D170" s="157">
        <v>3112137</v>
      </c>
      <c r="E170" s="157">
        <f t="shared" ref="E170:E183" si="10">D170-C170</f>
        <v>23105</v>
      </c>
      <c r="F170" s="161">
        <f t="shared" ref="F170:F183" si="11">IF(C170=0,0,E170/C170)</f>
        <v>7.4796894302163264E-3</v>
      </c>
    </row>
    <row r="171" spans="1:6" ht="15" customHeight="1" x14ac:dyDescent="0.2">
      <c r="A171" s="147">
        <v>2</v>
      </c>
      <c r="B171" s="169" t="s">
        <v>297</v>
      </c>
      <c r="C171" s="157">
        <v>1346054</v>
      </c>
      <c r="D171" s="157">
        <v>1156613</v>
      </c>
      <c r="E171" s="157">
        <f t="shared" si="10"/>
        <v>-189441</v>
      </c>
      <c r="F171" s="161">
        <f t="shared" si="11"/>
        <v>-0.14073803874138779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1026276</v>
      </c>
      <c r="D175" s="157">
        <v>0</v>
      </c>
      <c r="E175" s="157">
        <f t="shared" si="10"/>
        <v>-1026276</v>
      </c>
      <c r="F175" s="161">
        <f t="shared" si="11"/>
        <v>-1</v>
      </c>
    </row>
    <row r="176" spans="1:6" ht="15" customHeight="1" x14ac:dyDescent="0.2">
      <c r="A176" s="147">
        <v>7</v>
      </c>
      <c r="B176" s="169" t="s">
        <v>302</v>
      </c>
      <c r="C176" s="157">
        <v>2503</v>
      </c>
      <c r="D176" s="157">
        <v>0</v>
      </c>
      <c r="E176" s="157">
        <f t="shared" si="10"/>
        <v>-2503</v>
      </c>
      <c r="F176" s="161">
        <f t="shared" si="11"/>
        <v>-1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743355</v>
      </c>
      <c r="D179" s="157">
        <v>638345</v>
      </c>
      <c r="E179" s="157">
        <f t="shared" si="10"/>
        <v>-105010</v>
      </c>
      <c r="F179" s="161">
        <f t="shared" si="11"/>
        <v>-0.14126494070800627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5350930</v>
      </c>
      <c r="D182" s="157">
        <v>6067827</v>
      </c>
      <c r="E182" s="157">
        <f t="shared" si="10"/>
        <v>716897</v>
      </c>
      <c r="F182" s="161">
        <f t="shared" si="11"/>
        <v>0.13397614994029075</v>
      </c>
    </row>
    <row r="183" spans="1:6" ht="15.75" customHeight="1" x14ac:dyDescent="0.25">
      <c r="A183" s="147"/>
      <c r="B183" s="165" t="s">
        <v>309</v>
      </c>
      <c r="C183" s="158">
        <f>SUM(C170:C182)</f>
        <v>11558150</v>
      </c>
      <c r="D183" s="158">
        <f>SUM(D170:D182)</f>
        <v>10974922</v>
      </c>
      <c r="E183" s="158">
        <f t="shared" si="10"/>
        <v>-583228</v>
      </c>
      <c r="F183" s="159">
        <f t="shared" si="11"/>
        <v>-5.0460324532905353E-2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609</v>
      </c>
      <c r="D186" s="157">
        <v>278</v>
      </c>
      <c r="E186" s="157">
        <f>D186-C186</f>
        <v>-331</v>
      </c>
      <c r="F186" s="161">
        <f>IF(C186=0,0,E186/C186)</f>
        <v>-0.54351395730706076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72962299</v>
      </c>
      <c r="D188" s="158">
        <f>+D186+D183+D167+D130+D121</f>
        <v>65083198</v>
      </c>
      <c r="E188" s="158">
        <f>D188-C188</f>
        <v>-7879101</v>
      </c>
      <c r="F188" s="159">
        <f>IF(C188=0,0,E188/C188)</f>
        <v>-0.10798866137702158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FILING&amp;RNEW MILFORD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81236073</v>
      </c>
      <c r="D11" s="183">
        <v>69721620</v>
      </c>
      <c r="E11" s="76">
        <v>62064046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1244665</v>
      </c>
      <c r="D12" s="185">
        <v>1157159</v>
      </c>
      <c r="E12" s="185">
        <v>999998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82480738</v>
      </c>
      <c r="D13" s="76">
        <f>+D11+D12</f>
        <v>70878779</v>
      </c>
      <c r="E13" s="76">
        <f>+E11+E12</f>
        <v>63064044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88958809</v>
      </c>
      <c r="D14" s="185">
        <v>72962299</v>
      </c>
      <c r="E14" s="185">
        <v>65083198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-6478071</v>
      </c>
      <c r="D15" s="76">
        <f>+D13-D14</f>
        <v>-2083520</v>
      </c>
      <c r="E15" s="76">
        <f>+E13-E14</f>
        <v>-2019154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21958</v>
      </c>
      <c r="D16" s="185">
        <v>0</v>
      </c>
      <c r="E16" s="185">
        <v>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-6456113</v>
      </c>
      <c r="D17" s="76">
        <f>D15+D16</f>
        <v>-2083520</v>
      </c>
      <c r="E17" s="76">
        <f>E15+E16</f>
        <v>-2019154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-7.85195068049655E-2</v>
      </c>
      <c r="D20" s="189">
        <f>IF(+D27=0,0,+D24/+D27)</f>
        <v>-2.9395540236380201E-2</v>
      </c>
      <c r="E20" s="189">
        <f>IF(+E27=0,0,+E24/+E27)</f>
        <v>-3.2017515400693301E-2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2.6614887833483646E-4</v>
      </c>
      <c r="D21" s="189">
        <f>IF(D27=0,0,+D26/D27)</f>
        <v>0</v>
      </c>
      <c r="E21" s="189">
        <f>IF(E27=0,0,+E26/E27)</f>
        <v>0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-7.8253357926630671E-2</v>
      </c>
      <c r="D22" s="189">
        <f>IF(D27=0,0,+D28/D27)</f>
        <v>-2.9395540236380201E-2</v>
      </c>
      <c r="E22" s="189">
        <f>IF(E27=0,0,+E28/E27)</f>
        <v>-3.2017515400693301E-2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-6478071</v>
      </c>
      <c r="D24" s="76">
        <f>+D15</f>
        <v>-2083520</v>
      </c>
      <c r="E24" s="76">
        <f>+E15</f>
        <v>-2019154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82480738</v>
      </c>
      <c r="D25" s="76">
        <f>+D13</f>
        <v>70878779</v>
      </c>
      <c r="E25" s="76">
        <f>+E13</f>
        <v>63064044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21958</v>
      </c>
      <c r="D26" s="76">
        <f>+D16</f>
        <v>0</v>
      </c>
      <c r="E26" s="76">
        <f>+E16</f>
        <v>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82502696</v>
      </c>
      <c r="D27" s="76">
        <f>+D25+D26</f>
        <v>70878779</v>
      </c>
      <c r="E27" s="76">
        <f>+E25+E26</f>
        <v>63064044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-6456113</v>
      </c>
      <c r="D28" s="76">
        <f>+D17</f>
        <v>-2083520</v>
      </c>
      <c r="E28" s="76">
        <f>+E17</f>
        <v>-2019154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12487373</v>
      </c>
      <c r="D31" s="76">
        <v>23332942</v>
      </c>
      <c r="E31" s="76">
        <v>26205321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20545903</v>
      </c>
      <c r="D32" s="76">
        <v>31727632</v>
      </c>
      <c r="E32" s="76">
        <v>34128301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-9843093</v>
      </c>
      <c r="D33" s="76">
        <f>+D32-C32</f>
        <v>11181729</v>
      </c>
      <c r="E33" s="76">
        <f>+E32-D32</f>
        <v>2400669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0.67600000000000005</v>
      </c>
      <c r="D34" s="193">
        <f>IF(C32=0,0,+D33/C32)</f>
        <v>0.54423156772423198</v>
      </c>
      <c r="E34" s="193">
        <f>IF(D32=0,0,+E33/D32)</f>
        <v>7.5664928287115782E-2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0.43262370845066839</v>
      </c>
      <c r="D38" s="195">
        <f>IF((D40+D41)=0,0,+D39/(D40+D41))</f>
        <v>0.39431465152332823</v>
      </c>
      <c r="E38" s="195">
        <f>IF((E40+E41)=0,0,+E39/(E40+E41))</f>
        <v>0.3758909066177159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88958809</v>
      </c>
      <c r="D39" s="76">
        <v>72962299</v>
      </c>
      <c r="E39" s="196">
        <v>65083198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204381627</v>
      </c>
      <c r="D40" s="76">
        <v>184161329</v>
      </c>
      <c r="E40" s="196">
        <v>172137054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1244665</v>
      </c>
      <c r="D41" s="76">
        <v>874400</v>
      </c>
      <c r="E41" s="196">
        <v>1006794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1.2161366330307148</v>
      </c>
      <c r="D43" s="197">
        <f>IF(D38=0,0,IF((D46-D47)=0,0,((+D44-D45)/(D46-D47)/D38)))</f>
        <v>1.3802605891685196</v>
      </c>
      <c r="E43" s="197">
        <f>IF(E38=0,0,IF((E46-E47)=0,0,((+E44-E45)/(E46-E47)/E38)))</f>
        <v>1.4286700300622839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48176988</v>
      </c>
      <c r="D44" s="76">
        <v>42126979</v>
      </c>
      <c r="E44" s="196">
        <v>37297160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175360</v>
      </c>
      <c r="D45" s="76">
        <v>222112</v>
      </c>
      <c r="E45" s="196">
        <v>284331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95705889</v>
      </c>
      <c r="D46" s="76">
        <v>80360509</v>
      </c>
      <c r="E46" s="196">
        <v>71414868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4470510</v>
      </c>
      <c r="D47" s="76">
        <v>3365874</v>
      </c>
      <c r="E47" s="76">
        <v>2492764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0.61977345481760748</v>
      </c>
      <c r="D49" s="198">
        <f>IF(D38=0,0,IF(D51=0,0,(D50/D51)/D38))</f>
        <v>0.68486461991160996</v>
      </c>
      <c r="E49" s="198">
        <f>IF(E38=0,0,IF(E51=0,0,(E50/E51)/E38))</f>
        <v>0.67355557320489368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24242071</v>
      </c>
      <c r="D50" s="199">
        <v>23092504</v>
      </c>
      <c r="E50" s="199">
        <v>20241037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90412074</v>
      </c>
      <c r="D51" s="199">
        <v>85511275</v>
      </c>
      <c r="E51" s="199">
        <v>79946141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0.6663496918644396</v>
      </c>
      <c r="D53" s="198">
        <f>IF(D38=0,0,IF(D55=0,0,(D54/D55)/D38))</f>
        <v>0.65157833012820332</v>
      </c>
      <c r="E53" s="198">
        <f>IF(E38=0,0,IF(E55=0,0,(E54/E55)/E38))</f>
        <v>0.66835010566469488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5018898</v>
      </c>
      <c r="D54" s="199">
        <v>4514518</v>
      </c>
      <c r="E54" s="199">
        <v>4985410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17409883</v>
      </c>
      <c r="D55" s="199">
        <v>17571217</v>
      </c>
      <c r="E55" s="199">
        <v>19844266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1863279.1633900204</v>
      </c>
      <c r="D57" s="88">
        <f>+D60*D38</f>
        <v>1255840.1155677994</v>
      </c>
      <c r="E57" s="88">
        <f>+E60*E38</f>
        <v>865106.90732616722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1181756</v>
      </c>
      <c r="D58" s="199">
        <v>624534</v>
      </c>
      <c r="E58" s="199">
        <v>515390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3125172</v>
      </c>
      <c r="D59" s="199">
        <v>2560334</v>
      </c>
      <c r="E59" s="199">
        <v>1786094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4306928</v>
      </c>
      <c r="D60" s="76">
        <v>3184868</v>
      </c>
      <c r="E60" s="201">
        <v>2301484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2.0945414898596724E-2</v>
      </c>
      <c r="D62" s="202">
        <f>IF(D63=0,0,+D57/D63)</f>
        <v>1.7212178519317209E-2</v>
      </c>
      <c r="E62" s="202">
        <f>IF(E63=0,0,+E57/E63)</f>
        <v>1.3292323270994876E-2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88958809</v>
      </c>
      <c r="D63" s="199">
        <v>72962299</v>
      </c>
      <c r="E63" s="199">
        <v>65083198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1.007099572402339</v>
      </c>
      <c r="D67" s="203">
        <f>IF(D69=0,0,D68/D69)</f>
        <v>0.82917710801590905</v>
      </c>
      <c r="E67" s="203">
        <f>IF(E69=0,0,E68/E69)</f>
        <v>0.80581421058177738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14864692</v>
      </c>
      <c r="D68" s="204">
        <v>11428830</v>
      </c>
      <c r="E68" s="204">
        <v>10514566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14759903</v>
      </c>
      <c r="D69" s="204">
        <v>13783340</v>
      </c>
      <c r="E69" s="204">
        <v>13048375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16.261486493628066</v>
      </c>
      <c r="D71" s="203">
        <f>IF((D77/365)=0,0,+D74/(D77/365))</f>
        <v>12.008532353628608</v>
      </c>
      <c r="E71" s="203">
        <f>IF((E77/365)=0,0,+E74/(E77/365))</f>
        <v>10.605050381579188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3717748</v>
      </c>
      <c r="D72" s="183">
        <v>2221385</v>
      </c>
      <c r="E72" s="183">
        <v>1731840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3717748</v>
      </c>
      <c r="D74" s="204">
        <f>+D72+D73</f>
        <v>2221385</v>
      </c>
      <c r="E74" s="204">
        <f>+E72+E73</f>
        <v>1731840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88958809</v>
      </c>
      <c r="D75" s="204">
        <f>+D14</f>
        <v>72962299</v>
      </c>
      <c r="E75" s="204">
        <f>+E14</f>
        <v>65083198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5511455</v>
      </c>
      <c r="D76" s="204">
        <v>5443180</v>
      </c>
      <c r="E76" s="204">
        <v>5477484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83447354</v>
      </c>
      <c r="D77" s="204">
        <f>+D75-D76</f>
        <v>67519119</v>
      </c>
      <c r="E77" s="204">
        <f>+E75-E76</f>
        <v>59605714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27.585727709905424</v>
      </c>
      <c r="D79" s="203">
        <f>IF((D84/365)=0,0,+D83/(D84/365))</f>
        <v>27.961465252815412</v>
      </c>
      <c r="E79" s="203">
        <f>IF((E84/365)=0,0,+E83/(E84/365))</f>
        <v>23.558514216105088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8601320</v>
      </c>
      <c r="D80" s="212">
        <v>7314799</v>
      </c>
      <c r="E80" s="212">
        <v>6782651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2461714</v>
      </c>
      <c r="D82" s="212">
        <v>1973652</v>
      </c>
      <c r="E82" s="212">
        <v>2776797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6139606</v>
      </c>
      <c r="D83" s="212">
        <f>+D80+D81-D82</f>
        <v>5341147</v>
      </c>
      <c r="E83" s="212">
        <f>+E80+E81-E82</f>
        <v>4005854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81236073</v>
      </c>
      <c r="D84" s="204">
        <f>+D11</f>
        <v>69721620</v>
      </c>
      <c r="E84" s="204">
        <f>+E11</f>
        <v>62064046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64.560040993031365</v>
      </c>
      <c r="D86" s="203">
        <f>IF((D90/365)=0,0,+D87/(D90/365))</f>
        <v>74.511029979523286</v>
      </c>
      <c r="E86" s="203">
        <f>IF((E90/365)=0,0,+E87/(E90/365))</f>
        <v>79.902689782392329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14759903</v>
      </c>
      <c r="D87" s="76">
        <f>+D69</f>
        <v>13783340</v>
      </c>
      <c r="E87" s="76">
        <f>+E69</f>
        <v>13048375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88958809</v>
      </c>
      <c r="D88" s="76">
        <f t="shared" si="0"/>
        <v>72962299</v>
      </c>
      <c r="E88" s="76">
        <f t="shared" si="0"/>
        <v>65083198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5511455</v>
      </c>
      <c r="D89" s="201">
        <f t="shared" si="0"/>
        <v>5443180</v>
      </c>
      <c r="E89" s="201">
        <f t="shared" si="0"/>
        <v>5477484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83447354</v>
      </c>
      <c r="D90" s="76">
        <f>+D88-D89</f>
        <v>67519119</v>
      </c>
      <c r="E90" s="76">
        <f>+E88-E89</f>
        <v>59605714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30.954389532744703</v>
      </c>
      <c r="D94" s="214">
        <f>IF(D96=0,0,(D95/D96)*100)</f>
        <v>51.783365837042737</v>
      </c>
      <c r="E94" s="214">
        <f>IF(E96=0,0,(E95/E96)*100)</f>
        <v>51.098844548648223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20545903</v>
      </c>
      <c r="D95" s="76">
        <f>+D32</f>
        <v>31727632</v>
      </c>
      <c r="E95" s="76">
        <f>+E32</f>
        <v>34128301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66374764</v>
      </c>
      <c r="D96" s="76">
        <v>61269930</v>
      </c>
      <c r="E96" s="76">
        <v>66788792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-4.822344328141047</v>
      </c>
      <c r="D98" s="214">
        <f>IF(D104=0,0,(D101/D104)*100)</f>
        <v>20.662593427744699</v>
      </c>
      <c r="E98" s="214">
        <f>IF(E104=0,0,(E101/E104)*100)</f>
        <v>24.473593721770566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-6456113</v>
      </c>
      <c r="D99" s="76">
        <f>+D28</f>
        <v>-2083520</v>
      </c>
      <c r="E99" s="76">
        <f>+E28</f>
        <v>-2019154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5511455</v>
      </c>
      <c r="D100" s="201">
        <f>+D76</f>
        <v>5443180</v>
      </c>
      <c r="E100" s="201">
        <f>+E76</f>
        <v>5477484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-944658</v>
      </c>
      <c r="D101" s="76">
        <f>+D99+D100</f>
        <v>3359660</v>
      </c>
      <c r="E101" s="76">
        <f>+E99+E100</f>
        <v>3458330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14759903</v>
      </c>
      <c r="D102" s="204">
        <f>+D69</f>
        <v>13783340</v>
      </c>
      <c r="E102" s="204">
        <f>+E69</f>
        <v>13048375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4829283</v>
      </c>
      <c r="D103" s="216">
        <v>2476284</v>
      </c>
      <c r="E103" s="216">
        <v>1082488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19589186</v>
      </c>
      <c r="D104" s="204">
        <f>+D102+D103</f>
        <v>16259624</v>
      </c>
      <c r="E104" s="204">
        <f>+E102+E103</f>
        <v>14130863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19.03151764089532</v>
      </c>
      <c r="D106" s="214">
        <f>IF(D109=0,0,(D107/D109)*100)</f>
        <v>7.2397675166784996</v>
      </c>
      <c r="E106" s="214">
        <f>IF(E109=0,0,(E107/E109)*100)</f>
        <v>3.0743077072200795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4829283</v>
      </c>
      <c r="D107" s="204">
        <f>+D103</f>
        <v>2476284</v>
      </c>
      <c r="E107" s="204">
        <f>+E103</f>
        <v>1082488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20545903</v>
      </c>
      <c r="D108" s="204">
        <f>+D32</f>
        <v>31727632</v>
      </c>
      <c r="E108" s="204">
        <f>+E32</f>
        <v>34128301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25375186</v>
      </c>
      <c r="D109" s="204">
        <f>+D107+D108</f>
        <v>34203916</v>
      </c>
      <c r="E109" s="204">
        <f>+E107+E108</f>
        <v>35210789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-0.68582932932126572</v>
      </c>
      <c r="D111" s="214">
        <f>IF((+D113+D115)=0,0,((+D112+D113+D114)/(+D113+D115)))</f>
        <v>2.0442207210790628</v>
      </c>
      <c r="E111" s="214">
        <f>IF((+E113+E115)=0,0,((+E112+E113+E114)/(+E113+E115)))</f>
        <v>2.4442516440474544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-6456113</v>
      </c>
      <c r="D112" s="76">
        <f>+D17</f>
        <v>-2083520</v>
      </c>
      <c r="E112" s="76">
        <f>+E17</f>
        <v>-2019154</v>
      </c>
    </row>
    <row r="113" spans="1:8" ht="24" customHeight="1" x14ac:dyDescent="0.2">
      <c r="A113" s="85">
        <v>17</v>
      </c>
      <c r="B113" s="75" t="s">
        <v>88</v>
      </c>
      <c r="C113" s="218">
        <v>391263</v>
      </c>
      <c r="D113" s="76">
        <v>263572</v>
      </c>
      <c r="E113" s="76">
        <v>128030</v>
      </c>
    </row>
    <row r="114" spans="1:8" ht="24" customHeight="1" x14ac:dyDescent="0.2">
      <c r="A114" s="85">
        <v>18</v>
      </c>
      <c r="B114" s="75" t="s">
        <v>374</v>
      </c>
      <c r="C114" s="218">
        <v>5511455</v>
      </c>
      <c r="D114" s="76">
        <v>5443180</v>
      </c>
      <c r="E114" s="76">
        <v>5477484</v>
      </c>
    </row>
    <row r="115" spans="1:8" ht="24" customHeight="1" x14ac:dyDescent="0.2">
      <c r="A115" s="85">
        <v>19</v>
      </c>
      <c r="B115" s="75" t="s">
        <v>104</v>
      </c>
      <c r="C115" s="218">
        <v>415636</v>
      </c>
      <c r="D115" s="76">
        <v>1508855</v>
      </c>
      <c r="E115" s="76">
        <v>1339233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13.744360790390196</v>
      </c>
      <c r="D119" s="214">
        <f>IF(+D121=0,0,(+D120)/(+D121))</f>
        <v>11.733677556134465</v>
      </c>
      <c r="E119" s="214">
        <f>IF(+E121=0,0,(+E120)/(+E121))</f>
        <v>12.660245652931163</v>
      </c>
    </row>
    <row r="120" spans="1:8" ht="24" customHeight="1" x14ac:dyDescent="0.2">
      <c r="A120" s="85">
        <v>21</v>
      </c>
      <c r="B120" s="75" t="s">
        <v>378</v>
      </c>
      <c r="C120" s="218">
        <v>75751426</v>
      </c>
      <c r="D120" s="218">
        <v>63868519</v>
      </c>
      <c r="E120" s="218">
        <v>69346293</v>
      </c>
    </row>
    <row r="121" spans="1:8" ht="24" customHeight="1" x14ac:dyDescent="0.2">
      <c r="A121" s="85">
        <v>22</v>
      </c>
      <c r="B121" s="75" t="s">
        <v>374</v>
      </c>
      <c r="C121" s="218">
        <v>5511455</v>
      </c>
      <c r="D121" s="218">
        <v>5443180</v>
      </c>
      <c r="E121" s="218">
        <v>5477484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8537</v>
      </c>
      <c r="D124" s="218">
        <v>7017</v>
      </c>
      <c r="E124" s="218">
        <v>6716</v>
      </c>
    </row>
    <row r="125" spans="1:8" ht="24" customHeight="1" x14ac:dyDescent="0.2">
      <c r="A125" s="85">
        <v>2</v>
      </c>
      <c r="B125" s="75" t="s">
        <v>381</v>
      </c>
      <c r="C125" s="218">
        <v>2288</v>
      </c>
      <c r="D125" s="218">
        <v>1824</v>
      </c>
      <c r="E125" s="218">
        <v>1636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3.7312062937062938</v>
      </c>
      <c r="D126" s="219">
        <f>IF(D125=0,0,D124/D125)</f>
        <v>3.8470394736842106</v>
      </c>
      <c r="E126" s="219">
        <f>IF(E125=0,0,E124/E125)</f>
        <v>4.1051344743276283</v>
      </c>
    </row>
    <row r="127" spans="1:8" ht="24" customHeight="1" x14ac:dyDescent="0.2">
      <c r="A127" s="85">
        <v>4</v>
      </c>
      <c r="B127" s="75" t="s">
        <v>383</v>
      </c>
      <c r="C127" s="218">
        <v>27</v>
      </c>
      <c r="D127" s="218">
        <v>22</v>
      </c>
      <c r="E127" s="218">
        <v>19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95</v>
      </c>
      <c r="E128" s="218">
        <v>85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95</v>
      </c>
      <c r="D129" s="218">
        <v>85</v>
      </c>
      <c r="E129" s="218">
        <v>85</v>
      </c>
    </row>
    <row r="130" spans="1:7" ht="24" customHeight="1" x14ac:dyDescent="0.2">
      <c r="A130" s="85">
        <v>7</v>
      </c>
      <c r="B130" s="75" t="s">
        <v>386</v>
      </c>
      <c r="C130" s="193">
        <v>0.86619999999999997</v>
      </c>
      <c r="D130" s="193">
        <v>0.87380000000000002</v>
      </c>
      <c r="E130" s="193">
        <v>0.96840000000000004</v>
      </c>
    </row>
    <row r="131" spans="1:7" ht="24" customHeight="1" x14ac:dyDescent="0.2">
      <c r="A131" s="85">
        <v>8</v>
      </c>
      <c r="B131" s="75" t="s">
        <v>387</v>
      </c>
      <c r="C131" s="193">
        <v>0.2462</v>
      </c>
      <c r="D131" s="193">
        <v>0.20230000000000001</v>
      </c>
      <c r="E131" s="193">
        <v>0.21640000000000001</v>
      </c>
    </row>
    <row r="132" spans="1:7" ht="24" customHeight="1" x14ac:dyDescent="0.2">
      <c r="A132" s="85">
        <v>9</v>
      </c>
      <c r="B132" s="75" t="s">
        <v>388</v>
      </c>
      <c r="C132" s="219">
        <v>420.3</v>
      </c>
      <c r="D132" s="219">
        <v>362.2</v>
      </c>
      <c r="E132" s="219">
        <v>307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0.44639716563172288</v>
      </c>
      <c r="D135" s="227">
        <f>IF(D149=0,0,D143/D149)</f>
        <v>0.41808253349431462</v>
      </c>
      <c r="E135" s="227">
        <f>IF(E149=0,0,E143/E149)</f>
        <v>0.40039086529272194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0.44236889258152351</v>
      </c>
      <c r="D136" s="227">
        <f>IF(D149=0,0,D144/D149)</f>
        <v>0.46432807291480832</v>
      </c>
      <c r="E136" s="227">
        <f>IF(E149=0,0,E144/E149)</f>
        <v>0.46443307319526916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8.5183209741255261E-2</v>
      </c>
      <c r="D137" s="227">
        <f>IF(D149=0,0,D145/D149)</f>
        <v>9.5412088386916449E-2</v>
      </c>
      <c r="E137" s="227">
        <f>IF(E149=0,0,E145/E149)</f>
        <v>0.11528178006346036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2.254214367321775E-3</v>
      </c>
      <c r="D138" s="227">
        <f>IF(D149=0,0,D146/D149)</f>
        <v>2.4809008627430136E-3</v>
      </c>
      <c r="E138" s="227">
        <f>IF(E149=0,0,E146/E149)</f>
        <v>3.0348491963851083E-3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2.1873345787583931E-2</v>
      </c>
      <c r="D139" s="227">
        <f>IF(D149=0,0,D147/D149)</f>
        <v>1.8276768626056126E-2</v>
      </c>
      <c r="E139" s="227">
        <f>IF(E149=0,0,E147/E149)</f>
        <v>1.4481274903194289E-2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1.9231718905926901E-3</v>
      </c>
      <c r="D140" s="227">
        <f>IF(D149=0,0,D148/D149)</f>
        <v>1.4196357151614605E-3</v>
      </c>
      <c r="E140" s="227">
        <f>IF(E149=0,0,E148/E149)</f>
        <v>2.3781573489691536E-3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91235379</v>
      </c>
      <c r="D143" s="229">
        <f>+D46-D147</f>
        <v>76994635</v>
      </c>
      <c r="E143" s="229">
        <f>+E46-E147</f>
        <v>68922104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90412074</v>
      </c>
      <c r="D144" s="229">
        <f>+D51</f>
        <v>85511275</v>
      </c>
      <c r="E144" s="229">
        <f>+E51</f>
        <v>79946141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17409883</v>
      </c>
      <c r="D145" s="229">
        <f>+D55</f>
        <v>17571217</v>
      </c>
      <c r="E145" s="229">
        <f>+E55</f>
        <v>19844266</v>
      </c>
    </row>
    <row r="146" spans="1:7" ht="20.100000000000001" customHeight="1" x14ac:dyDescent="0.2">
      <c r="A146" s="226">
        <v>11</v>
      </c>
      <c r="B146" s="224" t="s">
        <v>400</v>
      </c>
      <c r="C146" s="228">
        <v>460720</v>
      </c>
      <c r="D146" s="229">
        <v>456886</v>
      </c>
      <c r="E146" s="229">
        <v>522410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4470510</v>
      </c>
      <c r="D147" s="229">
        <f>+D47</f>
        <v>3365874</v>
      </c>
      <c r="E147" s="229">
        <f>+E47</f>
        <v>2492764</v>
      </c>
    </row>
    <row r="148" spans="1:7" ht="20.100000000000001" customHeight="1" x14ac:dyDescent="0.2">
      <c r="A148" s="226">
        <v>13</v>
      </c>
      <c r="B148" s="224" t="s">
        <v>402</v>
      </c>
      <c r="C148" s="230">
        <v>393061</v>
      </c>
      <c r="D148" s="229">
        <v>261442</v>
      </c>
      <c r="E148" s="229">
        <v>409369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204381627</v>
      </c>
      <c r="D149" s="229">
        <f>SUM(D143:D148)</f>
        <v>184161329</v>
      </c>
      <c r="E149" s="229">
        <f>SUM(E143:E148)</f>
        <v>172137054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0.61805001224985079</v>
      </c>
      <c r="D152" s="227">
        <f>IF(D166=0,0,D160/D166)</f>
        <v>0.59915312179069413</v>
      </c>
      <c r="E152" s="227">
        <f>IF(E166=0,0,E160/E166)</f>
        <v>0.58989597698265084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0.31213133601451504</v>
      </c>
      <c r="D153" s="227">
        <f>IF(D166=0,0,D161/D166)</f>
        <v>0.33017515272304987</v>
      </c>
      <c r="E153" s="227">
        <f>IF(E166=0,0,E161/E166)</f>
        <v>0.32259372274021486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6.4621349308834938E-2</v>
      </c>
      <c r="D154" s="227">
        <f>IF(D166=0,0,D162/D166)</f>
        <v>6.4548291087053941E-2</v>
      </c>
      <c r="E154" s="227">
        <f>IF(E166=0,0,E162/E166)</f>
        <v>7.9455512644253087E-2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1.637622477263355E-3</v>
      </c>
      <c r="D155" s="227">
        <f>IF(D166=0,0,D163/D166)</f>
        <v>1.7003248905782505E-3</v>
      </c>
      <c r="E155" s="227">
        <f>IF(E166=0,0,E163/E166)</f>
        <v>2.1268579127620255E-3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2.2578661321264737E-3</v>
      </c>
      <c r="D156" s="227">
        <f>IF(D166=0,0,D164/D166)</f>
        <v>3.1757432421196958E-3</v>
      </c>
      <c r="E156" s="227">
        <f>IF(E166=0,0,E164/E166)</f>
        <v>4.5315561539879621E-3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1.3018138174093943E-3</v>
      </c>
      <c r="D157" s="227">
        <f>IF(D166=0,0,D165/D166)</f>
        <v>1.2473662665041258E-3</v>
      </c>
      <c r="E157" s="227">
        <f>IF(E166=0,0,E165/E166)</f>
        <v>1.3963735661312177E-3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48001628</v>
      </c>
      <c r="D160" s="229">
        <f>+D44-D164</f>
        <v>41904867</v>
      </c>
      <c r="E160" s="229">
        <f>+E44-E164</f>
        <v>37012829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24242071</v>
      </c>
      <c r="D161" s="229">
        <f>+D50</f>
        <v>23092504</v>
      </c>
      <c r="E161" s="229">
        <f>+E50</f>
        <v>20241037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5018898</v>
      </c>
      <c r="D162" s="229">
        <f>+D54</f>
        <v>4514518</v>
      </c>
      <c r="E162" s="229">
        <f>+E54</f>
        <v>4985410</v>
      </c>
    </row>
    <row r="163" spans="1:6" ht="20.100000000000001" customHeight="1" x14ac:dyDescent="0.2">
      <c r="A163" s="226">
        <v>11</v>
      </c>
      <c r="B163" s="224" t="s">
        <v>415</v>
      </c>
      <c r="C163" s="228">
        <v>127188</v>
      </c>
      <c r="D163" s="229">
        <v>118921</v>
      </c>
      <c r="E163" s="229">
        <v>133449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175360</v>
      </c>
      <c r="D164" s="229">
        <f>+D45</f>
        <v>222112</v>
      </c>
      <c r="E164" s="229">
        <f>+E45</f>
        <v>284331</v>
      </c>
    </row>
    <row r="165" spans="1:6" ht="20.100000000000001" customHeight="1" x14ac:dyDescent="0.2">
      <c r="A165" s="226">
        <v>13</v>
      </c>
      <c r="B165" s="224" t="s">
        <v>417</v>
      </c>
      <c r="C165" s="230">
        <v>101107</v>
      </c>
      <c r="D165" s="229">
        <v>87241</v>
      </c>
      <c r="E165" s="229">
        <v>87615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77666252</v>
      </c>
      <c r="D166" s="229">
        <f>SUM(D160:D165)</f>
        <v>69940163</v>
      </c>
      <c r="E166" s="229">
        <f>SUM(E160:E165)</f>
        <v>62744671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888</v>
      </c>
      <c r="D169" s="218">
        <v>545</v>
      </c>
      <c r="E169" s="218">
        <v>458</v>
      </c>
    </row>
    <row r="170" spans="1:6" ht="20.100000000000001" customHeight="1" x14ac:dyDescent="0.2">
      <c r="A170" s="226">
        <v>2</v>
      </c>
      <c r="B170" s="224" t="s">
        <v>420</v>
      </c>
      <c r="C170" s="218">
        <v>1118</v>
      </c>
      <c r="D170" s="218">
        <v>1083</v>
      </c>
      <c r="E170" s="218">
        <v>1047</v>
      </c>
    </row>
    <row r="171" spans="1:6" ht="20.100000000000001" customHeight="1" x14ac:dyDescent="0.2">
      <c r="A171" s="226">
        <v>3</v>
      </c>
      <c r="B171" s="224" t="s">
        <v>421</v>
      </c>
      <c r="C171" s="218">
        <v>273</v>
      </c>
      <c r="D171" s="218">
        <v>194</v>
      </c>
      <c r="E171" s="218">
        <v>129</v>
      </c>
    </row>
    <row r="172" spans="1:6" ht="20.100000000000001" customHeight="1" x14ac:dyDescent="0.2">
      <c r="A172" s="226">
        <v>4</v>
      </c>
      <c r="B172" s="224" t="s">
        <v>422</v>
      </c>
      <c r="C172" s="218">
        <v>265</v>
      </c>
      <c r="D172" s="218">
        <v>188</v>
      </c>
      <c r="E172" s="218">
        <v>123</v>
      </c>
    </row>
    <row r="173" spans="1:6" ht="20.100000000000001" customHeight="1" x14ac:dyDescent="0.2">
      <c r="A173" s="226">
        <v>5</v>
      </c>
      <c r="B173" s="224" t="s">
        <v>423</v>
      </c>
      <c r="C173" s="218">
        <v>8</v>
      </c>
      <c r="D173" s="218">
        <v>6</v>
      </c>
      <c r="E173" s="218">
        <v>6</v>
      </c>
    </row>
    <row r="174" spans="1:6" ht="20.100000000000001" customHeight="1" x14ac:dyDescent="0.2">
      <c r="A174" s="226">
        <v>6</v>
      </c>
      <c r="B174" s="224" t="s">
        <v>424</v>
      </c>
      <c r="C174" s="218">
        <v>9</v>
      </c>
      <c r="D174" s="218">
        <v>2</v>
      </c>
      <c r="E174" s="218">
        <v>2</v>
      </c>
    </row>
    <row r="175" spans="1:6" ht="20.100000000000001" customHeight="1" x14ac:dyDescent="0.2">
      <c r="A175" s="226">
        <v>7</v>
      </c>
      <c r="B175" s="224" t="s">
        <v>425</v>
      </c>
      <c r="C175" s="218">
        <v>54</v>
      </c>
      <c r="D175" s="218">
        <v>38</v>
      </c>
      <c r="E175" s="218">
        <v>35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2288</v>
      </c>
      <c r="D176" s="218">
        <f>+D169+D170+D171+D174</f>
        <v>1824</v>
      </c>
      <c r="E176" s="218">
        <f>+E169+E170+E171+E174</f>
        <v>1636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1.0384</v>
      </c>
      <c r="D179" s="231">
        <v>1.3024</v>
      </c>
      <c r="E179" s="231">
        <v>1.3713</v>
      </c>
    </row>
    <row r="180" spans="1:6" ht="20.100000000000001" customHeight="1" x14ac:dyDescent="0.2">
      <c r="A180" s="226">
        <v>2</v>
      </c>
      <c r="B180" s="224" t="s">
        <v>420</v>
      </c>
      <c r="C180" s="231">
        <v>1.339</v>
      </c>
      <c r="D180" s="231">
        <v>1.3311999999999999</v>
      </c>
      <c r="E180" s="231">
        <v>1.3188</v>
      </c>
    </row>
    <row r="181" spans="1:6" ht="20.100000000000001" customHeight="1" x14ac:dyDescent="0.2">
      <c r="A181" s="226">
        <v>3</v>
      </c>
      <c r="B181" s="224" t="s">
        <v>421</v>
      </c>
      <c r="C181" s="231">
        <v>0.77646099999999996</v>
      </c>
      <c r="D181" s="231">
        <v>0.99577700000000002</v>
      </c>
      <c r="E181" s="231">
        <v>1.1894</v>
      </c>
    </row>
    <row r="182" spans="1:6" ht="20.100000000000001" customHeight="1" x14ac:dyDescent="0.2">
      <c r="A182" s="226">
        <v>4</v>
      </c>
      <c r="B182" s="224" t="s">
        <v>422</v>
      </c>
      <c r="C182" s="231">
        <v>0.7772</v>
      </c>
      <c r="D182" s="231">
        <v>0.99209999999999998</v>
      </c>
      <c r="E182" s="231">
        <v>1.1894</v>
      </c>
    </row>
    <row r="183" spans="1:6" ht="20.100000000000001" customHeight="1" x14ac:dyDescent="0.2">
      <c r="A183" s="226">
        <v>5</v>
      </c>
      <c r="B183" s="224" t="s">
        <v>423</v>
      </c>
      <c r="C183" s="231">
        <v>0.752</v>
      </c>
      <c r="D183" s="231">
        <v>1.111</v>
      </c>
      <c r="E183" s="231">
        <v>1.1894</v>
      </c>
    </row>
    <row r="184" spans="1:6" ht="20.100000000000001" customHeight="1" x14ac:dyDescent="0.2">
      <c r="A184" s="226">
        <v>6</v>
      </c>
      <c r="B184" s="224" t="s">
        <v>424</v>
      </c>
      <c r="C184" s="231">
        <v>0.77890000000000004</v>
      </c>
      <c r="D184" s="231">
        <v>1.1599999999999999</v>
      </c>
      <c r="E184" s="231">
        <v>1.59</v>
      </c>
    </row>
    <row r="185" spans="1:6" ht="20.100000000000001" customHeight="1" x14ac:dyDescent="0.2">
      <c r="A185" s="226">
        <v>7</v>
      </c>
      <c r="B185" s="224" t="s">
        <v>425</v>
      </c>
      <c r="C185" s="231">
        <v>0.87460000000000004</v>
      </c>
      <c r="D185" s="231">
        <v>1.0138</v>
      </c>
      <c r="E185" s="231">
        <v>1.1025</v>
      </c>
    </row>
    <row r="186" spans="1:6" ht="20.100000000000001" customHeight="1" x14ac:dyDescent="0.2">
      <c r="A186" s="226">
        <v>8</v>
      </c>
      <c r="B186" s="224" t="s">
        <v>429</v>
      </c>
      <c r="C186" s="231">
        <v>1.153009</v>
      </c>
      <c r="D186" s="231">
        <v>1.2867310000000001</v>
      </c>
      <c r="E186" s="231">
        <v>1.3236250000000001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2050</v>
      </c>
      <c r="D189" s="218">
        <v>2135</v>
      </c>
      <c r="E189" s="218">
        <v>1984</v>
      </c>
    </row>
    <row r="190" spans="1:6" ht="20.100000000000001" customHeight="1" x14ac:dyDescent="0.2">
      <c r="A190" s="226">
        <v>2</v>
      </c>
      <c r="B190" s="224" t="s">
        <v>433</v>
      </c>
      <c r="C190" s="218">
        <v>16366</v>
      </c>
      <c r="D190" s="218">
        <v>15715</v>
      </c>
      <c r="E190" s="218">
        <v>14654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18416</v>
      </c>
      <c r="D191" s="218">
        <f>+D190+D189</f>
        <v>17850</v>
      </c>
      <c r="E191" s="218">
        <f>+E190+E189</f>
        <v>16638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FILING&amp;RNEW MILFORD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486703</v>
      </c>
      <c r="D14" s="258">
        <v>198795</v>
      </c>
      <c r="E14" s="258">
        <f t="shared" ref="E14:E24" si="0">D14-C14</f>
        <v>-287908</v>
      </c>
      <c r="F14" s="259">
        <f t="shared" ref="F14:F24" si="1">IF(C14=0,0,E14/C14)</f>
        <v>-0.59154761733541816</v>
      </c>
    </row>
    <row r="15" spans="1:7" ht="20.25" customHeight="1" x14ac:dyDescent="0.3">
      <c r="A15" s="256">
        <v>2</v>
      </c>
      <c r="B15" s="257" t="s">
        <v>442</v>
      </c>
      <c r="C15" s="258">
        <v>169479</v>
      </c>
      <c r="D15" s="258">
        <v>65171</v>
      </c>
      <c r="E15" s="258">
        <f t="shared" si="0"/>
        <v>-104308</v>
      </c>
      <c r="F15" s="259">
        <f t="shared" si="1"/>
        <v>-0.61546268269225091</v>
      </c>
    </row>
    <row r="16" spans="1:7" ht="20.25" customHeight="1" x14ac:dyDescent="0.3">
      <c r="A16" s="256">
        <v>3</v>
      </c>
      <c r="B16" s="257" t="s">
        <v>443</v>
      </c>
      <c r="C16" s="258">
        <v>1693895</v>
      </c>
      <c r="D16" s="258">
        <v>548131</v>
      </c>
      <c r="E16" s="258">
        <f t="shared" si="0"/>
        <v>-1145764</v>
      </c>
      <c r="F16" s="259">
        <f t="shared" si="1"/>
        <v>-0.67640792374970116</v>
      </c>
    </row>
    <row r="17" spans="1:6" ht="20.25" customHeight="1" x14ac:dyDescent="0.3">
      <c r="A17" s="256">
        <v>4</v>
      </c>
      <c r="B17" s="257" t="s">
        <v>444</v>
      </c>
      <c r="C17" s="258">
        <v>386688</v>
      </c>
      <c r="D17" s="258">
        <v>116263</v>
      </c>
      <c r="E17" s="258">
        <f t="shared" si="0"/>
        <v>-270425</v>
      </c>
      <c r="F17" s="259">
        <f t="shared" si="1"/>
        <v>-0.69933641592188012</v>
      </c>
    </row>
    <row r="18" spans="1:6" ht="20.25" customHeight="1" x14ac:dyDescent="0.3">
      <c r="A18" s="256">
        <v>5</v>
      </c>
      <c r="B18" s="257" t="s">
        <v>381</v>
      </c>
      <c r="C18" s="260">
        <v>20</v>
      </c>
      <c r="D18" s="260">
        <v>8</v>
      </c>
      <c r="E18" s="260">
        <f t="shared" si="0"/>
        <v>-12</v>
      </c>
      <c r="F18" s="259">
        <f t="shared" si="1"/>
        <v>-0.6</v>
      </c>
    </row>
    <row r="19" spans="1:6" ht="20.25" customHeight="1" x14ac:dyDescent="0.3">
      <c r="A19" s="256">
        <v>6</v>
      </c>
      <c r="B19" s="257" t="s">
        <v>380</v>
      </c>
      <c r="C19" s="260">
        <v>80</v>
      </c>
      <c r="D19" s="260">
        <v>42</v>
      </c>
      <c r="E19" s="260">
        <f t="shared" si="0"/>
        <v>-38</v>
      </c>
      <c r="F19" s="259">
        <f t="shared" si="1"/>
        <v>-0.47499999999999998</v>
      </c>
    </row>
    <row r="20" spans="1:6" ht="20.25" customHeight="1" x14ac:dyDescent="0.3">
      <c r="A20" s="256">
        <v>7</v>
      </c>
      <c r="B20" s="257" t="s">
        <v>445</v>
      </c>
      <c r="C20" s="260">
        <v>376</v>
      </c>
      <c r="D20" s="260">
        <v>138</v>
      </c>
      <c r="E20" s="260">
        <f t="shared" si="0"/>
        <v>-238</v>
      </c>
      <c r="F20" s="259">
        <f t="shared" si="1"/>
        <v>-0.63297872340425532</v>
      </c>
    </row>
    <row r="21" spans="1:6" ht="20.25" customHeight="1" x14ac:dyDescent="0.3">
      <c r="A21" s="256">
        <v>8</v>
      </c>
      <c r="B21" s="257" t="s">
        <v>446</v>
      </c>
      <c r="C21" s="260">
        <v>67</v>
      </c>
      <c r="D21" s="260">
        <v>26</v>
      </c>
      <c r="E21" s="260">
        <f t="shared" si="0"/>
        <v>-41</v>
      </c>
      <c r="F21" s="259">
        <f t="shared" si="1"/>
        <v>-0.61194029850746268</v>
      </c>
    </row>
    <row r="22" spans="1:6" ht="20.25" customHeight="1" x14ac:dyDescent="0.3">
      <c r="A22" s="256">
        <v>9</v>
      </c>
      <c r="B22" s="257" t="s">
        <v>447</v>
      </c>
      <c r="C22" s="260">
        <v>18</v>
      </c>
      <c r="D22" s="260">
        <v>8</v>
      </c>
      <c r="E22" s="260">
        <f t="shared" si="0"/>
        <v>-10</v>
      </c>
      <c r="F22" s="259">
        <f t="shared" si="1"/>
        <v>-0.55555555555555558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2180598</v>
      </c>
      <c r="D23" s="263">
        <f>+D14+D16</f>
        <v>746926</v>
      </c>
      <c r="E23" s="263">
        <f t="shared" si="0"/>
        <v>-1433672</v>
      </c>
      <c r="F23" s="264">
        <f t="shared" si="1"/>
        <v>-0.65746735528510991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556167</v>
      </c>
      <c r="D24" s="263">
        <f>+D15+D17</f>
        <v>181434</v>
      </c>
      <c r="E24" s="263">
        <f t="shared" si="0"/>
        <v>-374733</v>
      </c>
      <c r="F24" s="264">
        <f t="shared" si="1"/>
        <v>-0.67377784010917585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2</v>
      </c>
      <c r="D34" s="260">
        <v>0</v>
      </c>
      <c r="E34" s="260">
        <f t="shared" si="2"/>
        <v>-2</v>
      </c>
      <c r="F34" s="259">
        <f t="shared" si="3"/>
        <v>-1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531312</v>
      </c>
      <c r="D40" s="258">
        <v>288862</v>
      </c>
      <c r="E40" s="258">
        <f t="shared" ref="E40:E50" si="4">D40-C40</f>
        <v>-242450</v>
      </c>
      <c r="F40" s="259">
        <f t="shared" ref="F40:F50" si="5">IF(C40=0,0,E40/C40)</f>
        <v>-0.45632321498479234</v>
      </c>
    </row>
    <row r="41" spans="1:6" ht="20.25" customHeight="1" x14ac:dyDescent="0.3">
      <c r="A41" s="256">
        <v>2</v>
      </c>
      <c r="B41" s="257" t="s">
        <v>442</v>
      </c>
      <c r="C41" s="258">
        <v>185013</v>
      </c>
      <c r="D41" s="258">
        <v>94697</v>
      </c>
      <c r="E41" s="258">
        <f t="shared" si="4"/>
        <v>-90316</v>
      </c>
      <c r="F41" s="259">
        <f t="shared" si="5"/>
        <v>-0.48816029143897999</v>
      </c>
    </row>
    <row r="42" spans="1:6" ht="20.25" customHeight="1" x14ac:dyDescent="0.3">
      <c r="A42" s="256">
        <v>3</v>
      </c>
      <c r="B42" s="257" t="s">
        <v>443</v>
      </c>
      <c r="C42" s="258">
        <v>1036106</v>
      </c>
      <c r="D42" s="258">
        <v>1134691</v>
      </c>
      <c r="E42" s="258">
        <f t="shared" si="4"/>
        <v>98585</v>
      </c>
      <c r="F42" s="259">
        <f t="shared" si="5"/>
        <v>9.5149531032539147E-2</v>
      </c>
    </row>
    <row r="43" spans="1:6" ht="20.25" customHeight="1" x14ac:dyDescent="0.3">
      <c r="A43" s="256">
        <v>4</v>
      </c>
      <c r="B43" s="257" t="s">
        <v>444</v>
      </c>
      <c r="C43" s="258">
        <v>236526</v>
      </c>
      <c r="D43" s="258">
        <v>240679</v>
      </c>
      <c r="E43" s="258">
        <f t="shared" si="4"/>
        <v>4153</v>
      </c>
      <c r="F43" s="259">
        <f t="shared" si="5"/>
        <v>1.7558323397850552E-2</v>
      </c>
    </row>
    <row r="44" spans="1:6" ht="20.25" customHeight="1" x14ac:dyDescent="0.3">
      <c r="A44" s="256">
        <v>5</v>
      </c>
      <c r="B44" s="257" t="s">
        <v>381</v>
      </c>
      <c r="C44" s="260">
        <v>21</v>
      </c>
      <c r="D44" s="260">
        <v>12</v>
      </c>
      <c r="E44" s="260">
        <f t="shared" si="4"/>
        <v>-9</v>
      </c>
      <c r="F44" s="259">
        <f t="shared" si="5"/>
        <v>-0.42857142857142855</v>
      </c>
    </row>
    <row r="45" spans="1:6" ht="20.25" customHeight="1" x14ac:dyDescent="0.3">
      <c r="A45" s="256">
        <v>6</v>
      </c>
      <c r="B45" s="257" t="s">
        <v>380</v>
      </c>
      <c r="C45" s="260">
        <v>81</v>
      </c>
      <c r="D45" s="260">
        <v>35</v>
      </c>
      <c r="E45" s="260">
        <f t="shared" si="4"/>
        <v>-46</v>
      </c>
      <c r="F45" s="259">
        <f t="shared" si="5"/>
        <v>-0.5679012345679012</v>
      </c>
    </row>
    <row r="46" spans="1:6" ht="20.25" customHeight="1" x14ac:dyDescent="0.3">
      <c r="A46" s="256">
        <v>7</v>
      </c>
      <c r="B46" s="257" t="s">
        <v>445</v>
      </c>
      <c r="C46" s="260">
        <v>233</v>
      </c>
      <c r="D46" s="260">
        <v>342</v>
      </c>
      <c r="E46" s="260">
        <f t="shared" si="4"/>
        <v>109</v>
      </c>
      <c r="F46" s="259">
        <f t="shared" si="5"/>
        <v>0.46781115879828328</v>
      </c>
    </row>
    <row r="47" spans="1:6" ht="20.25" customHeight="1" x14ac:dyDescent="0.3">
      <c r="A47" s="256">
        <v>8</v>
      </c>
      <c r="B47" s="257" t="s">
        <v>446</v>
      </c>
      <c r="C47" s="260">
        <v>61</v>
      </c>
      <c r="D47" s="260">
        <v>69</v>
      </c>
      <c r="E47" s="260">
        <f t="shared" si="4"/>
        <v>8</v>
      </c>
      <c r="F47" s="259">
        <f t="shared" si="5"/>
        <v>0.13114754098360656</v>
      </c>
    </row>
    <row r="48" spans="1:6" ht="20.25" customHeight="1" x14ac:dyDescent="0.3">
      <c r="A48" s="256">
        <v>9</v>
      </c>
      <c r="B48" s="257" t="s">
        <v>447</v>
      </c>
      <c r="C48" s="260">
        <v>18</v>
      </c>
      <c r="D48" s="260">
        <v>10</v>
      </c>
      <c r="E48" s="260">
        <f t="shared" si="4"/>
        <v>-8</v>
      </c>
      <c r="F48" s="259">
        <f t="shared" si="5"/>
        <v>-0.44444444444444442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1567418</v>
      </c>
      <c r="D49" s="263">
        <f>+D40+D42</f>
        <v>1423553</v>
      </c>
      <c r="E49" s="263">
        <f t="shared" si="4"/>
        <v>-143865</v>
      </c>
      <c r="F49" s="264">
        <f t="shared" si="5"/>
        <v>-9.1784705802791591E-2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421539</v>
      </c>
      <c r="D50" s="263">
        <f>+D41+D43</f>
        <v>335376</v>
      </c>
      <c r="E50" s="263">
        <f t="shared" si="4"/>
        <v>-86163</v>
      </c>
      <c r="F50" s="264">
        <f t="shared" si="5"/>
        <v>-0.2044010162760741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141333</v>
      </c>
      <c r="D66" s="258">
        <v>33707</v>
      </c>
      <c r="E66" s="258">
        <f t="shared" ref="E66:E76" si="8">D66-C66</f>
        <v>-107626</v>
      </c>
      <c r="F66" s="259">
        <f t="shared" ref="F66:F76" si="9">IF(C66=0,0,E66/C66)</f>
        <v>-0.76150651298705896</v>
      </c>
    </row>
    <row r="67" spans="1:6" ht="20.25" customHeight="1" x14ac:dyDescent="0.3">
      <c r="A67" s="256">
        <v>2</v>
      </c>
      <c r="B67" s="257" t="s">
        <v>442</v>
      </c>
      <c r="C67" s="258">
        <v>49215</v>
      </c>
      <c r="D67" s="258">
        <v>11050</v>
      </c>
      <c r="E67" s="258">
        <f t="shared" si="8"/>
        <v>-38165</v>
      </c>
      <c r="F67" s="259">
        <f t="shared" si="9"/>
        <v>-0.7754749568221071</v>
      </c>
    </row>
    <row r="68" spans="1:6" ht="20.25" customHeight="1" x14ac:dyDescent="0.3">
      <c r="A68" s="256">
        <v>3</v>
      </c>
      <c r="B68" s="257" t="s">
        <v>443</v>
      </c>
      <c r="C68" s="258">
        <v>68085</v>
      </c>
      <c r="D68" s="258">
        <v>34610</v>
      </c>
      <c r="E68" s="258">
        <f t="shared" si="8"/>
        <v>-33475</v>
      </c>
      <c r="F68" s="259">
        <f t="shared" si="9"/>
        <v>-0.49166483072629802</v>
      </c>
    </row>
    <row r="69" spans="1:6" ht="20.25" customHeight="1" x14ac:dyDescent="0.3">
      <c r="A69" s="256">
        <v>4</v>
      </c>
      <c r="B69" s="257" t="s">
        <v>444</v>
      </c>
      <c r="C69" s="258">
        <v>15542</v>
      </c>
      <c r="D69" s="258">
        <v>7341</v>
      </c>
      <c r="E69" s="258">
        <f t="shared" si="8"/>
        <v>-8201</v>
      </c>
      <c r="F69" s="259">
        <f t="shared" si="9"/>
        <v>-0.52766696692832327</v>
      </c>
    </row>
    <row r="70" spans="1:6" ht="20.25" customHeight="1" x14ac:dyDescent="0.3">
      <c r="A70" s="256">
        <v>5</v>
      </c>
      <c r="B70" s="257" t="s">
        <v>381</v>
      </c>
      <c r="C70" s="260">
        <v>3</v>
      </c>
      <c r="D70" s="260">
        <v>2</v>
      </c>
      <c r="E70" s="260">
        <f t="shared" si="8"/>
        <v>-1</v>
      </c>
      <c r="F70" s="259">
        <f t="shared" si="9"/>
        <v>-0.33333333333333331</v>
      </c>
    </row>
    <row r="71" spans="1:6" ht="20.25" customHeight="1" x14ac:dyDescent="0.3">
      <c r="A71" s="256">
        <v>6</v>
      </c>
      <c r="B71" s="257" t="s">
        <v>380</v>
      </c>
      <c r="C71" s="260">
        <v>62</v>
      </c>
      <c r="D71" s="260">
        <v>6</v>
      </c>
      <c r="E71" s="260">
        <f t="shared" si="8"/>
        <v>-56</v>
      </c>
      <c r="F71" s="259">
        <f t="shared" si="9"/>
        <v>-0.90322580645161288</v>
      </c>
    </row>
    <row r="72" spans="1:6" ht="20.25" customHeight="1" x14ac:dyDescent="0.3">
      <c r="A72" s="256">
        <v>7</v>
      </c>
      <c r="B72" s="257" t="s">
        <v>445</v>
      </c>
      <c r="C72" s="260">
        <v>4</v>
      </c>
      <c r="D72" s="260">
        <v>3</v>
      </c>
      <c r="E72" s="260">
        <f t="shared" si="8"/>
        <v>-1</v>
      </c>
      <c r="F72" s="259">
        <f t="shared" si="9"/>
        <v>-0.25</v>
      </c>
    </row>
    <row r="73" spans="1:6" ht="20.25" customHeight="1" x14ac:dyDescent="0.3">
      <c r="A73" s="256">
        <v>8</v>
      </c>
      <c r="B73" s="257" t="s">
        <v>446</v>
      </c>
      <c r="C73" s="260">
        <v>23</v>
      </c>
      <c r="D73" s="260">
        <v>17</v>
      </c>
      <c r="E73" s="260">
        <f t="shared" si="8"/>
        <v>-6</v>
      </c>
      <c r="F73" s="259">
        <f t="shared" si="9"/>
        <v>-0.2608695652173913</v>
      </c>
    </row>
    <row r="74" spans="1:6" ht="20.25" customHeight="1" x14ac:dyDescent="0.3">
      <c r="A74" s="256">
        <v>9</v>
      </c>
      <c r="B74" s="257" t="s">
        <v>447</v>
      </c>
      <c r="C74" s="260">
        <v>3</v>
      </c>
      <c r="D74" s="260">
        <v>2</v>
      </c>
      <c r="E74" s="260">
        <f t="shared" si="8"/>
        <v>-1</v>
      </c>
      <c r="F74" s="259">
        <f t="shared" si="9"/>
        <v>-0.33333333333333331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209418</v>
      </c>
      <c r="D75" s="263">
        <f>+D66+D68</f>
        <v>68317</v>
      </c>
      <c r="E75" s="263">
        <f t="shared" si="8"/>
        <v>-141101</v>
      </c>
      <c r="F75" s="264">
        <f t="shared" si="9"/>
        <v>-0.67377684821744077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64757</v>
      </c>
      <c r="D76" s="263">
        <f>+D67+D69</f>
        <v>18391</v>
      </c>
      <c r="E76" s="263">
        <f t="shared" si="8"/>
        <v>-46366</v>
      </c>
      <c r="F76" s="264">
        <f t="shared" si="9"/>
        <v>-0.71599981469184804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1714344</v>
      </c>
      <c r="D92" s="258">
        <v>1817857</v>
      </c>
      <c r="E92" s="258">
        <f t="shared" ref="E92:E102" si="12">D92-C92</f>
        <v>103513</v>
      </c>
      <c r="F92" s="259">
        <f t="shared" ref="F92:F102" si="13">IF(C92=0,0,E92/C92)</f>
        <v>6.0380530395299892E-2</v>
      </c>
    </row>
    <row r="93" spans="1:6" ht="20.25" customHeight="1" x14ac:dyDescent="0.3">
      <c r="A93" s="256">
        <v>2</v>
      </c>
      <c r="B93" s="257" t="s">
        <v>442</v>
      </c>
      <c r="C93" s="258">
        <v>596967</v>
      </c>
      <c r="D93" s="258">
        <v>595944</v>
      </c>
      <c r="E93" s="258">
        <f t="shared" si="12"/>
        <v>-1023</v>
      </c>
      <c r="F93" s="259">
        <f t="shared" si="13"/>
        <v>-1.7136625642623462E-3</v>
      </c>
    </row>
    <row r="94" spans="1:6" ht="20.25" customHeight="1" x14ac:dyDescent="0.3">
      <c r="A94" s="256">
        <v>3</v>
      </c>
      <c r="B94" s="257" t="s">
        <v>443</v>
      </c>
      <c r="C94" s="258">
        <v>2426419</v>
      </c>
      <c r="D94" s="258">
        <v>2575812</v>
      </c>
      <c r="E94" s="258">
        <f t="shared" si="12"/>
        <v>149393</v>
      </c>
      <c r="F94" s="259">
        <f t="shared" si="13"/>
        <v>6.1569333243763749E-2</v>
      </c>
    </row>
    <row r="95" spans="1:6" ht="20.25" customHeight="1" x14ac:dyDescent="0.3">
      <c r="A95" s="256">
        <v>4</v>
      </c>
      <c r="B95" s="257" t="s">
        <v>444</v>
      </c>
      <c r="C95" s="258">
        <v>553911</v>
      </c>
      <c r="D95" s="258">
        <v>546354</v>
      </c>
      <c r="E95" s="258">
        <f t="shared" si="12"/>
        <v>-7557</v>
      </c>
      <c r="F95" s="259">
        <f t="shared" si="13"/>
        <v>-1.3642985967059691E-2</v>
      </c>
    </row>
    <row r="96" spans="1:6" ht="20.25" customHeight="1" x14ac:dyDescent="0.3">
      <c r="A96" s="256">
        <v>5</v>
      </c>
      <c r="B96" s="257" t="s">
        <v>381</v>
      </c>
      <c r="C96" s="260">
        <v>61</v>
      </c>
      <c r="D96" s="260">
        <v>65</v>
      </c>
      <c r="E96" s="260">
        <f t="shared" si="12"/>
        <v>4</v>
      </c>
      <c r="F96" s="259">
        <f t="shared" si="13"/>
        <v>6.5573770491803282E-2</v>
      </c>
    </row>
    <row r="97" spans="1:6" ht="20.25" customHeight="1" x14ac:dyDescent="0.3">
      <c r="A97" s="256">
        <v>6</v>
      </c>
      <c r="B97" s="257" t="s">
        <v>380</v>
      </c>
      <c r="C97" s="260">
        <v>246</v>
      </c>
      <c r="D97" s="260">
        <v>301</v>
      </c>
      <c r="E97" s="260">
        <f t="shared" si="12"/>
        <v>55</v>
      </c>
      <c r="F97" s="259">
        <f t="shared" si="13"/>
        <v>0.22357723577235772</v>
      </c>
    </row>
    <row r="98" spans="1:6" ht="20.25" customHeight="1" x14ac:dyDescent="0.3">
      <c r="A98" s="256">
        <v>7</v>
      </c>
      <c r="B98" s="257" t="s">
        <v>445</v>
      </c>
      <c r="C98" s="260">
        <v>791</v>
      </c>
      <c r="D98" s="260">
        <v>803</v>
      </c>
      <c r="E98" s="260">
        <f t="shared" si="12"/>
        <v>12</v>
      </c>
      <c r="F98" s="259">
        <f t="shared" si="13"/>
        <v>1.5170670037926675E-2</v>
      </c>
    </row>
    <row r="99" spans="1:6" ht="20.25" customHeight="1" x14ac:dyDescent="0.3">
      <c r="A99" s="256">
        <v>8</v>
      </c>
      <c r="B99" s="257" t="s">
        <v>446</v>
      </c>
      <c r="C99" s="260">
        <v>125</v>
      </c>
      <c r="D99" s="260">
        <v>141</v>
      </c>
      <c r="E99" s="260">
        <f t="shared" si="12"/>
        <v>16</v>
      </c>
      <c r="F99" s="259">
        <f t="shared" si="13"/>
        <v>0.128</v>
      </c>
    </row>
    <row r="100" spans="1:6" ht="20.25" customHeight="1" x14ac:dyDescent="0.3">
      <c r="A100" s="256">
        <v>9</v>
      </c>
      <c r="B100" s="257" t="s">
        <v>447</v>
      </c>
      <c r="C100" s="260">
        <v>51</v>
      </c>
      <c r="D100" s="260">
        <v>60</v>
      </c>
      <c r="E100" s="260">
        <f t="shared" si="12"/>
        <v>9</v>
      </c>
      <c r="F100" s="259">
        <f t="shared" si="13"/>
        <v>0.17647058823529413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4140763</v>
      </c>
      <c r="D101" s="263">
        <f>+D92+D94</f>
        <v>4393669</v>
      </c>
      <c r="E101" s="263">
        <f t="shared" si="12"/>
        <v>252906</v>
      </c>
      <c r="F101" s="264">
        <f t="shared" si="13"/>
        <v>6.1077149307989853E-2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1150878</v>
      </c>
      <c r="D102" s="263">
        <f>+D93+D95</f>
        <v>1142298</v>
      </c>
      <c r="E102" s="263">
        <f t="shared" si="12"/>
        <v>-8580</v>
      </c>
      <c r="F102" s="264">
        <f t="shared" si="13"/>
        <v>-7.4551776991131991E-3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320</v>
      </c>
      <c r="D107" s="258">
        <v>5528</v>
      </c>
      <c r="E107" s="258">
        <f t="shared" si="14"/>
        <v>5208</v>
      </c>
      <c r="F107" s="259">
        <f t="shared" si="15"/>
        <v>16.274999999999999</v>
      </c>
    </row>
    <row r="108" spans="1:6" ht="20.25" customHeight="1" x14ac:dyDescent="0.3">
      <c r="A108" s="256">
        <v>4</v>
      </c>
      <c r="B108" s="257" t="s">
        <v>444</v>
      </c>
      <c r="C108" s="258">
        <v>73</v>
      </c>
      <c r="D108" s="258">
        <v>1173</v>
      </c>
      <c r="E108" s="258">
        <f t="shared" si="14"/>
        <v>1100</v>
      </c>
      <c r="F108" s="259">
        <f t="shared" si="15"/>
        <v>15.068493150684931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1</v>
      </c>
      <c r="D111" s="260">
        <v>0</v>
      </c>
      <c r="E111" s="260">
        <f t="shared" si="14"/>
        <v>-1</v>
      </c>
      <c r="F111" s="259">
        <f t="shared" si="15"/>
        <v>-1</v>
      </c>
    </row>
    <row r="112" spans="1:6" ht="20.25" customHeight="1" x14ac:dyDescent="0.3">
      <c r="A112" s="256">
        <v>8</v>
      </c>
      <c r="B112" s="257" t="s">
        <v>446</v>
      </c>
      <c r="C112" s="260">
        <v>2</v>
      </c>
      <c r="D112" s="260">
        <v>6</v>
      </c>
      <c r="E112" s="260">
        <f t="shared" si="14"/>
        <v>4</v>
      </c>
      <c r="F112" s="259">
        <f t="shared" si="15"/>
        <v>2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320</v>
      </c>
      <c r="D114" s="263">
        <f>+D105+D107</f>
        <v>5528</v>
      </c>
      <c r="E114" s="263">
        <f t="shared" si="14"/>
        <v>5208</v>
      </c>
      <c r="F114" s="264">
        <f t="shared" si="15"/>
        <v>16.274999999999999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73</v>
      </c>
      <c r="D115" s="263">
        <f>+D106+D108</f>
        <v>1173</v>
      </c>
      <c r="E115" s="263">
        <f t="shared" si="14"/>
        <v>1100</v>
      </c>
      <c r="F115" s="264">
        <f t="shared" si="15"/>
        <v>15.068493150684931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365376</v>
      </c>
      <c r="D118" s="258">
        <v>964617</v>
      </c>
      <c r="E118" s="258">
        <f t="shared" ref="E118:E128" si="16">D118-C118</f>
        <v>599241</v>
      </c>
      <c r="F118" s="259">
        <f t="shared" ref="F118:F128" si="17">IF(C118=0,0,E118/C118)</f>
        <v>1.6400666710457172</v>
      </c>
    </row>
    <row r="119" spans="1:6" ht="20.25" customHeight="1" x14ac:dyDescent="0.3">
      <c r="A119" s="256">
        <v>2</v>
      </c>
      <c r="B119" s="257" t="s">
        <v>442</v>
      </c>
      <c r="C119" s="258">
        <v>127231</v>
      </c>
      <c r="D119" s="258">
        <v>316228</v>
      </c>
      <c r="E119" s="258">
        <f t="shared" si="16"/>
        <v>188997</v>
      </c>
      <c r="F119" s="259">
        <f t="shared" si="17"/>
        <v>1.485463448373431</v>
      </c>
    </row>
    <row r="120" spans="1:6" ht="20.25" customHeight="1" x14ac:dyDescent="0.3">
      <c r="A120" s="256">
        <v>3</v>
      </c>
      <c r="B120" s="257" t="s">
        <v>443</v>
      </c>
      <c r="C120" s="258">
        <v>1066664</v>
      </c>
      <c r="D120" s="258">
        <v>2262815</v>
      </c>
      <c r="E120" s="258">
        <f t="shared" si="16"/>
        <v>1196151</v>
      </c>
      <c r="F120" s="259">
        <f t="shared" si="17"/>
        <v>1.1213943659859149</v>
      </c>
    </row>
    <row r="121" spans="1:6" ht="20.25" customHeight="1" x14ac:dyDescent="0.3">
      <c r="A121" s="256">
        <v>4</v>
      </c>
      <c r="B121" s="257" t="s">
        <v>444</v>
      </c>
      <c r="C121" s="258">
        <v>243502</v>
      </c>
      <c r="D121" s="258">
        <v>479964</v>
      </c>
      <c r="E121" s="258">
        <f t="shared" si="16"/>
        <v>236462</v>
      </c>
      <c r="F121" s="259">
        <f t="shared" si="17"/>
        <v>0.97108853315373178</v>
      </c>
    </row>
    <row r="122" spans="1:6" ht="20.25" customHeight="1" x14ac:dyDescent="0.3">
      <c r="A122" s="256">
        <v>5</v>
      </c>
      <c r="B122" s="257" t="s">
        <v>381</v>
      </c>
      <c r="C122" s="260">
        <v>18</v>
      </c>
      <c r="D122" s="260">
        <v>42</v>
      </c>
      <c r="E122" s="260">
        <f t="shared" si="16"/>
        <v>24</v>
      </c>
      <c r="F122" s="259">
        <f t="shared" si="17"/>
        <v>1.3333333333333333</v>
      </c>
    </row>
    <row r="123" spans="1:6" ht="20.25" customHeight="1" x14ac:dyDescent="0.3">
      <c r="A123" s="256">
        <v>6</v>
      </c>
      <c r="B123" s="257" t="s">
        <v>380</v>
      </c>
      <c r="C123" s="260">
        <v>51</v>
      </c>
      <c r="D123" s="260">
        <v>160</v>
      </c>
      <c r="E123" s="260">
        <f t="shared" si="16"/>
        <v>109</v>
      </c>
      <c r="F123" s="259">
        <f t="shared" si="17"/>
        <v>2.1372549019607843</v>
      </c>
    </row>
    <row r="124" spans="1:6" ht="20.25" customHeight="1" x14ac:dyDescent="0.3">
      <c r="A124" s="256">
        <v>7</v>
      </c>
      <c r="B124" s="257" t="s">
        <v>445</v>
      </c>
      <c r="C124" s="260">
        <v>297</v>
      </c>
      <c r="D124" s="260">
        <v>675</v>
      </c>
      <c r="E124" s="260">
        <f t="shared" si="16"/>
        <v>378</v>
      </c>
      <c r="F124" s="259">
        <f t="shared" si="17"/>
        <v>1.2727272727272727</v>
      </c>
    </row>
    <row r="125" spans="1:6" ht="20.25" customHeight="1" x14ac:dyDescent="0.3">
      <c r="A125" s="256">
        <v>8</v>
      </c>
      <c r="B125" s="257" t="s">
        <v>446</v>
      </c>
      <c r="C125" s="260">
        <v>97</v>
      </c>
      <c r="D125" s="260">
        <v>145</v>
      </c>
      <c r="E125" s="260">
        <f t="shared" si="16"/>
        <v>48</v>
      </c>
      <c r="F125" s="259">
        <f t="shared" si="17"/>
        <v>0.49484536082474229</v>
      </c>
    </row>
    <row r="126" spans="1:6" ht="20.25" customHeight="1" x14ac:dyDescent="0.3">
      <c r="A126" s="256">
        <v>9</v>
      </c>
      <c r="B126" s="257" t="s">
        <v>447</v>
      </c>
      <c r="C126" s="260">
        <v>15</v>
      </c>
      <c r="D126" s="260">
        <v>40</v>
      </c>
      <c r="E126" s="260">
        <f t="shared" si="16"/>
        <v>25</v>
      </c>
      <c r="F126" s="259">
        <f t="shared" si="17"/>
        <v>1.6666666666666667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1432040</v>
      </c>
      <c r="D127" s="263">
        <f>+D118+D120</f>
        <v>3227432</v>
      </c>
      <c r="E127" s="263">
        <f t="shared" si="16"/>
        <v>1795392</v>
      </c>
      <c r="F127" s="264">
        <f t="shared" si="17"/>
        <v>1.2537303427278568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370733</v>
      </c>
      <c r="D128" s="263">
        <f>+D119+D121</f>
        <v>796192</v>
      </c>
      <c r="E128" s="263">
        <f t="shared" si="16"/>
        <v>425459</v>
      </c>
      <c r="F128" s="264">
        <f t="shared" si="17"/>
        <v>1.1476156694979944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35643</v>
      </c>
      <c r="D131" s="258">
        <v>0</v>
      </c>
      <c r="E131" s="258">
        <f t="shared" ref="E131:E141" si="18">D131-C131</f>
        <v>-35643</v>
      </c>
      <c r="F131" s="259">
        <f t="shared" ref="F131:F141" si="19">IF(C131=0,0,E131/C131)</f>
        <v>-1</v>
      </c>
    </row>
    <row r="132" spans="1:6" ht="20.25" customHeight="1" x14ac:dyDescent="0.3">
      <c r="A132" s="256">
        <v>2</v>
      </c>
      <c r="B132" s="257" t="s">
        <v>442</v>
      </c>
      <c r="C132" s="258">
        <v>12412</v>
      </c>
      <c r="D132" s="258">
        <v>0</v>
      </c>
      <c r="E132" s="258">
        <f t="shared" si="18"/>
        <v>-12412</v>
      </c>
      <c r="F132" s="259">
        <f t="shared" si="19"/>
        <v>-1</v>
      </c>
    </row>
    <row r="133" spans="1:6" ht="20.25" customHeight="1" x14ac:dyDescent="0.3">
      <c r="A133" s="256">
        <v>3</v>
      </c>
      <c r="B133" s="257" t="s">
        <v>443</v>
      </c>
      <c r="C133" s="258">
        <v>37717</v>
      </c>
      <c r="D133" s="258">
        <v>27277</v>
      </c>
      <c r="E133" s="258">
        <f t="shared" si="18"/>
        <v>-10440</v>
      </c>
      <c r="F133" s="259">
        <f t="shared" si="19"/>
        <v>-0.27679826073123526</v>
      </c>
    </row>
    <row r="134" spans="1:6" ht="20.25" customHeight="1" x14ac:dyDescent="0.3">
      <c r="A134" s="256">
        <v>4</v>
      </c>
      <c r="B134" s="257" t="s">
        <v>444</v>
      </c>
      <c r="C134" s="258">
        <v>8610</v>
      </c>
      <c r="D134" s="258">
        <v>5786</v>
      </c>
      <c r="E134" s="258">
        <f t="shared" si="18"/>
        <v>-2824</v>
      </c>
      <c r="F134" s="259">
        <f t="shared" si="19"/>
        <v>-0.32799070847851336</v>
      </c>
    </row>
    <row r="135" spans="1:6" ht="20.25" customHeight="1" x14ac:dyDescent="0.3">
      <c r="A135" s="256">
        <v>5</v>
      </c>
      <c r="B135" s="257" t="s">
        <v>381</v>
      </c>
      <c r="C135" s="260">
        <v>2</v>
      </c>
      <c r="D135" s="260">
        <v>0</v>
      </c>
      <c r="E135" s="260">
        <f t="shared" si="18"/>
        <v>-2</v>
      </c>
      <c r="F135" s="259">
        <f t="shared" si="19"/>
        <v>-1</v>
      </c>
    </row>
    <row r="136" spans="1:6" ht="20.25" customHeight="1" x14ac:dyDescent="0.3">
      <c r="A136" s="256">
        <v>6</v>
      </c>
      <c r="B136" s="257" t="s">
        <v>380</v>
      </c>
      <c r="C136" s="260">
        <v>4</v>
      </c>
      <c r="D136" s="260">
        <v>0</v>
      </c>
      <c r="E136" s="260">
        <f t="shared" si="18"/>
        <v>-4</v>
      </c>
      <c r="F136" s="259">
        <f t="shared" si="19"/>
        <v>-1</v>
      </c>
    </row>
    <row r="137" spans="1:6" ht="20.25" customHeight="1" x14ac:dyDescent="0.3">
      <c r="A137" s="256">
        <v>7</v>
      </c>
      <c r="B137" s="257" t="s">
        <v>445</v>
      </c>
      <c r="C137" s="260">
        <v>7</v>
      </c>
      <c r="D137" s="260">
        <v>6</v>
      </c>
      <c r="E137" s="260">
        <f t="shared" si="18"/>
        <v>-1</v>
      </c>
      <c r="F137" s="259">
        <f t="shared" si="19"/>
        <v>-0.14285714285714285</v>
      </c>
    </row>
    <row r="138" spans="1:6" ht="20.25" customHeight="1" x14ac:dyDescent="0.3">
      <c r="A138" s="256">
        <v>8</v>
      </c>
      <c r="B138" s="257" t="s">
        <v>446</v>
      </c>
      <c r="C138" s="260">
        <v>5</v>
      </c>
      <c r="D138" s="260">
        <v>4</v>
      </c>
      <c r="E138" s="260">
        <f t="shared" si="18"/>
        <v>-1</v>
      </c>
      <c r="F138" s="259">
        <f t="shared" si="19"/>
        <v>-0.2</v>
      </c>
    </row>
    <row r="139" spans="1:6" ht="20.25" customHeight="1" x14ac:dyDescent="0.3">
      <c r="A139" s="256">
        <v>9</v>
      </c>
      <c r="B139" s="257" t="s">
        <v>447</v>
      </c>
      <c r="C139" s="260">
        <v>2</v>
      </c>
      <c r="D139" s="260">
        <v>0</v>
      </c>
      <c r="E139" s="260">
        <f t="shared" si="18"/>
        <v>-2</v>
      </c>
      <c r="F139" s="259">
        <f t="shared" si="19"/>
        <v>-1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73360</v>
      </c>
      <c r="D140" s="263">
        <f>+D131+D133</f>
        <v>27277</v>
      </c>
      <c r="E140" s="263">
        <f t="shared" si="18"/>
        <v>-46083</v>
      </c>
      <c r="F140" s="264">
        <f t="shared" si="19"/>
        <v>-0.62817611777535443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21022</v>
      </c>
      <c r="D141" s="263">
        <f>+D132+D134</f>
        <v>5786</v>
      </c>
      <c r="E141" s="263">
        <f t="shared" si="18"/>
        <v>-15236</v>
      </c>
      <c r="F141" s="264">
        <f t="shared" si="19"/>
        <v>-0.72476453239463423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3274711</v>
      </c>
      <c r="D198" s="263">
        <f t="shared" si="28"/>
        <v>3303838</v>
      </c>
      <c r="E198" s="263">
        <f t="shared" ref="E198:E208" si="29">D198-C198</f>
        <v>29127</v>
      </c>
      <c r="F198" s="273">
        <f t="shared" ref="F198:F208" si="30">IF(C198=0,0,E198/C198)</f>
        <v>8.8945253489544577E-3</v>
      </c>
    </row>
    <row r="199" spans="1:9" ht="20.25" customHeight="1" x14ac:dyDescent="0.3">
      <c r="A199" s="271"/>
      <c r="B199" s="272" t="s">
        <v>466</v>
      </c>
      <c r="C199" s="263">
        <f t="shared" si="28"/>
        <v>1140317</v>
      </c>
      <c r="D199" s="263">
        <f t="shared" si="28"/>
        <v>1083090</v>
      </c>
      <c r="E199" s="263">
        <f t="shared" si="29"/>
        <v>-57227</v>
      </c>
      <c r="F199" s="273">
        <f t="shared" si="30"/>
        <v>-5.0185167808600592E-2</v>
      </c>
    </row>
    <row r="200" spans="1:9" ht="20.25" customHeight="1" x14ac:dyDescent="0.3">
      <c r="A200" s="271"/>
      <c r="B200" s="272" t="s">
        <v>467</v>
      </c>
      <c r="C200" s="263">
        <f t="shared" si="28"/>
        <v>6329206</v>
      </c>
      <c r="D200" s="263">
        <f t="shared" si="28"/>
        <v>6588864</v>
      </c>
      <c r="E200" s="263">
        <f t="shared" si="29"/>
        <v>259658</v>
      </c>
      <c r="F200" s="273">
        <f t="shared" si="30"/>
        <v>4.1025367162958515E-2</v>
      </c>
    </row>
    <row r="201" spans="1:9" ht="20.25" customHeight="1" x14ac:dyDescent="0.3">
      <c r="A201" s="271"/>
      <c r="B201" s="272" t="s">
        <v>468</v>
      </c>
      <c r="C201" s="263">
        <f t="shared" si="28"/>
        <v>1444852</v>
      </c>
      <c r="D201" s="263">
        <f t="shared" si="28"/>
        <v>1397560</v>
      </c>
      <c r="E201" s="263">
        <f t="shared" si="29"/>
        <v>-47292</v>
      </c>
      <c r="F201" s="273">
        <f t="shared" si="30"/>
        <v>-3.2731380099830294E-2</v>
      </c>
    </row>
    <row r="202" spans="1:9" ht="20.25" customHeight="1" x14ac:dyDescent="0.3">
      <c r="A202" s="271"/>
      <c r="B202" s="272" t="s">
        <v>138</v>
      </c>
      <c r="C202" s="274">
        <f t="shared" si="28"/>
        <v>125</v>
      </c>
      <c r="D202" s="274">
        <f t="shared" si="28"/>
        <v>129</v>
      </c>
      <c r="E202" s="274">
        <f t="shared" si="29"/>
        <v>4</v>
      </c>
      <c r="F202" s="273">
        <f t="shared" si="30"/>
        <v>3.2000000000000001E-2</v>
      </c>
    </row>
    <row r="203" spans="1:9" ht="20.25" customHeight="1" x14ac:dyDescent="0.3">
      <c r="A203" s="271"/>
      <c r="B203" s="272" t="s">
        <v>140</v>
      </c>
      <c r="C203" s="274">
        <f t="shared" si="28"/>
        <v>524</v>
      </c>
      <c r="D203" s="274">
        <f t="shared" si="28"/>
        <v>544</v>
      </c>
      <c r="E203" s="274">
        <f t="shared" si="29"/>
        <v>20</v>
      </c>
      <c r="F203" s="273">
        <f t="shared" si="30"/>
        <v>3.8167938931297711E-2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1709</v>
      </c>
      <c r="D204" s="274">
        <f t="shared" si="28"/>
        <v>1967</v>
      </c>
      <c r="E204" s="274">
        <f t="shared" si="29"/>
        <v>258</v>
      </c>
      <c r="F204" s="273">
        <f t="shared" si="30"/>
        <v>0.15096547688706846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382</v>
      </c>
      <c r="D205" s="274">
        <f t="shared" si="28"/>
        <v>408</v>
      </c>
      <c r="E205" s="274">
        <f t="shared" si="29"/>
        <v>26</v>
      </c>
      <c r="F205" s="273">
        <f t="shared" si="30"/>
        <v>6.8062827225130892E-2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107</v>
      </c>
      <c r="D206" s="274">
        <f t="shared" si="28"/>
        <v>120</v>
      </c>
      <c r="E206" s="274">
        <f t="shared" si="29"/>
        <v>13</v>
      </c>
      <c r="F206" s="273">
        <f t="shared" si="30"/>
        <v>0.12149532710280374</v>
      </c>
    </row>
    <row r="207" spans="1:9" ht="20.25" customHeight="1" x14ac:dyDescent="0.3">
      <c r="A207" s="271"/>
      <c r="B207" s="262" t="s">
        <v>471</v>
      </c>
      <c r="C207" s="263">
        <f>+C198+C200</f>
        <v>9603917</v>
      </c>
      <c r="D207" s="263">
        <f>+D198+D200</f>
        <v>9892702</v>
      </c>
      <c r="E207" s="263">
        <f t="shared" si="29"/>
        <v>288785</v>
      </c>
      <c r="F207" s="273">
        <f t="shared" si="30"/>
        <v>3.0069501850130523E-2</v>
      </c>
    </row>
    <row r="208" spans="1:9" ht="20.25" customHeight="1" x14ac:dyDescent="0.3">
      <c r="A208" s="271"/>
      <c r="B208" s="262" t="s">
        <v>472</v>
      </c>
      <c r="C208" s="263">
        <f>+C199+C201</f>
        <v>2585169</v>
      </c>
      <c r="D208" s="263">
        <f>+D199+D201</f>
        <v>2480650</v>
      </c>
      <c r="E208" s="263">
        <f t="shared" si="29"/>
        <v>-104519</v>
      </c>
      <c r="F208" s="273">
        <f t="shared" si="30"/>
        <v>-4.043023879676725E-2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FILING&amp;RNEW MILFORD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FILING&amp;RNEW MILFORD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71777507</v>
      </c>
      <c r="D13" s="22">
        <v>144314483</v>
      </c>
      <c r="E13" s="22">
        <f t="shared" ref="E13:E22" si="0">D13-C13</f>
        <v>72536976</v>
      </c>
      <c r="F13" s="306">
        <f t="shared" ref="F13:F22" si="1">IF(C13=0,0,E13/C13)</f>
        <v>1.010580877377087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14004464</v>
      </c>
      <c r="E14" s="22">
        <f t="shared" si="0"/>
        <v>14004464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76374995</v>
      </c>
      <c r="D15" s="22">
        <v>128633349</v>
      </c>
      <c r="E15" s="22">
        <f t="shared" si="0"/>
        <v>52258354</v>
      </c>
      <c r="F15" s="306">
        <f t="shared" si="1"/>
        <v>0.68423381238846559</v>
      </c>
    </row>
    <row r="16" spans="1:8" ht="35.1" customHeight="1" x14ac:dyDescent="0.2">
      <c r="A16" s="304">
        <v>4</v>
      </c>
      <c r="B16" s="305" t="s">
        <v>19</v>
      </c>
      <c r="C16" s="22">
        <v>6189827</v>
      </c>
      <c r="D16" s="22">
        <v>9863637</v>
      </c>
      <c r="E16" s="22">
        <f t="shared" si="0"/>
        <v>3673810</v>
      </c>
      <c r="F16" s="306">
        <f t="shared" si="1"/>
        <v>0.59352385777502348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11258609</v>
      </c>
      <c r="D19" s="22">
        <v>14459240</v>
      </c>
      <c r="E19" s="22">
        <f t="shared" si="0"/>
        <v>3200631</v>
      </c>
      <c r="F19" s="306">
        <f t="shared" si="1"/>
        <v>0.28428298735660862</v>
      </c>
    </row>
    <row r="20" spans="1:11" ht="24" customHeight="1" x14ac:dyDescent="0.2">
      <c r="A20" s="304">
        <v>8</v>
      </c>
      <c r="B20" s="305" t="s">
        <v>23</v>
      </c>
      <c r="C20" s="22">
        <v>15085296</v>
      </c>
      <c r="D20" s="22">
        <v>30762442</v>
      </c>
      <c r="E20" s="22">
        <f t="shared" si="0"/>
        <v>15677146</v>
      </c>
      <c r="F20" s="306">
        <f t="shared" si="1"/>
        <v>1.039233568900471</v>
      </c>
    </row>
    <row r="21" spans="1:11" ht="24" customHeight="1" x14ac:dyDescent="0.2">
      <c r="A21" s="304">
        <v>9</v>
      </c>
      <c r="B21" s="305" t="s">
        <v>24</v>
      </c>
      <c r="C21" s="22">
        <v>13627769</v>
      </c>
      <c r="D21" s="22">
        <v>16375353</v>
      </c>
      <c r="E21" s="22">
        <f t="shared" si="0"/>
        <v>2747584</v>
      </c>
      <c r="F21" s="306">
        <f t="shared" si="1"/>
        <v>0.20161656687899537</v>
      </c>
    </row>
    <row r="22" spans="1:11" ht="24" customHeight="1" x14ac:dyDescent="0.25">
      <c r="A22" s="307"/>
      <c r="B22" s="308" t="s">
        <v>25</v>
      </c>
      <c r="C22" s="309">
        <f>SUM(C13:C21)</f>
        <v>194314003</v>
      </c>
      <c r="D22" s="309">
        <f>SUM(D13:D21)</f>
        <v>358412968</v>
      </c>
      <c r="E22" s="309">
        <f t="shared" si="0"/>
        <v>164098965</v>
      </c>
      <c r="F22" s="310">
        <f t="shared" si="1"/>
        <v>0.84450406283895041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7593627</v>
      </c>
      <c r="D25" s="22">
        <v>15765862</v>
      </c>
      <c r="E25" s="22">
        <f>D25-C25</f>
        <v>8172235</v>
      </c>
      <c r="F25" s="306">
        <f>IF(C25=0,0,E25/C25)</f>
        <v>1.0761965263766577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102677901</v>
      </c>
      <c r="D28" s="22">
        <v>117033285</v>
      </c>
      <c r="E28" s="22">
        <f>D28-C28</f>
        <v>14355384</v>
      </c>
      <c r="F28" s="306">
        <f>IF(C28=0,0,E28/C28)</f>
        <v>0.13980987009074133</v>
      </c>
    </row>
    <row r="29" spans="1:11" ht="35.1" customHeight="1" x14ac:dyDescent="0.25">
      <c r="A29" s="307"/>
      <c r="B29" s="308" t="s">
        <v>32</v>
      </c>
      <c r="C29" s="309">
        <f>SUM(C25:C28)</f>
        <v>110271528</v>
      </c>
      <c r="D29" s="309">
        <f>SUM(D25:D28)</f>
        <v>132799147</v>
      </c>
      <c r="E29" s="309">
        <f>D29-C29</f>
        <v>22527619</v>
      </c>
      <c r="F29" s="310">
        <f>IF(C29=0,0,E29/C29)</f>
        <v>0.20429225393521344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269214330</v>
      </c>
      <c r="D32" s="22">
        <v>433150793</v>
      </c>
      <c r="E32" s="22">
        <f>D32-C32</f>
        <v>163936463</v>
      </c>
      <c r="F32" s="306">
        <f>IF(C32=0,0,E32/C32)</f>
        <v>0.60894404469479768</v>
      </c>
    </row>
    <row r="33" spans="1:8" ht="24" customHeight="1" x14ac:dyDescent="0.2">
      <c r="A33" s="304">
        <v>7</v>
      </c>
      <c r="B33" s="305" t="s">
        <v>35</v>
      </c>
      <c r="C33" s="22">
        <v>49578607</v>
      </c>
      <c r="D33" s="22">
        <v>53835196</v>
      </c>
      <c r="E33" s="22">
        <f>D33-C33</f>
        <v>4256589</v>
      </c>
      <c r="F33" s="306">
        <f>IF(C33=0,0,E33/C33)</f>
        <v>8.5855356928442941E-2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647668638</v>
      </c>
      <c r="D36" s="22">
        <v>1318420986</v>
      </c>
      <c r="E36" s="22">
        <f>D36-C36</f>
        <v>670752348</v>
      </c>
      <c r="F36" s="306">
        <f>IF(C36=0,0,E36/C36)</f>
        <v>1.0356412348006883</v>
      </c>
    </row>
    <row r="37" spans="1:8" ht="24" customHeight="1" x14ac:dyDescent="0.2">
      <c r="A37" s="304">
        <v>2</v>
      </c>
      <c r="B37" s="305" t="s">
        <v>39</v>
      </c>
      <c r="C37" s="22">
        <v>408828028</v>
      </c>
      <c r="D37" s="22">
        <v>775229849</v>
      </c>
      <c r="E37" s="22">
        <f>D37-C37</f>
        <v>366401821</v>
      </c>
      <c r="F37" s="22">
        <f>IF(C37=0,0,E37/C37)</f>
        <v>0.89622480824626827</v>
      </c>
    </row>
    <row r="38" spans="1:8" ht="24" customHeight="1" x14ac:dyDescent="0.25">
      <c r="A38" s="307"/>
      <c r="B38" s="308" t="s">
        <v>40</v>
      </c>
      <c r="C38" s="309">
        <f>C36-C37</f>
        <v>238840610</v>
      </c>
      <c r="D38" s="309">
        <f>D36-D37</f>
        <v>543191137</v>
      </c>
      <c r="E38" s="309">
        <f>D38-C38</f>
        <v>304350527</v>
      </c>
      <c r="F38" s="310">
        <f>IF(C38=0,0,E38/C38)</f>
        <v>1.2742829914895963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110954585</v>
      </c>
      <c r="D40" s="22">
        <v>108748595</v>
      </c>
      <c r="E40" s="22">
        <f>D40-C40</f>
        <v>-2205990</v>
      </c>
      <c r="F40" s="306">
        <f>IF(C40=0,0,E40/C40)</f>
        <v>-1.9881918354252778E-2</v>
      </c>
    </row>
    <row r="41" spans="1:8" ht="24" customHeight="1" x14ac:dyDescent="0.25">
      <c r="A41" s="307"/>
      <c r="B41" s="308" t="s">
        <v>42</v>
      </c>
      <c r="C41" s="309">
        <f>+C38+C40</f>
        <v>349795195</v>
      </c>
      <c r="D41" s="309">
        <f>+D38+D40</f>
        <v>651939732</v>
      </c>
      <c r="E41" s="309">
        <f>D41-C41</f>
        <v>302144537</v>
      </c>
      <c r="F41" s="310">
        <f>IF(C41=0,0,E41/C41)</f>
        <v>0.8637755501472798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973173663</v>
      </c>
      <c r="D43" s="309">
        <f>D22+D29+D31+D32+D33+D41</f>
        <v>1630137836</v>
      </c>
      <c r="E43" s="309">
        <f>D43-C43</f>
        <v>656964173</v>
      </c>
      <c r="F43" s="310">
        <f>IF(C43=0,0,E43/C43)</f>
        <v>0.67507393384935865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41394472</v>
      </c>
      <c r="D49" s="22">
        <v>78566464</v>
      </c>
      <c r="E49" s="22">
        <f t="shared" ref="E49:E56" si="2">D49-C49</f>
        <v>37171992</v>
      </c>
      <c r="F49" s="306">
        <f t="shared" ref="F49:F56" si="3">IF(C49=0,0,E49/C49)</f>
        <v>0.89799410897184528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44842213</v>
      </c>
      <c r="D50" s="22">
        <v>69089102</v>
      </c>
      <c r="E50" s="22">
        <f t="shared" si="2"/>
        <v>24246889</v>
      </c>
      <c r="F50" s="306">
        <f t="shared" si="3"/>
        <v>0.54071570910204636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10798195</v>
      </c>
      <c r="D51" s="22">
        <v>53635921</v>
      </c>
      <c r="E51" s="22">
        <f t="shared" si="2"/>
        <v>42837726</v>
      </c>
      <c r="F51" s="306">
        <f t="shared" si="3"/>
        <v>3.9671191342627172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2880000</v>
      </c>
      <c r="D53" s="22">
        <v>11964141</v>
      </c>
      <c r="E53" s="22">
        <f t="shared" si="2"/>
        <v>9084141</v>
      </c>
      <c r="F53" s="306">
        <f t="shared" si="3"/>
        <v>3.154215625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99914880</v>
      </c>
      <c r="D56" s="309">
        <f>SUM(D49:D55)</f>
        <v>213255628</v>
      </c>
      <c r="E56" s="309">
        <f t="shared" si="2"/>
        <v>113340748</v>
      </c>
      <c r="F56" s="310">
        <f t="shared" si="3"/>
        <v>1.1343730583472651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246700000</v>
      </c>
      <c r="D60" s="22">
        <v>363726412</v>
      </c>
      <c r="E60" s="22">
        <f>D60-C60</f>
        <v>117026412</v>
      </c>
      <c r="F60" s="306">
        <f>IF(C60=0,0,E60/C60)</f>
        <v>0.47436729631130931</v>
      </c>
    </row>
    <row r="61" spans="1:6" ht="24" customHeight="1" x14ac:dyDescent="0.25">
      <c r="A61" s="307"/>
      <c r="B61" s="308" t="s">
        <v>58</v>
      </c>
      <c r="C61" s="309">
        <f>SUM(C59:C60)</f>
        <v>246700000</v>
      </c>
      <c r="D61" s="309">
        <f>SUM(D59:D60)</f>
        <v>363726412</v>
      </c>
      <c r="E61" s="309">
        <f>D61-C61</f>
        <v>117026412</v>
      </c>
      <c r="F61" s="310">
        <f>IF(C61=0,0,E61/C61)</f>
        <v>0.47436729631130931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79978708</v>
      </c>
      <c r="D63" s="22">
        <v>169569725</v>
      </c>
      <c r="E63" s="22">
        <f>D63-C63</f>
        <v>89591017</v>
      </c>
      <c r="F63" s="306">
        <f>IF(C63=0,0,E63/C63)</f>
        <v>1.1201858499639679</v>
      </c>
    </row>
    <row r="64" spans="1:6" ht="24" customHeight="1" x14ac:dyDescent="0.2">
      <c r="A64" s="304">
        <v>4</v>
      </c>
      <c r="B64" s="305" t="s">
        <v>60</v>
      </c>
      <c r="C64" s="22">
        <v>46380935</v>
      </c>
      <c r="D64" s="22">
        <v>86031950</v>
      </c>
      <c r="E64" s="22">
        <f>D64-C64</f>
        <v>39651015</v>
      </c>
      <c r="F64" s="306">
        <f>IF(C64=0,0,E64/C64)</f>
        <v>0.85489900106584737</v>
      </c>
    </row>
    <row r="65" spans="1:6" ht="24" customHeight="1" x14ac:dyDescent="0.25">
      <c r="A65" s="307"/>
      <c r="B65" s="308" t="s">
        <v>61</v>
      </c>
      <c r="C65" s="309">
        <f>SUM(C61:C64)</f>
        <v>373059643</v>
      </c>
      <c r="D65" s="309">
        <f>SUM(D61:D64)</f>
        <v>619328087</v>
      </c>
      <c r="E65" s="309">
        <f>D65-C65</f>
        <v>246268444</v>
      </c>
      <c r="F65" s="310">
        <f>IF(C65=0,0,E65/C65)</f>
        <v>0.66013155971416615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404480146</v>
      </c>
      <c r="D70" s="22">
        <v>661351254</v>
      </c>
      <c r="E70" s="22">
        <f>D70-C70</f>
        <v>256871108</v>
      </c>
      <c r="F70" s="306">
        <f>IF(C70=0,0,E70/C70)</f>
        <v>0.63506481230354384</v>
      </c>
    </row>
    <row r="71" spans="1:6" ht="24" customHeight="1" x14ac:dyDescent="0.2">
      <c r="A71" s="304">
        <v>2</v>
      </c>
      <c r="B71" s="305" t="s">
        <v>65</v>
      </c>
      <c r="C71" s="22">
        <v>62336151</v>
      </c>
      <c r="D71" s="22">
        <v>92944545</v>
      </c>
      <c r="E71" s="22">
        <f>D71-C71</f>
        <v>30608394</v>
      </c>
      <c r="F71" s="306">
        <f>IF(C71=0,0,E71/C71)</f>
        <v>0.49102155826079158</v>
      </c>
    </row>
    <row r="72" spans="1:6" ht="24" customHeight="1" x14ac:dyDescent="0.2">
      <c r="A72" s="304">
        <v>3</v>
      </c>
      <c r="B72" s="305" t="s">
        <v>66</v>
      </c>
      <c r="C72" s="22">
        <v>33382843</v>
      </c>
      <c r="D72" s="22">
        <v>43258322</v>
      </c>
      <c r="E72" s="22">
        <f>D72-C72</f>
        <v>9875479</v>
      </c>
      <c r="F72" s="306">
        <f>IF(C72=0,0,E72/C72)</f>
        <v>0.29582498410935221</v>
      </c>
    </row>
    <row r="73" spans="1:6" ht="24" customHeight="1" x14ac:dyDescent="0.25">
      <c r="A73" s="304"/>
      <c r="B73" s="308" t="s">
        <v>67</v>
      </c>
      <c r="C73" s="309">
        <f>SUM(C70:C72)</f>
        <v>500199140</v>
      </c>
      <c r="D73" s="309">
        <f>SUM(D70:D72)</f>
        <v>797554121</v>
      </c>
      <c r="E73" s="309">
        <f>D73-C73</f>
        <v>297354981</v>
      </c>
      <c r="F73" s="310">
        <f>IF(C73=0,0,E73/C73)</f>
        <v>0.59447319521580944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973173663</v>
      </c>
      <c r="D75" s="309">
        <f>D56+D65+D67+D73</f>
        <v>1630137836</v>
      </c>
      <c r="E75" s="309">
        <f>D75-C75</f>
        <v>656964173</v>
      </c>
      <c r="F75" s="310">
        <f>IF(C75=0,0,E75/C75)</f>
        <v>0.67507393384935865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FILING&amp;RWESTERN CONNECTICUT HEALTH NETWORK INC.(FORMERLY WESTERN CONNECTICUT HEALTHCARE, INC.)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1675013713</v>
      </c>
      <c r="D11" s="76">
        <v>2462700883</v>
      </c>
      <c r="E11" s="76">
        <f t="shared" ref="E11:E20" si="0">D11-C11</f>
        <v>787687170</v>
      </c>
      <c r="F11" s="77">
        <f t="shared" ref="F11:F20" si="1">IF(C11=0,0,E11/C11)</f>
        <v>0.47025714708283106</v>
      </c>
    </row>
    <row r="12" spans="1:7" ht="23.1" customHeight="1" x14ac:dyDescent="0.2">
      <c r="A12" s="74">
        <v>2</v>
      </c>
      <c r="B12" s="75" t="s">
        <v>72</v>
      </c>
      <c r="C12" s="76">
        <v>943746574</v>
      </c>
      <c r="D12" s="76">
        <v>1433142811</v>
      </c>
      <c r="E12" s="76">
        <f t="shared" si="0"/>
        <v>489396237</v>
      </c>
      <c r="F12" s="77">
        <f t="shared" si="1"/>
        <v>0.51856743164187635</v>
      </c>
    </row>
    <row r="13" spans="1:7" ht="23.1" customHeight="1" x14ac:dyDescent="0.2">
      <c r="A13" s="74">
        <v>3</v>
      </c>
      <c r="B13" s="75" t="s">
        <v>73</v>
      </c>
      <c r="C13" s="76">
        <v>15612154</v>
      </c>
      <c r="D13" s="76">
        <v>27520752</v>
      </c>
      <c r="E13" s="76">
        <f t="shared" si="0"/>
        <v>11908598</v>
      </c>
      <c r="F13" s="77">
        <f t="shared" si="1"/>
        <v>0.76277738485029034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715654985</v>
      </c>
      <c r="D15" s="79">
        <f>D11-D12-D13-D14</f>
        <v>1002037320</v>
      </c>
      <c r="E15" s="79">
        <f t="shared" si="0"/>
        <v>286382335</v>
      </c>
      <c r="F15" s="80">
        <f t="shared" si="1"/>
        <v>0.40016815505029985</v>
      </c>
    </row>
    <row r="16" spans="1:7" ht="23.1" customHeight="1" x14ac:dyDescent="0.2">
      <c r="A16" s="74">
        <v>5</v>
      </c>
      <c r="B16" s="75" t="s">
        <v>76</v>
      </c>
      <c r="C16" s="76">
        <v>22024123</v>
      </c>
      <c r="D16" s="76">
        <v>40667790</v>
      </c>
      <c r="E16" s="76">
        <f t="shared" si="0"/>
        <v>18643667</v>
      </c>
      <c r="F16" s="77">
        <f t="shared" si="1"/>
        <v>0.84651120954963788</v>
      </c>
      <c r="G16" s="65"/>
    </row>
    <row r="17" spans="1:7" ht="31.5" customHeight="1" x14ac:dyDescent="0.25">
      <c r="A17" s="71"/>
      <c r="B17" s="81" t="s">
        <v>77</v>
      </c>
      <c r="C17" s="79">
        <f>C15-C16</f>
        <v>693630862</v>
      </c>
      <c r="D17" s="79">
        <f>D15-D16</f>
        <v>961369530</v>
      </c>
      <c r="E17" s="79">
        <f t="shared" si="0"/>
        <v>267738668</v>
      </c>
      <c r="F17" s="80">
        <f t="shared" si="1"/>
        <v>0.38599589878110124</v>
      </c>
    </row>
    <row r="18" spans="1:7" ht="23.1" customHeight="1" x14ac:dyDescent="0.2">
      <c r="A18" s="74">
        <v>6</v>
      </c>
      <c r="B18" s="75" t="s">
        <v>78</v>
      </c>
      <c r="C18" s="76">
        <v>13364145</v>
      </c>
      <c r="D18" s="76">
        <v>25099816</v>
      </c>
      <c r="E18" s="76">
        <f t="shared" si="0"/>
        <v>11735671</v>
      </c>
      <c r="F18" s="77">
        <f t="shared" si="1"/>
        <v>0.87814603927149848</v>
      </c>
      <c r="G18" s="65"/>
    </row>
    <row r="19" spans="1:7" ht="33" customHeight="1" x14ac:dyDescent="0.2">
      <c r="A19" s="74">
        <v>7</v>
      </c>
      <c r="B19" s="82" t="s">
        <v>79</v>
      </c>
      <c r="C19" s="76">
        <v>5514055</v>
      </c>
      <c r="D19" s="76">
        <v>7155684</v>
      </c>
      <c r="E19" s="76">
        <f t="shared" si="0"/>
        <v>1641629</v>
      </c>
      <c r="F19" s="77">
        <f t="shared" si="1"/>
        <v>0.29771719723506568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712509062</v>
      </c>
      <c r="D20" s="79">
        <f>SUM(D17:D19)</f>
        <v>993625030</v>
      </c>
      <c r="E20" s="79">
        <f t="shared" si="0"/>
        <v>281115968</v>
      </c>
      <c r="F20" s="80">
        <f t="shared" si="1"/>
        <v>0.39454370897531127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347618831</v>
      </c>
      <c r="D23" s="76">
        <v>469826938</v>
      </c>
      <c r="E23" s="76">
        <f t="shared" ref="E23:E32" si="2">D23-C23</f>
        <v>122208107</v>
      </c>
      <c r="F23" s="77">
        <f t="shared" ref="F23:F32" si="3">IF(C23=0,0,E23/C23)</f>
        <v>0.35155778715566766</v>
      </c>
    </row>
    <row r="24" spans="1:7" ht="23.1" customHeight="1" x14ac:dyDescent="0.2">
      <c r="A24" s="74">
        <v>2</v>
      </c>
      <c r="B24" s="75" t="s">
        <v>83</v>
      </c>
      <c r="C24" s="76">
        <v>81025978</v>
      </c>
      <c r="D24" s="76">
        <v>104721012</v>
      </c>
      <c r="E24" s="76">
        <f t="shared" si="2"/>
        <v>23695034</v>
      </c>
      <c r="F24" s="77">
        <f t="shared" si="3"/>
        <v>0.29243749455267298</v>
      </c>
    </row>
    <row r="25" spans="1:7" ht="23.1" customHeight="1" x14ac:dyDescent="0.2">
      <c r="A25" s="74">
        <v>3</v>
      </c>
      <c r="B25" s="75" t="s">
        <v>84</v>
      </c>
      <c r="C25" s="76">
        <v>6963831</v>
      </c>
      <c r="D25" s="76">
        <v>16270068</v>
      </c>
      <c r="E25" s="76">
        <f t="shared" si="2"/>
        <v>9306237</v>
      </c>
      <c r="F25" s="77">
        <f t="shared" si="3"/>
        <v>1.3363674391294103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183503640</v>
      </c>
      <c r="D26" s="76">
        <v>218534365</v>
      </c>
      <c r="E26" s="76">
        <f t="shared" si="2"/>
        <v>35030725</v>
      </c>
      <c r="F26" s="77">
        <f t="shared" si="3"/>
        <v>0.19089934673775408</v>
      </c>
    </row>
    <row r="27" spans="1:7" ht="23.1" customHeight="1" x14ac:dyDescent="0.2">
      <c r="A27" s="74">
        <v>5</v>
      </c>
      <c r="B27" s="75" t="s">
        <v>86</v>
      </c>
      <c r="C27" s="76">
        <v>37300840</v>
      </c>
      <c r="D27" s="76">
        <v>53445138</v>
      </c>
      <c r="E27" s="76">
        <f t="shared" si="2"/>
        <v>16144298</v>
      </c>
      <c r="F27" s="77">
        <f t="shared" si="3"/>
        <v>0.43281325568003293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4067031</v>
      </c>
      <c r="D29" s="76">
        <v>6326466</v>
      </c>
      <c r="E29" s="76">
        <f t="shared" si="2"/>
        <v>2259435</v>
      </c>
      <c r="F29" s="77">
        <f t="shared" si="3"/>
        <v>0.55554899876593022</v>
      </c>
    </row>
    <row r="30" spans="1:7" ht="23.1" customHeight="1" x14ac:dyDescent="0.2">
      <c r="A30" s="74">
        <v>8</v>
      </c>
      <c r="B30" s="75" t="s">
        <v>89</v>
      </c>
      <c r="C30" s="76">
        <v>15709626</v>
      </c>
      <c r="D30" s="76">
        <v>20861003</v>
      </c>
      <c r="E30" s="76">
        <f t="shared" si="2"/>
        <v>5151377</v>
      </c>
      <c r="F30" s="77">
        <f t="shared" si="3"/>
        <v>0.32791213489105342</v>
      </c>
    </row>
    <row r="31" spans="1:7" ht="23.1" customHeight="1" x14ac:dyDescent="0.2">
      <c r="A31" s="74">
        <v>9</v>
      </c>
      <c r="B31" s="75" t="s">
        <v>90</v>
      </c>
      <c r="C31" s="76">
        <v>13082673</v>
      </c>
      <c r="D31" s="76">
        <v>71190612</v>
      </c>
      <c r="E31" s="76">
        <f t="shared" si="2"/>
        <v>58107939</v>
      </c>
      <c r="F31" s="77">
        <f t="shared" si="3"/>
        <v>4.4415953070140946</v>
      </c>
    </row>
    <row r="32" spans="1:7" ht="23.1" customHeight="1" x14ac:dyDescent="0.25">
      <c r="A32" s="71"/>
      <c r="B32" s="78" t="s">
        <v>91</v>
      </c>
      <c r="C32" s="79">
        <f>SUM(C23:C31)</f>
        <v>689272450</v>
      </c>
      <c r="D32" s="79">
        <f>SUM(D23:D31)</f>
        <v>961175602</v>
      </c>
      <c r="E32" s="79">
        <f t="shared" si="2"/>
        <v>271903152</v>
      </c>
      <c r="F32" s="80">
        <f t="shared" si="3"/>
        <v>0.39447848524919282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23236612</v>
      </c>
      <c r="D34" s="79">
        <f>+D20-D32</f>
        <v>32449428</v>
      </c>
      <c r="E34" s="79">
        <f>D34-C34</f>
        <v>9212816</v>
      </c>
      <c r="F34" s="80">
        <f>IF(C34=0,0,E34/C34)</f>
        <v>0.39647845391574299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7054057</v>
      </c>
      <c r="D37" s="76">
        <v>5772965</v>
      </c>
      <c r="E37" s="76">
        <f>D37-C37</f>
        <v>-1281092</v>
      </c>
      <c r="F37" s="77">
        <f>IF(C37=0,0,E37/C37)</f>
        <v>-0.18161066744995114</v>
      </c>
    </row>
    <row r="38" spans="1:6" ht="23.1" customHeight="1" x14ac:dyDescent="0.2">
      <c r="A38" s="85">
        <v>2</v>
      </c>
      <c r="B38" s="75" t="s">
        <v>95</v>
      </c>
      <c r="C38" s="76">
        <v>653873</v>
      </c>
      <c r="D38" s="76">
        <v>5517373</v>
      </c>
      <c r="E38" s="76">
        <f>D38-C38</f>
        <v>4863500</v>
      </c>
      <c r="F38" s="77">
        <f>IF(C38=0,0,E38/C38)</f>
        <v>7.4379887225806849</v>
      </c>
    </row>
    <row r="39" spans="1:6" ht="23.1" customHeight="1" x14ac:dyDescent="0.2">
      <c r="A39" s="85">
        <v>3</v>
      </c>
      <c r="B39" s="75" t="s">
        <v>96</v>
      </c>
      <c r="C39" s="76">
        <v>2778053</v>
      </c>
      <c r="D39" s="76">
        <v>306593216</v>
      </c>
      <c r="E39" s="76">
        <f>D39-C39</f>
        <v>303815163</v>
      </c>
      <c r="F39" s="77">
        <f>IF(C39=0,0,E39/C39)</f>
        <v>109.36262303131005</v>
      </c>
    </row>
    <row r="40" spans="1:6" ht="23.1" customHeight="1" x14ac:dyDescent="0.25">
      <c r="A40" s="83"/>
      <c r="B40" s="78" t="s">
        <v>97</v>
      </c>
      <c r="C40" s="79">
        <f>SUM(C37:C39)</f>
        <v>10485983</v>
      </c>
      <c r="D40" s="79">
        <f>SUM(D37:D39)</f>
        <v>317883554</v>
      </c>
      <c r="E40" s="79">
        <f>D40-C40</f>
        <v>307397571</v>
      </c>
      <c r="F40" s="80">
        <f>IF(C40=0,0,E40/C40)</f>
        <v>29.315093396584754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33722595</v>
      </c>
      <c r="D42" s="79">
        <f>D34+D40</f>
        <v>350332982</v>
      </c>
      <c r="E42" s="79">
        <f>D42-C42</f>
        <v>316610387</v>
      </c>
      <c r="F42" s="80">
        <f>IF(C42=0,0,E42/C42)</f>
        <v>9.3886721054533311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-1116608</v>
      </c>
      <c r="E46" s="76">
        <f>D46-C46</f>
        <v>-1116608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-1116608</v>
      </c>
      <c r="E47" s="79">
        <f>D47-C47</f>
        <v>-1116608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33722595</v>
      </c>
      <c r="D49" s="79">
        <f>D42+D47</f>
        <v>349216374</v>
      </c>
      <c r="E49" s="79">
        <f>D49-C49</f>
        <v>315493779</v>
      </c>
      <c r="F49" s="80">
        <f>IF(C49=0,0,E49/C49)</f>
        <v>9.3555605373785742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FILING&amp;R&amp;8WESTERN CONNECTICUT HEALTH NETWORK INC.(FORMERLY WESTERN CONNECTICUT HEALTHCARE, INC.)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2015-07-07T13:34:39Z</cp:lastPrinted>
  <dcterms:created xsi:type="dcterms:W3CDTF">2015-07-07T13:30:14Z</dcterms:created>
  <dcterms:modified xsi:type="dcterms:W3CDTF">2015-07-07T13:35:16Z</dcterms:modified>
</cp:coreProperties>
</file>