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C93" i="22" s="1"/>
  <c r="E87" i="22"/>
  <c r="D87" i="22"/>
  <c r="C87" i="22"/>
  <c r="E86" i="22"/>
  <c r="E88" i="22"/>
  <c r="D86" i="22"/>
  <c r="D88" i="22" s="1"/>
  <c r="C86" i="22"/>
  <c r="C88" i="22" s="1"/>
  <c r="E83" i="22"/>
  <c r="E101" i="22"/>
  <c r="E103" i="22" s="1"/>
  <c r="D83" i="22"/>
  <c r="D102" i="22" s="1"/>
  <c r="D101" i="22"/>
  <c r="D103" i="22" s="1"/>
  <c r="C83" i="22"/>
  <c r="E76" i="22"/>
  <c r="D76" i="22"/>
  <c r="C76" i="22"/>
  <c r="C77" i="22" s="1"/>
  <c r="E75" i="22"/>
  <c r="E77" i="22"/>
  <c r="D75" i="22"/>
  <c r="D77" i="22" s="1"/>
  <c r="C75" i="22"/>
  <c r="C101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C12" i="22"/>
  <c r="C33" i="22"/>
  <c r="D21" i="21"/>
  <c r="C21" i="21"/>
  <c r="D19" i="21"/>
  <c r="E19" i="21" s="1"/>
  <c r="C19" i="21"/>
  <c r="F19" i="21" s="1"/>
  <c r="F17" i="21"/>
  <c r="E17" i="21"/>
  <c r="E15" i="21"/>
  <c r="F15" i="21" s="1"/>
  <c r="D45" i="20"/>
  <c r="C45" i="20"/>
  <c r="D44" i="20"/>
  <c r="C44" i="20"/>
  <c r="D43" i="20"/>
  <c r="C43" i="20"/>
  <c r="D36" i="20"/>
  <c r="D40" i="20"/>
  <c r="C36" i="20"/>
  <c r="E35" i="20"/>
  <c r="F35" i="20"/>
  <c r="E34" i="20"/>
  <c r="F34" i="20" s="1"/>
  <c r="E33" i="20"/>
  <c r="F33" i="20"/>
  <c r="E30" i="20"/>
  <c r="F30" i="20" s="1"/>
  <c r="E29" i="20"/>
  <c r="F29" i="20"/>
  <c r="E28" i="20"/>
  <c r="F28" i="20" s="1"/>
  <c r="E27" i="20"/>
  <c r="F27" i="20"/>
  <c r="D25" i="20"/>
  <c r="D39" i="20" s="1"/>
  <c r="C25" i="20"/>
  <c r="E24" i="20"/>
  <c r="F24" i="20"/>
  <c r="E23" i="20"/>
  <c r="F23" i="20"/>
  <c r="E22" i="20"/>
  <c r="F22" i="20"/>
  <c r="D19" i="20"/>
  <c r="D20" i="20"/>
  <c r="C19" i="20"/>
  <c r="E18" i="20"/>
  <c r="F18" i="20" s="1"/>
  <c r="D16" i="20"/>
  <c r="C16" i="20"/>
  <c r="E16" i="20" s="1"/>
  <c r="F16" i="20" s="1"/>
  <c r="E15" i="20"/>
  <c r="F15" i="20" s="1"/>
  <c r="E13" i="20"/>
  <c r="F13" i="20" s="1"/>
  <c r="E12" i="20"/>
  <c r="F12" i="20" s="1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116" i="19"/>
  <c r="C119" i="19" s="1"/>
  <c r="C123" i="19" s="1"/>
  <c r="C59" i="19"/>
  <c r="C60" i="19" s="1"/>
  <c r="C48" i="19"/>
  <c r="C64" i="19" s="1"/>
  <c r="C65" i="19" s="1"/>
  <c r="C114" i="19" s="1"/>
  <c r="C36" i="19"/>
  <c r="C32" i="19"/>
  <c r="C33" i="19"/>
  <c r="C21" i="19"/>
  <c r="C37" i="19" s="1"/>
  <c r="E328" i="18"/>
  <c r="E325" i="18"/>
  <c r="D324" i="18"/>
  <c r="D326" i="18" s="1"/>
  <c r="C324" i="18"/>
  <c r="C326" i="18" s="1"/>
  <c r="E326" i="18" s="1"/>
  <c r="C330" i="18"/>
  <c r="E318" i="18"/>
  <c r="E315" i="18"/>
  <c r="D314" i="18"/>
  <c r="D316" i="18"/>
  <c r="C314" i="18"/>
  <c r="C316" i="18"/>
  <c r="C320" i="18" s="1"/>
  <c r="E320" i="18" s="1"/>
  <c r="E308" i="18"/>
  <c r="E305" i="18"/>
  <c r="D301" i="18"/>
  <c r="D303" i="18" s="1"/>
  <c r="C301" i="18"/>
  <c r="D293" i="18"/>
  <c r="C293" i="18"/>
  <c r="E293" i="18" s="1"/>
  <c r="D292" i="18"/>
  <c r="E292" i="18" s="1"/>
  <c r="C292" i="18"/>
  <c r="D291" i="18"/>
  <c r="E291" i="18"/>
  <c r="C291" i="18"/>
  <c r="D290" i="18"/>
  <c r="C290" i="18"/>
  <c r="E290" i="18"/>
  <c r="D288" i="18"/>
  <c r="C288" i="18"/>
  <c r="E288" i="18" s="1"/>
  <c r="D287" i="18"/>
  <c r="C287" i="18"/>
  <c r="D282" i="18"/>
  <c r="C282" i="18"/>
  <c r="D281" i="18"/>
  <c r="E281" i="18" s="1"/>
  <c r="C281" i="18"/>
  <c r="D280" i="18"/>
  <c r="C280" i="18"/>
  <c r="E280" i="18"/>
  <c r="D279" i="18"/>
  <c r="E279" i="18" s="1"/>
  <c r="C279" i="18"/>
  <c r="D278" i="18"/>
  <c r="E278" i="18" s="1"/>
  <c r="C278" i="18"/>
  <c r="D277" i="18"/>
  <c r="E277" i="18" s="1"/>
  <c r="C277" i="18"/>
  <c r="D276" i="18"/>
  <c r="C276" i="18"/>
  <c r="E276" i="18" s="1"/>
  <c r="E270" i="18"/>
  <c r="D265" i="18"/>
  <c r="D302" i="18"/>
  <c r="C265" i="18"/>
  <c r="C302" i="18" s="1"/>
  <c r="D262" i="18"/>
  <c r="C262" i="18"/>
  <c r="E262" i="18" s="1"/>
  <c r="D251" i="18"/>
  <c r="C251" i="18"/>
  <c r="D233" i="18"/>
  <c r="C233" i="18"/>
  <c r="D232" i="18"/>
  <c r="E232" i="18" s="1"/>
  <c r="C232" i="18"/>
  <c r="D231" i="18"/>
  <c r="C231" i="18"/>
  <c r="E231" i="18" s="1"/>
  <c r="D230" i="18"/>
  <c r="E230" i="18" s="1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C242" i="18"/>
  <c r="D217" i="18"/>
  <c r="D216" i="18"/>
  <c r="D240" i="18" s="1"/>
  <c r="E240" i="18" s="1"/>
  <c r="C216" i="18"/>
  <c r="C240" i="18"/>
  <c r="D215" i="18"/>
  <c r="D239" i="18"/>
  <c r="E239" i="18" s="1"/>
  <c r="C215" i="18"/>
  <c r="C239" i="18" s="1"/>
  <c r="E209" i="18"/>
  <c r="E208" i="18"/>
  <c r="E207" i="18"/>
  <c r="E206" i="18"/>
  <c r="D205" i="18"/>
  <c r="D210" i="18" s="1"/>
  <c r="D229" i="18"/>
  <c r="C205" i="18"/>
  <c r="C229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E179" i="18"/>
  <c r="C179" i="18"/>
  <c r="D178" i="18"/>
  <c r="E178" i="18" s="1"/>
  <c r="C178" i="18"/>
  <c r="D177" i="18"/>
  <c r="E177" i="18"/>
  <c r="C177" i="18"/>
  <c r="D176" i="18"/>
  <c r="C176" i="18"/>
  <c r="E176" i="18" s="1"/>
  <c r="D174" i="18"/>
  <c r="C174" i="18"/>
  <c r="E174" i="18" s="1"/>
  <c r="D173" i="18"/>
  <c r="C173" i="18"/>
  <c r="D167" i="18"/>
  <c r="E167" i="18" s="1"/>
  <c r="C167" i="18"/>
  <c r="D166" i="18"/>
  <c r="E166" i="18" s="1"/>
  <c r="C166" i="18"/>
  <c r="D165" i="18"/>
  <c r="C165" i="18"/>
  <c r="E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/>
  <c r="C151" i="18"/>
  <c r="C156" i="18" s="1"/>
  <c r="C157" i="18" s="1"/>
  <c r="E150" i="18"/>
  <c r="E149" i="18"/>
  <c r="D144" i="18"/>
  <c r="D168" i="18" s="1"/>
  <c r="E143" i="18"/>
  <c r="E142" i="18"/>
  <c r="E141" i="18"/>
  <c r="E140" i="18"/>
  <c r="D139" i="18"/>
  <c r="D175" i="18" s="1"/>
  <c r="C139" i="18"/>
  <c r="C163" i="18" s="1"/>
  <c r="E138" i="18"/>
  <c r="E137" i="18"/>
  <c r="D75" i="18"/>
  <c r="E75" i="18" s="1"/>
  <c r="C75" i="18"/>
  <c r="D74" i="18"/>
  <c r="C74" i="18"/>
  <c r="E74" i="18" s="1"/>
  <c r="D73" i="18"/>
  <c r="C73" i="18"/>
  <c r="E73" i="18" s="1"/>
  <c r="D72" i="18"/>
  <c r="C72" i="18"/>
  <c r="E72" i="18" s="1"/>
  <c r="D70" i="18"/>
  <c r="C70" i="18"/>
  <c r="D69" i="18"/>
  <c r="C69" i="18"/>
  <c r="E64" i="18"/>
  <c r="E63" i="18"/>
  <c r="E62" i="18"/>
  <c r="E61" i="18"/>
  <c r="D60" i="18"/>
  <c r="D289" i="18"/>
  <c r="C60" i="18"/>
  <c r="E59" i="18"/>
  <c r="E58" i="18"/>
  <c r="D54" i="18"/>
  <c r="D55" i="18"/>
  <c r="E55" i="18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E41" i="18" s="1"/>
  <c r="D40" i="18"/>
  <c r="E40" i="18"/>
  <c r="C40" i="18"/>
  <c r="D39" i="18"/>
  <c r="C39" i="18"/>
  <c r="E39" i="18" s="1"/>
  <c r="D38" i="18"/>
  <c r="E38" i="18" s="1"/>
  <c r="C38" i="18"/>
  <c r="C43" i="18" s="1"/>
  <c r="D37" i="18"/>
  <c r="D43" i="18"/>
  <c r="D44" i="18" s="1"/>
  <c r="C37" i="18"/>
  <c r="D36" i="18"/>
  <c r="C36" i="18"/>
  <c r="C44" i="18"/>
  <c r="C33" i="18"/>
  <c r="D32" i="18"/>
  <c r="C32" i="18"/>
  <c r="E31" i="18"/>
  <c r="E30" i="18"/>
  <c r="E29" i="18"/>
  <c r="E28" i="18"/>
  <c r="E27" i="18"/>
  <c r="E26" i="18"/>
  <c r="E25" i="18"/>
  <c r="D22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E311" i="17" s="1"/>
  <c r="C311" i="17"/>
  <c r="F311" i="17" s="1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/>
  <c r="E249" i="17"/>
  <c r="F249" i="17" s="1"/>
  <c r="E248" i="17"/>
  <c r="F248" i="17" s="1"/>
  <c r="F245" i="17"/>
  <c r="E245" i="17"/>
  <c r="E244" i="17"/>
  <c r="F244" i="17"/>
  <c r="E243" i="17"/>
  <c r="F243" i="17"/>
  <c r="D238" i="17"/>
  <c r="C238" i="17"/>
  <c r="D237" i="17"/>
  <c r="D239" i="17" s="1"/>
  <c r="C237" i="17"/>
  <c r="C239" i="17"/>
  <c r="E234" i="17"/>
  <c r="F234" i="17" s="1"/>
  <c r="E233" i="17"/>
  <c r="F233" i="17" s="1"/>
  <c r="D230" i="17"/>
  <c r="C230" i="17"/>
  <c r="D229" i="17"/>
  <c r="C229" i="17"/>
  <c r="E228" i="17"/>
  <c r="F228" i="17"/>
  <c r="D226" i="17"/>
  <c r="D227" i="17" s="1"/>
  <c r="E227" i="17" s="1"/>
  <c r="C226" i="17"/>
  <c r="C227" i="17"/>
  <c r="E225" i="17"/>
  <c r="F225" i="17" s="1"/>
  <c r="E224" i="17"/>
  <c r="F224" i="17" s="1"/>
  <c r="D223" i="17"/>
  <c r="C223" i="17"/>
  <c r="E222" i="17"/>
  <c r="F222" i="17"/>
  <c r="E221" i="17"/>
  <c r="F221" i="17"/>
  <c r="D204" i="17"/>
  <c r="C204" i="17"/>
  <c r="C285" i="17" s="1"/>
  <c r="D203" i="17"/>
  <c r="C203" i="17"/>
  <c r="C283" i="17"/>
  <c r="D198" i="17"/>
  <c r="C198" i="17"/>
  <c r="C290" i="17"/>
  <c r="D191" i="17"/>
  <c r="D280" i="17" s="1"/>
  <c r="C191" i="17"/>
  <c r="C280" i="17" s="1"/>
  <c r="D189" i="17"/>
  <c r="D278" i="17"/>
  <c r="C189" i="17"/>
  <c r="D188" i="17"/>
  <c r="D277" i="17" s="1"/>
  <c r="C188" i="17"/>
  <c r="D180" i="17"/>
  <c r="E180" i="17" s="1"/>
  <c r="C180" i="17"/>
  <c r="D179" i="17"/>
  <c r="D181" i="17" s="1"/>
  <c r="C179" i="17"/>
  <c r="D171" i="17"/>
  <c r="D172" i="17"/>
  <c r="C171" i="17"/>
  <c r="C172" i="17"/>
  <c r="D170" i="17"/>
  <c r="E170" i="17" s="1"/>
  <c r="C170" i="17"/>
  <c r="F170" i="17" s="1"/>
  <c r="E169" i="17"/>
  <c r="F169" i="17"/>
  <c r="E168" i="17"/>
  <c r="F168" i="17"/>
  <c r="D165" i="17"/>
  <c r="E165" i="17" s="1"/>
  <c r="C165" i="17"/>
  <c r="F165" i="17" s="1"/>
  <c r="D164" i="17"/>
  <c r="F164" i="17"/>
  <c r="C164" i="17"/>
  <c r="E164" i="17" s="1"/>
  <c r="E163" i="17"/>
  <c r="F163" i="17" s="1"/>
  <c r="D158" i="17"/>
  <c r="D159" i="17"/>
  <c r="C158" i="17"/>
  <c r="C159" i="17"/>
  <c r="E157" i="17"/>
  <c r="F157" i="17"/>
  <c r="E156" i="17"/>
  <c r="F156" i="17" s="1"/>
  <c r="D155" i="17"/>
  <c r="E155" i="17" s="1"/>
  <c r="C155" i="17"/>
  <c r="E154" i="17"/>
  <c r="F154" i="17" s="1"/>
  <c r="E153" i="17"/>
  <c r="F153" i="17" s="1"/>
  <c r="D145" i="17"/>
  <c r="C145" i="17"/>
  <c r="D144" i="17"/>
  <c r="D146" i="17" s="1"/>
  <c r="C144" i="17"/>
  <c r="D136" i="17"/>
  <c r="D137" i="17"/>
  <c r="C136" i="17"/>
  <c r="C137" i="17" s="1"/>
  <c r="D135" i="17"/>
  <c r="E135" i="17" s="1"/>
  <c r="C135" i="17"/>
  <c r="F135" i="17" s="1"/>
  <c r="E134" i="17"/>
  <c r="F134" i="17"/>
  <c r="E133" i="17"/>
  <c r="F133" i="17" s="1"/>
  <c r="D130" i="17"/>
  <c r="E130" i="17" s="1"/>
  <c r="C130" i="17"/>
  <c r="D129" i="17"/>
  <c r="C129" i="17"/>
  <c r="E129" i="17" s="1"/>
  <c r="E128" i="17"/>
  <c r="F128" i="17" s="1"/>
  <c r="D123" i="17"/>
  <c r="C123" i="17"/>
  <c r="E122" i="17"/>
  <c r="F122" i="17"/>
  <c r="E121" i="17"/>
  <c r="F121" i="17"/>
  <c r="D120" i="17"/>
  <c r="E120" i="17" s="1"/>
  <c r="C120" i="17"/>
  <c r="E119" i="17"/>
  <c r="F119" i="17"/>
  <c r="E118" i="17"/>
  <c r="F118" i="17" s="1"/>
  <c r="D110" i="17"/>
  <c r="C110" i="17"/>
  <c r="D109" i="17"/>
  <c r="C109" i="17"/>
  <c r="C111" i="17" s="1"/>
  <c r="D101" i="17"/>
  <c r="D102" i="17" s="1"/>
  <c r="C101" i="17"/>
  <c r="C102" i="17" s="1"/>
  <c r="D100" i="17"/>
  <c r="E100" i="17"/>
  <c r="F100" i="17" s="1"/>
  <c r="C100" i="17"/>
  <c r="E99" i="17"/>
  <c r="F99" i="17" s="1"/>
  <c r="E98" i="17"/>
  <c r="F98" i="17" s="1"/>
  <c r="D95" i="17"/>
  <c r="C95" i="17"/>
  <c r="D94" i="17"/>
  <c r="E94" i="17" s="1"/>
  <c r="F94" i="17" s="1"/>
  <c r="C94" i="17"/>
  <c r="E93" i="17"/>
  <c r="F93" i="17"/>
  <c r="D88" i="17"/>
  <c r="D89" i="17" s="1"/>
  <c r="E89" i="17" s="1"/>
  <c r="C88" i="17"/>
  <c r="C89" i="17"/>
  <c r="E87" i="17"/>
  <c r="F87" i="17"/>
  <c r="E86" i="17"/>
  <c r="F86" i="17" s="1"/>
  <c r="D85" i="17"/>
  <c r="E85" i="17" s="1"/>
  <c r="C85" i="17"/>
  <c r="E84" i="17"/>
  <c r="F84" i="17"/>
  <c r="E83" i="17"/>
  <c r="F83" i="17" s="1"/>
  <c r="D76" i="17"/>
  <c r="D77" i="17" s="1"/>
  <c r="E77" i="17" s="1"/>
  <c r="C76" i="17"/>
  <c r="C77" i="17" s="1"/>
  <c r="E74" i="17"/>
  <c r="F74" i="17"/>
  <c r="E73" i="17"/>
  <c r="F73" i="17"/>
  <c r="D67" i="17"/>
  <c r="C67" i="17"/>
  <c r="D66" i="17"/>
  <c r="D68" i="17" s="1"/>
  <c r="C66" i="17"/>
  <c r="C68" i="17"/>
  <c r="D59" i="17"/>
  <c r="D60" i="17" s="1"/>
  <c r="C59" i="17"/>
  <c r="C60" i="17" s="1"/>
  <c r="D58" i="17"/>
  <c r="C58" i="17"/>
  <c r="E57" i="17"/>
  <c r="F57" i="17"/>
  <c r="E56" i="17"/>
  <c r="F56" i="17" s="1"/>
  <c r="D53" i="17"/>
  <c r="C53" i="17"/>
  <c r="D52" i="17"/>
  <c r="C52" i="17"/>
  <c r="E51" i="17"/>
  <c r="F51" i="17" s="1"/>
  <c r="D47" i="17"/>
  <c r="D48" i="17" s="1"/>
  <c r="C47" i="17"/>
  <c r="C48" i="17" s="1"/>
  <c r="E46" i="17"/>
  <c r="F46" i="17" s="1"/>
  <c r="E45" i="17"/>
  <c r="F45" i="17"/>
  <c r="D44" i="17"/>
  <c r="C44" i="17"/>
  <c r="E43" i="17"/>
  <c r="F43" i="17" s="1"/>
  <c r="E42" i="17"/>
  <c r="F42" i="17" s="1"/>
  <c r="D36" i="17"/>
  <c r="C36" i="17"/>
  <c r="D35" i="17"/>
  <c r="C35" i="17"/>
  <c r="D30" i="17"/>
  <c r="D31" i="17" s="1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 s="1"/>
  <c r="D17" i="17"/>
  <c r="C17" i="17"/>
  <c r="E16" i="17"/>
  <c r="F16" i="17"/>
  <c r="E15" i="17"/>
  <c r="F15" i="17"/>
  <c r="D21" i="16"/>
  <c r="E21" i="16" s="1"/>
  <c r="C21" i="16"/>
  <c r="E20" i="16"/>
  <c r="F20" i="16" s="1"/>
  <c r="D17" i="16"/>
  <c r="E17" i="16"/>
  <c r="F17" i="16" s="1"/>
  <c r="C17" i="16"/>
  <c r="E16" i="16"/>
  <c r="F16" i="16" s="1"/>
  <c r="D13" i="16"/>
  <c r="C13" i="16"/>
  <c r="E12" i="16"/>
  <c r="F12" i="16" s="1"/>
  <c r="D107" i="15"/>
  <c r="E107" i="15" s="1"/>
  <c r="C107" i="15"/>
  <c r="F106" i="15"/>
  <c r="E106" i="15"/>
  <c r="E105" i="15"/>
  <c r="F105" i="15" s="1"/>
  <c r="F104" i="15"/>
  <c r="E104" i="15"/>
  <c r="D100" i="15"/>
  <c r="E100" i="15" s="1"/>
  <c r="C100" i="15"/>
  <c r="F100" i="15" s="1"/>
  <c r="E99" i="15"/>
  <c r="F99" i="15" s="1"/>
  <c r="F98" i="15"/>
  <c r="E98" i="15"/>
  <c r="F97" i="15"/>
  <c r="E97" i="15"/>
  <c r="F96" i="15"/>
  <c r="E96" i="15"/>
  <c r="E95" i="15"/>
  <c r="F95" i="15" s="1"/>
  <c r="D92" i="15"/>
  <c r="E92" i="15" s="1"/>
  <c r="C92" i="15"/>
  <c r="F92" i="15" s="1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5" i="15" s="1"/>
  <c r="F74" i="15"/>
  <c r="E74" i="15"/>
  <c r="F73" i="15"/>
  <c r="E73" i="15"/>
  <c r="E75" i="15"/>
  <c r="D70" i="15"/>
  <c r="E70" i="15" s="1"/>
  <c r="F70" i="15" s="1"/>
  <c r="C70" i="15"/>
  <c r="F69" i="15"/>
  <c r="E69" i="15"/>
  <c r="F68" i="15"/>
  <c r="E68" i="15"/>
  <c r="D65" i="15"/>
  <c r="E65" i="15" s="1"/>
  <c r="F65" i="15" s="1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 s="1"/>
  <c r="F55" i="15"/>
  <c r="D55" i="15"/>
  <c r="E55" i="15" s="1"/>
  <c r="C55" i="15"/>
  <c r="F54" i="15"/>
  <c r="E54" i="15"/>
  <c r="F53" i="15"/>
  <c r="E53" i="15"/>
  <c r="F50" i="15"/>
  <c r="D50" i="15"/>
  <c r="E50" i="15" s="1"/>
  <c r="C50" i="15"/>
  <c r="F49" i="15"/>
  <c r="E49" i="15"/>
  <c r="F48" i="15"/>
  <c r="E48" i="15"/>
  <c r="F45" i="15"/>
  <c r="D45" i="15"/>
  <c r="E45" i="15" s="1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E34" i="15"/>
  <c r="F34" i="15" s="1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E20" i="15"/>
  <c r="F20" i="15" s="1"/>
  <c r="F19" i="15"/>
  <c r="E19" i="15"/>
  <c r="D16" i="15"/>
  <c r="E16" i="15" s="1"/>
  <c r="F16" i="15" s="1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1" i="14" s="1"/>
  <c r="D17" i="14"/>
  <c r="D33" i="14" s="1"/>
  <c r="D36" i="14" s="1"/>
  <c r="D38" i="14" s="1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 s="1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E57" i="13" s="1"/>
  <c r="D58" i="13"/>
  <c r="C58" i="13"/>
  <c r="E55" i="13"/>
  <c r="D55" i="13"/>
  <c r="C55" i="13"/>
  <c r="E54" i="13"/>
  <c r="D54" i="13"/>
  <c r="C54" i="13"/>
  <c r="C50" i="13" s="1"/>
  <c r="E50" i="13"/>
  <c r="E46" i="13"/>
  <c r="E59" i="13"/>
  <c r="E61" i="13" s="1"/>
  <c r="D46" i="13"/>
  <c r="D59" i="13"/>
  <c r="D61" i="13" s="1"/>
  <c r="D57" i="13" s="1"/>
  <c r="C46" i="13"/>
  <c r="C59" i="13"/>
  <c r="C61" i="13" s="1"/>
  <c r="C57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D15" i="13"/>
  <c r="D24" i="13" s="1"/>
  <c r="E13" i="13"/>
  <c r="E25" i="13" s="1"/>
  <c r="E27" i="13" s="1"/>
  <c r="D13" i="13"/>
  <c r="D25" i="13"/>
  <c r="D27" i="13" s="1"/>
  <c r="C13" i="13"/>
  <c r="C25" i="13" s="1"/>
  <c r="C27" i="13"/>
  <c r="F47" i="12"/>
  <c r="D47" i="12"/>
  <c r="E47" i="12" s="1"/>
  <c r="C47" i="12"/>
  <c r="F46" i="12"/>
  <c r="E46" i="12"/>
  <c r="F45" i="12"/>
  <c r="E45" i="12"/>
  <c r="D40" i="12"/>
  <c r="E40" i="12"/>
  <c r="C40" i="12"/>
  <c r="F40" i="12" s="1"/>
  <c r="E39" i="12"/>
  <c r="F39" i="12" s="1"/>
  <c r="E38" i="12"/>
  <c r="F38" i="12" s="1"/>
  <c r="E37" i="12"/>
  <c r="F37" i="12" s="1"/>
  <c r="D32" i="12"/>
  <c r="C32" i="12"/>
  <c r="E32" i="12" s="1"/>
  <c r="E31" i="12"/>
  <c r="F31" i="12" s="1"/>
  <c r="F30" i="12"/>
  <c r="E30" i="12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E18" i="12"/>
  <c r="F18" i="12" s="1"/>
  <c r="F16" i="12"/>
  <c r="E16" i="12"/>
  <c r="D15" i="12"/>
  <c r="D17" i="12"/>
  <c r="C15" i="12"/>
  <c r="C17" i="12"/>
  <c r="F14" i="12"/>
  <c r="E14" i="12"/>
  <c r="E13" i="12"/>
  <c r="F13" i="12" s="1"/>
  <c r="E12" i="12"/>
  <c r="F12" i="12" s="1"/>
  <c r="F11" i="12"/>
  <c r="E11" i="12"/>
  <c r="D73" i="11"/>
  <c r="C73" i="11"/>
  <c r="E73" i="11" s="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/>
  <c r="C61" i="11"/>
  <c r="C65" i="11" s="1"/>
  <c r="F60" i="11"/>
  <c r="E60" i="11"/>
  <c r="F59" i="11"/>
  <c r="E59" i="11"/>
  <c r="D56" i="11"/>
  <c r="D75" i="11" s="1"/>
  <c r="C56" i="11"/>
  <c r="F55" i="11"/>
  <c r="E55" i="11"/>
  <c r="F54" i="11"/>
  <c r="E54" i="11"/>
  <c r="E53" i="11"/>
  <c r="F53" i="11" s="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/>
  <c r="C38" i="11"/>
  <c r="C41" i="11"/>
  <c r="E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C29" i="11"/>
  <c r="E28" i="11"/>
  <c r="F28" i="11" s="1"/>
  <c r="F27" i="11"/>
  <c r="E27" i="11"/>
  <c r="F26" i="11"/>
  <c r="E26" i="11"/>
  <c r="E25" i="11"/>
  <c r="F25" i="11" s="1"/>
  <c r="D22" i="11"/>
  <c r="D43" i="11" s="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F15" i="11"/>
  <c r="E15" i="11"/>
  <c r="F14" i="11"/>
  <c r="E14" i="11"/>
  <c r="E13" i="11"/>
  <c r="F13" i="11" s="1"/>
  <c r="D120" i="10"/>
  <c r="E120" i="10"/>
  <c r="C120" i="10"/>
  <c r="D119" i="10"/>
  <c r="E119" i="10" s="1"/>
  <c r="F119" i="10" s="1"/>
  <c r="C119" i="10"/>
  <c r="D118" i="10"/>
  <c r="C118" i="10"/>
  <c r="D117" i="10"/>
  <c r="E117" i="10" s="1"/>
  <c r="C117" i="10"/>
  <c r="F117" i="10" s="1"/>
  <c r="D116" i="10"/>
  <c r="E116" i="10" s="1"/>
  <c r="F116" i="10"/>
  <c r="C116" i="10"/>
  <c r="D115" i="10"/>
  <c r="E115" i="10" s="1"/>
  <c r="C115" i="10"/>
  <c r="F115" i="10" s="1"/>
  <c r="D114" i="10"/>
  <c r="E114" i="10" s="1"/>
  <c r="C114" i="10"/>
  <c r="D113" i="10"/>
  <c r="C113" i="10"/>
  <c r="C122" i="10"/>
  <c r="D112" i="10"/>
  <c r="D121" i="10"/>
  <c r="C112" i="10"/>
  <c r="D108" i="10"/>
  <c r="E108" i="10"/>
  <c r="F108" i="10"/>
  <c r="C108" i="10"/>
  <c r="D107" i="10"/>
  <c r="E107" i="10" s="1"/>
  <c r="F107" i="10" s="1"/>
  <c r="C107" i="10"/>
  <c r="E106" i="10"/>
  <c r="F106" i="10" s="1"/>
  <c r="F105" i="10"/>
  <c r="E105" i="10"/>
  <c r="E104" i="10"/>
  <c r="F104" i="10" s="1"/>
  <c r="F103" i="10"/>
  <c r="E103" i="10"/>
  <c r="E102" i="10"/>
  <c r="F102" i="10" s="1"/>
  <c r="F101" i="10"/>
  <c r="E101" i="10"/>
  <c r="F100" i="10"/>
  <c r="E100" i="10"/>
  <c r="F99" i="10"/>
  <c r="E99" i="10"/>
  <c r="E98" i="10"/>
  <c r="F98" i="10" s="1"/>
  <c r="D96" i="10"/>
  <c r="C96" i="10"/>
  <c r="D95" i="10"/>
  <c r="E95" i="10" s="1"/>
  <c r="C95" i="10"/>
  <c r="F94" i="10"/>
  <c r="E94" i="10"/>
  <c r="F93" i="10"/>
  <c r="E93" i="10"/>
  <c r="F92" i="10"/>
  <c r="E92" i="10"/>
  <c r="E91" i="10"/>
  <c r="F91" i="10" s="1"/>
  <c r="F90" i="10"/>
  <c r="E90" i="10"/>
  <c r="F89" i="10"/>
  <c r="E89" i="10"/>
  <c r="F88" i="10"/>
  <c r="E88" i="10"/>
  <c r="E87" i="10"/>
  <c r="F87" i="10" s="1"/>
  <c r="F86" i="10"/>
  <c r="E86" i="10"/>
  <c r="F84" i="10"/>
  <c r="D84" i="10"/>
  <c r="E84" i="10" s="1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D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E48" i="10"/>
  <c r="C48" i="10"/>
  <c r="F48" i="10" s="1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F36" i="10" s="1"/>
  <c r="C36" i="10"/>
  <c r="D35" i="10"/>
  <c r="E35" i="10" s="1"/>
  <c r="F35" i="10" s="1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/>
  <c r="C205" i="9"/>
  <c r="D204" i="9"/>
  <c r="E204" i="9" s="1"/>
  <c r="C204" i="9"/>
  <c r="D203" i="9"/>
  <c r="E203" i="9"/>
  <c r="C203" i="9"/>
  <c r="D202" i="9"/>
  <c r="E202" i="9" s="1"/>
  <c r="F202" i="9" s="1"/>
  <c r="C202" i="9"/>
  <c r="D201" i="9"/>
  <c r="E201" i="9"/>
  <c r="C201" i="9"/>
  <c r="D200" i="9"/>
  <c r="C200" i="9"/>
  <c r="D199" i="9"/>
  <c r="D208" i="9" s="1"/>
  <c r="E208" i="9" s="1"/>
  <c r="F208" i="9" s="1"/>
  <c r="C199" i="9"/>
  <c r="D198" i="9"/>
  <c r="D207" i="9" s="1"/>
  <c r="C198" i="9"/>
  <c r="D193" i="9"/>
  <c r="C193" i="9"/>
  <c r="F193" i="9" s="1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 s="1"/>
  <c r="C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 s="1"/>
  <c r="C167" i="9"/>
  <c r="F167" i="9" s="1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E141" i="9" s="1"/>
  <c r="F141" i="9" s="1"/>
  <c r="D140" i="9"/>
  <c r="C140" i="9"/>
  <c r="E139" i="9"/>
  <c r="F139" i="9" s="1"/>
  <c r="F138" i="9"/>
  <c r="E138" i="9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E128" i="9" s="1"/>
  <c r="C128" i="9"/>
  <c r="D127" i="9"/>
  <c r="E127" i="9"/>
  <c r="C127" i="9"/>
  <c r="F126" i="9"/>
  <c r="E126" i="9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F118" i="9"/>
  <c r="E118" i="9"/>
  <c r="D115" i="9"/>
  <c r="C115" i="9"/>
  <c r="D114" i="9"/>
  <c r="E114" i="9"/>
  <c r="C114" i="9"/>
  <c r="F113" i="9"/>
  <c r="E113" i="9"/>
  <c r="E112" i="9"/>
  <c r="F112" i="9" s="1"/>
  <c r="F111" i="9"/>
  <c r="E111" i="9"/>
  <c r="F110" i="9"/>
  <c r="E110" i="9"/>
  <c r="F109" i="9"/>
  <c r="E109" i="9"/>
  <c r="E108" i="9"/>
  <c r="F108" i="9" s="1"/>
  <c r="E107" i="9"/>
  <c r="F107" i="9" s="1"/>
  <c r="F106" i="9"/>
  <c r="E106" i="9"/>
  <c r="F105" i="9"/>
  <c r="E105" i="9"/>
  <c r="D102" i="9"/>
  <c r="C102" i="9"/>
  <c r="D101" i="9"/>
  <c r="E101" i="9"/>
  <c r="C101" i="9"/>
  <c r="E100" i="9"/>
  <c r="F100" i="9" s="1"/>
  <c r="E99" i="9"/>
  <c r="F99" i="9" s="1"/>
  <c r="F98" i="9"/>
  <c r="E98" i="9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C89" i="9"/>
  <c r="D88" i="9"/>
  <c r="E88" i="9"/>
  <c r="C88" i="9"/>
  <c r="F87" i="9"/>
  <c r="E87" i="9"/>
  <c r="F86" i="9"/>
  <c r="E86" i="9"/>
  <c r="E85" i="9"/>
  <c r="F85" i="9" s="1"/>
  <c r="F84" i="9"/>
  <c r="E84" i="9"/>
  <c r="F83" i="9"/>
  <c r="E83" i="9"/>
  <c r="E82" i="9"/>
  <c r="F82" i="9" s="1"/>
  <c r="E81" i="9"/>
  <c r="F81" i="9" s="1"/>
  <c r="F80" i="9"/>
  <c r="E80" i="9"/>
  <c r="F79" i="9"/>
  <c r="E79" i="9"/>
  <c r="D76" i="9"/>
  <c r="E76" i="9" s="1"/>
  <c r="C76" i="9"/>
  <c r="D75" i="9"/>
  <c r="E75" i="9"/>
  <c r="C75" i="9"/>
  <c r="F74" i="9"/>
  <c r="E74" i="9"/>
  <c r="F73" i="9"/>
  <c r="E73" i="9"/>
  <c r="E72" i="9"/>
  <c r="F72" i="9" s="1"/>
  <c r="E71" i="9"/>
  <c r="F71" i="9" s="1"/>
  <c r="F70" i="9"/>
  <c r="E70" i="9"/>
  <c r="E69" i="9"/>
  <c r="F69" i="9" s="1"/>
  <c r="E68" i="9"/>
  <c r="F68" i="9" s="1"/>
  <c r="E67" i="9"/>
  <c r="F67" i="9" s="1"/>
  <c r="E66" i="9"/>
  <c r="F66" i="9" s="1"/>
  <c r="D63" i="9"/>
  <c r="E63" i="9" s="1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E40" i="9"/>
  <c r="F40" i="9" s="1"/>
  <c r="D37" i="9"/>
  <c r="E37" i="9" s="1"/>
  <c r="C37" i="9"/>
  <c r="F37" i="9" s="1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C23" i="9"/>
  <c r="F22" i="9"/>
  <c r="E22" i="9"/>
  <c r="E21" i="9"/>
  <c r="F21" i="9" s="1"/>
  <c r="E20" i="9"/>
  <c r="F20" i="9" s="1"/>
  <c r="E19" i="9"/>
  <c r="F19" i="9" s="1"/>
  <c r="F18" i="9"/>
  <c r="E18" i="9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 s="1"/>
  <c r="D166" i="8" s="1"/>
  <c r="C164" i="8"/>
  <c r="E162" i="8"/>
  <c r="D162" i="8"/>
  <c r="C162" i="8"/>
  <c r="E161" i="8"/>
  <c r="D161" i="8"/>
  <c r="C161" i="8"/>
  <c r="E160" i="8"/>
  <c r="C160" i="8"/>
  <c r="E147" i="8"/>
  <c r="E143" i="8" s="1"/>
  <c r="D147" i="8"/>
  <c r="D143" i="8"/>
  <c r="D149" i="8" s="1"/>
  <c r="D139" i="8" s="1"/>
  <c r="C147" i="8"/>
  <c r="C143" i="8" s="1"/>
  <c r="E145" i="8"/>
  <c r="D145" i="8"/>
  <c r="C145" i="8"/>
  <c r="E144" i="8"/>
  <c r="D144" i="8"/>
  <c r="C144" i="8"/>
  <c r="C149" i="8" s="1"/>
  <c r="E149" i="8"/>
  <c r="E136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 s="1"/>
  <c r="C106" i="8"/>
  <c r="E104" i="8"/>
  <c r="C104" i="8"/>
  <c r="E102" i="8"/>
  <c r="D102" i="8"/>
  <c r="D104" i="8" s="1"/>
  <c r="C102" i="8"/>
  <c r="E100" i="8"/>
  <c r="D100" i="8"/>
  <c r="C100" i="8"/>
  <c r="E95" i="8"/>
  <c r="E94" i="8" s="1"/>
  <c r="D95" i="8"/>
  <c r="D94" i="8" s="1"/>
  <c r="C95" i="8"/>
  <c r="C94" i="8"/>
  <c r="E89" i="8"/>
  <c r="D89" i="8"/>
  <c r="D90" i="8" s="1"/>
  <c r="D86" i="8" s="1"/>
  <c r="C89" i="8"/>
  <c r="E87" i="8"/>
  <c r="D87" i="8"/>
  <c r="C87" i="8"/>
  <c r="E84" i="8"/>
  <c r="E79" i="8" s="1"/>
  <c r="D84" i="8"/>
  <c r="C84" i="8"/>
  <c r="C79" i="8" s="1"/>
  <c r="E83" i="8"/>
  <c r="D83" i="8"/>
  <c r="D79" i="8" s="1"/>
  <c r="C83" i="8"/>
  <c r="E75" i="8"/>
  <c r="D75" i="8"/>
  <c r="D88" i="8" s="1"/>
  <c r="C75" i="8"/>
  <c r="C77" i="8" s="1"/>
  <c r="E74" i="8"/>
  <c r="D74" i="8"/>
  <c r="C74" i="8"/>
  <c r="C71" i="8" s="1"/>
  <c r="E67" i="8"/>
  <c r="D67" i="8"/>
  <c r="C67" i="8"/>
  <c r="E38" i="8"/>
  <c r="E57" i="8"/>
  <c r="E62" i="8" s="1"/>
  <c r="D38" i="8"/>
  <c r="C38" i="8"/>
  <c r="C57" i="8"/>
  <c r="C62" i="8" s="1"/>
  <c r="E33" i="8"/>
  <c r="E34" i="8" s="1"/>
  <c r="D33" i="8"/>
  <c r="D34" i="8" s="1"/>
  <c r="E26" i="8"/>
  <c r="D26" i="8"/>
  <c r="C26" i="8"/>
  <c r="C27" i="8" s="1"/>
  <c r="C21" i="8" s="1"/>
  <c r="C25" i="8"/>
  <c r="C15" i="8"/>
  <c r="C24" i="8"/>
  <c r="E13" i="8"/>
  <c r="E15" i="8" s="1"/>
  <c r="E24" i="8" s="1"/>
  <c r="D13" i="8"/>
  <c r="D25" i="8" s="1"/>
  <c r="D27" i="8" s="1"/>
  <c r="C13" i="8"/>
  <c r="F186" i="7"/>
  <c r="E186" i="7"/>
  <c r="D183" i="7"/>
  <c r="D188" i="7" s="1"/>
  <c r="C183" i="7"/>
  <c r="E182" i="7"/>
  <c r="F182" i="7" s="1"/>
  <c r="E181" i="7"/>
  <c r="F181" i="7" s="1"/>
  <c r="F180" i="7"/>
  <c r="E180" i="7"/>
  <c r="E179" i="7"/>
  <c r="F179" i="7" s="1"/>
  <c r="F178" i="7"/>
  <c r="E178" i="7"/>
  <c r="F177" i="7"/>
  <c r="E177" i="7"/>
  <c r="E176" i="7"/>
  <c r="F176" i="7" s="1"/>
  <c r="F175" i="7"/>
  <c r="E175" i="7"/>
  <c r="F174" i="7"/>
  <c r="E174" i="7"/>
  <c r="F173" i="7"/>
  <c r="E173" i="7"/>
  <c r="F172" i="7"/>
  <c r="E172" i="7"/>
  <c r="F171" i="7"/>
  <c r="E171" i="7"/>
  <c r="E170" i="7"/>
  <c r="F170" i="7" s="1"/>
  <c r="D167" i="7"/>
  <c r="E167" i="7"/>
  <c r="C167" i="7"/>
  <c r="F166" i="7"/>
  <c r="E166" i="7"/>
  <c r="F165" i="7"/>
  <c r="E165" i="7"/>
  <c r="E164" i="7"/>
  <c r="F164" i="7" s="1"/>
  <c r="F163" i="7"/>
  <c r="E163" i="7"/>
  <c r="E162" i="7"/>
  <c r="F162" i="7" s="1"/>
  <c r="E161" i="7"/>
  <c r="F161" i="7" s="1"/>
  <c r="E160" i="7"/>
  <c r="F160" i="7" s="1"/>
  <c r="F159" i="7"/>
  <c r="E159" i="7"/>
  <c r="E158" i="7"/>
  <c r="F158" i="7" s="1"/>
  <c r="E157" i="7"/>
  <c r="F157" i="7" s="1"/>
  <c r="E156" i="7"/>
  <c r="F156" i="7" s="1"/>
  <c r="F155" i="7"/>
  <c r="E155" i="7"/>
  <c r="E154" i="7"/>
  <c r="F154" i="7" s="1"/>
  <c r="F153" i="7"/>
  <c r="E153" i="7"/>
  <c r="E152" i="7"/>
  <c r="F152" i="7" s="1"/>
  <c r="E151" i="7"/>
  <c r="F151" i="7" s="1"/>
  <c r="E150" i="7"/>
  <c r="F150" i="7" s="1"/>
  <c r="F149" i="7"/>
  <c r="E149" i="7"/>
  <c r="E148" i="7"/>
  <c r="F148" i="7" s="1"/>
  <c r="F147" i="7"/>
  <c r="E147" i="7"/>
  <c r="F146" i="7"/>
  <c r="E146" i="7"/>
  <c r="E145" i="7"/>
  <c r="F145" i="7" s="1"/>
  <c r="E144" i="7"/>
  <c r="F144" i="7" s="1"/>
  <c r="E143" i="7"/>
  <c r="F143" i="7" s="1"/>
  <c r="E142" i="7"/>
  <c r="F142" i="7" s="1"/>
  <c r="E141" i="7"/>
  <c r="F141" i="7" s="1"/>
  <c r="E140" i="7"/>
  <c r="F140" i="7" s="1"/>
  <c r="E139" i="7"/>
  <c r="F139" i="7" s="1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C188" i="7" s="1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E120" i="7"/>
  <c r="F120" i="7" s="1"/>
  <c r="E119" i="7"/>
  <c r="F119" i="7" s="1"/>
  <c r="E118" i="7"/>
  <c r="F118" i="7" s="1"/>
  <c r="E117" i="7"/>
  <c r="F117" i="7" s="1"/>
  <c r="F116" i="7"/>
  <c r="E116" i="7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F104" i="7"/>
  <c r="E104" i="7"/>
  <c r="E103" i="7"/>
  <c r="F103" i="7" s="1"/>
  <c r="E93" i="7"/>
  <c r="F93" i="7" s="1"/>
  <c r="D90" i="7"/>
  <c r="C90" i="7"/>
  <c r="F89" i="7"/>
  <c r="E89" i="7"/>
  <c r="F88" i="7"/>
  <c r="E88" i="7"/>
  <c r="E87" i="7"/>
  <c r="F87" i="7" s="1"/>
  <c r="F86" i="7"/>
  <c r="E86" i="7"/>
  <c r="F85" i="7"/>
  <c r="E85" i="7"/>
  <c r="F84" i="7"/>
  <c r="E84" i="7"/>
  <c r="E83" i="7"/>
  <c r="F83" i="7" s="1"/>
  <c r="F82" i="7"/>
  <c r="E82" i="7"/>
  <c r="F81" i="7"/>
  <c r="E81" i="7"/>
  <c r="F80" i="7"/>
  <c r="E80" i="7"/>
  <c r="E79" i="7"/>
  <c r="F79" i="7" s="1"/>
  <c r="F78" i="7"/>
  <c r="E78" i="7"/>
  <c r="F77" i="7"/>
  <c r="E77" i="7"/>
  <c r="F76" i="7"/>
  <c r="E76" i="7"/>
  <c r="E75" i="7"/>
  <c r="F75" i="7" s="1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E67" i="7"/>
  <c r="F67" i="7" s="1"/>
  <c r="F66" i="7"/>
  <c r="E66" i="7"/>
  <c r="F65" i="7"/>
  <c r="E65" i="7"/>
  <c r="F64" i="7"/>
  <c r="E64" i="7"/>
  <c r="E63" i="7"/>
  <c r="F63" i="7" s="1"/>
  <c r="F62" i="7"/>
  <c r="E62" i="7"/>
  <c r="D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 s="1"/>
  <c r="F41" i="7" s="1"/>
  <c r="C41" i="7"/>
  <c r="F40" i="7"/>
  <c r="E40" i="7"/>
  <c r="E39" i="7"/>
  <c r="F39" i="7" s="1"/>
  <c r="F38" i="7"/>
  <c r="E38" i="7"/>
  <c r="D35" i="7"/>
  <c r="E35" i="7" s="1"/>
  <c r="F35" i="7"/>
  <c r="C35" i="7"/>
  <c r="F34" i="7"/>
  <c r="E34" i="7"/>
  <c r="F33" i="7"/>
  <c r="E33" i="7"/>
  <c r="D30" i="7"/>
  <c r="E30" i="7" s="1"/>
  <c r="F30" i="7" s="1"/>
  <c r="C30" i="7"/>
  <c r="E29" i="7"/>
  <c r="F29" i="7" s="1"/>
  <c r="F28" i="7"/>
  <c r="E28" i="7"/>
  <c r="F27" i="7"/>
  <c r="E27" i="7"/>
  <c r="D24" i="7"/>
  <c r="C24" i="7"/>
  <c r="F23" i="7"/>
  <c r="E23" i="7"/>
  <c r="F22" i="7"/>
  <c r="E22" i="7"/>
  <c r="F21" i="7"/>
  <c r="E21" i="7"/>
  <c r="D18" i="7"/>
  <c r="E18" i="7" s="1"/>
  <c r="F18" i="7" s="1"/>
  <c r="C18" i="7"/>
  <c r="F17" i="7"/>
  <c r="E17" i="7"/>
  <c r="F16" i="7"/>
  <c r="E16" i="7"/>
  <c r="F15" i="7"/>
  <c r="E15" i="7"/>
  <c r="D179" i="6"/>
  <c r="E179" i="6" s="1"/>
  <c r="C179" i="6"/>
  <c r="E178" i="6"/>
  <c r="F178" i="6" s="1"/>
  <c r="F177" i="6"/>
  <c r="E177" i="6"/>
  <c r="E176" i="6"/>
  <c r="F176" i="6" s="1"/>
  <c r="E175" i="6"/>
  <c r="F175" i="6" s="1"/>
  <c r="E174" i="6"/>
  <c r="F174" i="6" s="1"/>
  <c r="E173" i="6"/>
  <c r="F173" i="6" s="1"/>
  <c r="F172" i="6"/>
  <c r="E172" i="6"/>
  <c r="E171" i="6"/>
  <c r="F171" i="6" s="1"/>
  <c r="E170" i="6"/>
  <c r="F170" i="6" s="1"/>
  <c r="E169" i="6"/>
  <c r="F169" i="6" s="1"/>
  <c r="F168" i="6"/>
  <c r="E168" i="6"/>
  <c r="D166" i="6"/>
  <c r="E166" i="6"/>
  <c r="C166" i="6"/>
  <c r="E165" i="6"/>
  <c r="F165" i="6" s="1"/>
  <c r="F164" i="6"/>
  <c r="E164" i="6"/>
  <c r="E163" i="6"/>
  <c r="F163" i="6" s="1"/>
  <c r="E162" i="6"/>
  <c r="F162" i="6" s="1"/>
  <c r="E161" i="6"/>
  <c r="F161" i="6" s="1"/>
  <c r="F160" i="6"/>
  <c r="E160" i="6"/>
  <c r="E159" i="6"/>
  <c r="F159" i="6" s="1"/>
  <c r="E158" i="6"/>
  <c r="F158" i="6" s="1"/>
  <c r="E157" i="6"/>
  <c r="F157" i="6" s="1"/>
  <c r="F156" i="6"/>
  <c r="E156" i="6"/>
  <c r="E155" i="6"/>
  <c r="F155" i="6" s="1"/>
  <c r="D153" i="6"/>
  <c r="C153" i="6"/>
  <c r="E152" i="6"/>
  <c r="F152" i="6" s="1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F144" i="6"/>
  <c r="E144" i="6"/>
  <c r="E143" i="6"/>
  <c r="F143" i="6" s="1"/>
  <c r="E142" i="6"/>
  <c r="F142" i="6" s="1"/>
  <c r="D137" i="6"/>
  <c r="E137" i="6"/>
  <c r="F137" i="6"/>
  <c r="C137" i="6"/>
  <c r="E136" i="6"/>
  <c r="F136" i="6" s="1"/>
  <c r="F135" i="6"/>
  <c r="E135" i="6"/>
  <c r="E134" i="6"/>
  <c r="F134" i="6" s="1"/>
  <c r="E133" i="6"/>
  <c r="F133" i="6" s="1"/>
  <c r="E132" i="6"/>
  <c r="F132" i="6" s="1"/>
  <c r="F131" i="6"/>
  <c r="E131" i="6"/>
  <c r="E130" i="6"/>
  <c r="F130" i="6" s="1"/>
  <c r="E129" i="6"/>
  <c r="F129" i="6" s="1"/>
  <c r="E128" i="6"/>
  <c r="F128" i="6" s="1"/>
  <c r="E127" i="6"/>
  <c r="F127" i="6" s="1"/>
  <c r="E126" i="6"/>
  <c r="F126" i="6" s="1"/>
  <c r="D124" i="6"/>
  <c r="E124" i="6"/>
  <c r="C124" i="6"/>
  <c r="F123" i="6"/>
  <c r="E123" i="6"/>
  <c r="F122" i="6"/>
  <c r="E122" i="6"/>
  <c r="F121" i="6"/>
  <c r="E121" i="6"/>
  <c r="E120" i="6"/>
  <c r="F120" i="6" s="1"/>
  <c r="E119" i="6"/>
  <c r="F119" i="6" s="1"/>
  <c r="E118" i="6"/>
  <c r="F118" i="6" s="1"/>
  <c r="F117" i="6"/>
  <c r="E117" i="6"/>
  <c r="E116" i="6"/>
  <c r="F116" i="6" s="1"/>
  <c r="E115" i="6"/>
  <c r="F115" i="6" s="1"/>
  <c r="E114" i="6"/>
  <c r="F114" i="6" s="1"/>
  <c r="F113" i="6"/>
  <c r="E113" i="6"/>
  <c r="D111" i="6"/>
  <c r="E111" i="6"/>
  <c r="F111" i="6" s="1"/>
  <c r="C111" i="6"/>
  <c r="E110" i="6"/>
  <c r="F110" i="6" s="1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/>
  <c r="C94" i="6"/>
  <c r="D93" i="6"/>
  <c r="E93" i="6" s="1"/>
  <c r="C93" i="6"/>
  <c r="F93" i="6" s="1"/>
  <c r="D92" i="6"/>
  <c r="E92" i="6"/>
  <c r="C92" i="6"/>
  <c r="F92" i="6" s="1"/>
  <c r="D91" i="6"/>
  <c r="C91" i="6"/>
  <c r="D90" i="6"/>
  <c r="E90" i="6"/>
  <c r="C90" i="6"/>
  <c r="D89" i="6"/>
  <c r="C89" i="6"/>
  <c r="D88" i="6"/>
  <c r="E88" i="6" s="1"/>
  <c r="C88" i="6"/>
  <c r="D87" i="6"/>
  <c r="C87" i="6"/>
  <c r="D86" i="6"/>
  <c r="E86" i="6"/>
  <c r="C86" i="6"/>
  <c r="F86" i="6" s="1"/>
  <c r="D85" i="6"/>
  <c r="C85" i="6"/>
  <c r="D84" i="6"/>
  <c r="D95" i="6" s="1"/>
  <c r="C84" i="6"/>
  <c r="D81" i="6"/>
  <c r="C81" i="6"/>
  <c r="E80" i="6"/>
  <c r="F80" i="6" s="1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E73" i="6"/>
  <c r="F73" i="6" s="1"/>
  <c r="F72" i="6"/>
  <c r="E72" i="6"/>
  <c r="E71" i="6"/>
  <c r="F71" i="6" s="1"/>
  <c r="E70" i="6"/>
  <c r="F70" i="6" s="1"/>
  <c r="D68" i="6"/>
  <c r="E68" i="6"/>
  <c r="F68" i="6"/>
  <c r="C68" i="6"/>
  <c r="E67" i="6"/>
  <c r="F67" i="6" s="1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D51" i="6"/>
  <c r="E51" i="6" s="1"/>
  <c r="C51" i="6"/>
  <c r="D50" i="6"/>
  <c r="C50" i="6"/>
  <c r="F50" i="6" s="1"/>
  <c r="D49" i="6"/>
  <c r="E49" i="6"/>
  <c r="C49" i="6"/>
  <c r="F49" i="6" s="1"/>
  <c r="D48" i="6"/>
  <c r="C48" i="6"/>
  <c r="D47" i="6"/>
  <c r="E47" i="6" s="1"/>
  <c r="C47" i="6"/>
  <c r="D46" i="6"/>
  <c r="C46" i="6"/>
  <c r="D45" i="6"/>
  <c r="D52" i="6" s="1"/>
  <c r="E45" i="6"/>
  <c r="C45" i="6"/>
  <c r="D44" i="6"/>
  <c r="C44" i="6"/>
  <c r="D43" i="6"/>
  <c r="E43" i="6" s="1"/>
  <c r="C43" i="6"/>
  <c r="D42" i="6"/>
  <c r="C42" i="6"/>
  <c r="D41" i="6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E30" i="6"/>
  <c r="F30" i="6" s="1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E22" i="6"/>
  <c r="F22" i="6" s="1"/>
  <c r="F21" i="6"/>
  <c r="E21" i="6"/>
  <c r="F20" i="6"/>
  <c r="E20" i="6"/>
  <c r="F19" i="6"/>
  <c r="E19" i="6"/>
  <c r="E18" i="6"/>
  <c r="F18" i="6" s="1"/>
  <c r="F17" i="6"/>
  <c r="E17" i="6"/>
  <c r="F16" i="6"/>
  <c r="E16" i="6"/>
  <c r="F15" i="6"/>
  <c r="E15" i="6"/>
  <c r="E14" i="6"/>
  <c r="F14" i="6" s="1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E18" i="5" s="1"/>
  <c r="F18" i="5" s="1"/>
  <c r="C16" i="5"/>
  <c r="C18" i="5" s="1"/>
  <c r="C21" i="5" s="1"/>
  <c r="F15" i="5"/>
  <c r="E15" i="5"/>
  <c r="F14" i="5"/>
  <c r="E14" i="5"/>
  <c r="F13" i="5"/>
  <c r="E13" i="5"/>
  <c r="F12" i="5"/>
  <c r="E12" i="5"/>
  <c r="D73" i="4"/>
  <c r="C73" i="4"/>
  <c r="C75" i="4" s="1"/>
  <c r="F72" i="4"/>
  <c r="E72" i="4"/>
  <c r="E71" i="4"/>
  <c r="F71" i="4" s="1"/>
  <c r="E70" i="4"/>
  <c r="F70" i="4" s="1"/>
  <c r="F67" i="4"/>
  <c r="E67" i="4"/>
  <c r="F64" i="4"/>
  <c r="E64" i="4"/>
  <c r="E63" i="4"/>
  <c r="F63" i="4" s="1"/>
  <c r="D61" i="4"/>
  <c r="D65" i="4"/>
  <c r="E65" i="4" s="1"/>
  <c r="C61" i="4"/>
  <c r="E61" i="4" s="1"/>
  <c r="C65" i="4"/>
  <c r="F60" i="4"/>
  <c r="E60" i="4"/>
  <c r="F59" i="4"/>
  <c r="E59" i="4"/>
  <c r="D56" i="4"/>
  <c r="D75" i="4" s="1"/>
  <c r="C56" i="4"/>
  <c r="F55" i="4"/>
  <c r="E55" i="4"/>
  <c r="F54" i="4"/>
  <c r="E54" i="4"/>
  <c r="E53" i="4"/>
  <c r="F53" i="4" s="1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E38" i="4" s="1"/>
  <c r="D41" i="4"/>
  <c r="E41" i="4" s="1"/>
  <c r="C38" i="4"/>
  <c r="C41" i="4" s="1"/>
  <c r="C43" i="4" s="1"/>
  <c r="F37" i="4"/>
  <c r="E37" i="4"/>
  <c r="F36" i="4"/>
  <c r="E36" i="4"/>
  <c r="F33" i="4"/>
  <c r="E33" i="4"/>
  <c r="F32" i="4"/>
  <c r="E32" i="4"/>
  <c r="F31" i="4"/>
  <c r="E31" i="4"/>
  <c r="F29" i="4"/>
  <c r="D29" i="4"/>
  <c r="E29" i="4"/>
  <c r="C29" i="4"/>
  <c r="F28" i="4"/>
  <c r="E28" i="4"/>
  <c r="F27" i="4"/>
  <c r="E27" i="4"/>
  <c r="F26" i="4"/>
  <c r="E26" i="4"/>
  <c r="F25" i="4"/>
  <c r="E25" i="4"/>
  <c r="D22" i="4"/>
  <c r="D43" i="4" s="1"/>
  <c r="E43" i="4" s="1"/>
  <c r="F43" i="4" s="1"/>
  <c r="C22" i="4"/>
  <c r="F21" i="4"/>
  <c r="E21" i="4"/>
  <c r="F20" i="4"/>
  <c r="E20" i="4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C109" i="22"/>
  <c r="C108" i="22"/>
  <c r="D108" i="22"/>
  <c r="D109" i="22"/>
  <c r="D22" i="22"/>
  <c r="C23" i="22"/>
  <c r="C30" i="22" s="1"/>
  <c r="E23" i="22"/>
  <c r="C34" i="22"/>
  <c r="E34" i="22"/>
  <c r="C102" i="22"/>
  <c r="C103" i="22" s="1"/>
  <c r="E102" i="22"/>
  <c r="C22" i="22"/>
  <c r="E22" i="22"/>
  <c r="D41" i="20"/>
  <c r="F25" i="20"/>
  <c r="E19" i="20"/>
  <c r="F19" i="20"/>
  <c r="C20" i="20"/>
  <c r="E25" i="20"/>
  <c r="E36" i="20"/>
  <c r="F36" i="20"/>
  <c r="C39" i="20"/>
  <c r="E39" i="20" s="1"/>
  <c r="C40" i="20"/>
  <c r="E43" i="20"/>
  <c r="E44" i="20"/>
  <c r="F44" i="20" s="1"/>
  <c r="E45" i="20"/>
  <c r="F45" i="20" s="1"/>
  <c r="C46" i="20"/>
  <c r="F46" i="20" s="1"/>
  <c r="E223" i="17"/>
  <c r="F223" i="17"/>
  <c r="C38" i="19"/>
  <c r="C127" i="19"/>
  <c r="C129" i="19" s="1"/>
  <c r="C133" i="19" s="1"/>
  <c r="E23" i="17"/>
  <c r="E24" i="17"/>
  <c r="F24" i="17" s="1"/>
  <c r="E29" i="17"/>
  <c r="E36" i="17"/>
  <c r="E44" i="17"/>
  <c r="D192" i="17"/>
  <c r="E192" i="17" s="1"/>
  <c r="C22" i="19"/>
  <c r="D258" i="18"/>
  <c r="D101" i="18"/>
  <c r="E101" i="18" s="1"/>
  <c r="D99" i="18"/>
  <c r="E99" i="18" s="1"/>
  <c r="D97" i="18"/>
  <c r="E97" i="18" s="1"/>
  <c r="D95" i="18"/>
  <c r="D88" i="18"/>
  <c r="D86" i="18"/>
  <c r="D84" i="18"/>
  <c r="D90" i="18" s="1"/>
  <c r="D100" i="18"/>
  <c r="D98" i="18"/>
  <c r="D96" i="18"/>
  <c r="E96" i="18" s="1"/>
  <c r="D89" i="18"/>
  <c r="D87" i="18"/>
  <c r="D85" i="18"/>
  <c r="D83" i="18"/>
  <c r="E44" i="18"/>
  <c r="E43" i="18"/>
  <c r="C258" i="18"/>
  <c r="E258" i="18" s="1"/>
  <c r="C100" i="18"/>
  <c r="E100" i="18" s="1"/>
  <c r="C98" i="18"/>
  <c r="C96" i="18"/>
  <c r="C89" i="18"/>
  <c r="C87" i="18"/>
  <c r="C85" i="18"/>
  <c r="C83" i="18"/>
  <c r="C101" i="18"/>
  <c r="C99" i="18"/>
  <c r="C97" i="18"/>
  <c r="C95" i="18"/>
  <c r="C88" i="18"/>
  <c r="C86" i="18"/>
  <c r="E86" i="18" s="1"/>
  <c r="C84" i="18"/>
  <c r="C90" i="18"/>
  <c r="E90" i="18" s="1"/>
  <c r="E229" i="17"/>
  <c r="F229" i="17" s="1"/>
  <c r="E230" i="17"/>
  <c r="F230" i="17" s="1"/>
  <c r="E238" i="17"/>
  <c r="F238" i="17" s="1"/>
  <c r="E294" i="17"/>
  <c r="F294" i="17" s="1"/>
  <c r="E295" i="17"/>
  <c r="E296" i="17"/>
  <c r="F296" i="17" s="1"/>
  <c r="E297" i="17"/>
  <c r="E298" i="17"/>
  <c r="F298" i="17" s="1"/>
  <c r="E299" i="17"/>
  <c r="D283" i="18"/>
  <c r="E283" i="18" s="1"/>
  <c r="C22" i="18"/>
  <c r="C284" i="18" s="1"/>
  <c r="C294" i="18"/>
  <c r="E32" i="18"/>
  <c r="D33" i="18"/>
  <c r="E36" i="18"/>
  <c r="E54" i="18"/>
  <c r="E69" i="18"/>
  <c r="E17" i="17"/>
  <c r="F17" i="17" s="1"/>
  <c r="E52" i="17"/>
  <c r="F52" i="17" s="1"/>
  <c r="E53" i="17"/>
  <c r="E58" i="17"/>
  <c r="F58" i="17" s="1"/>
  <c r="E67" i="17"/>
  <c r="E21" i="18"/>
  <c r="D284" i="18"/>
  <c r="E284" i="18"/>
  <c r="E37" i="18"/>
  <c r="C289" i="18"/>
  <c r="C71" i="18"/>
  <c r="C76" i="18" s="1"/>
  <c r="C65" i="18"/>
  <c r="C66" i="18" s="1"/>
  <c r="C295" i="18" s="1"/>
  <c r="E60" i="18"/>
  <c r="E70" i="18"/>
  <c r="D157" i="18"/>
  <c r="E157" i="18"/>
  <c r="E156" i="18"/>
  <c r="E289" i="18"/>
  <c r="C144" i="18"/>
  <c r="E144" i="18"/>
  <c r="D145" i="18"/>
  <c r="D181" i="18" s="1"/>
  <c r="E151" i="18"/>
  <c r="D163" i="18"/>
  <c r="E163" i="18"/>
  <c r="C175" i="18"/>
  <c r="E175" i="18"/>
  <c r="D180" i="18"/>
  <c r="C261" i="18"/>
  <c r="E261" i="18"/>
  <c r="C189" i="18"/>
  <c r="E189" i="18" s="1"/>
  <c r="E188" i="18"/>
  <c r="D260" i="18"/>
  <c r="E195" i="18"/>
  <c r="E229" i="18"/>
  <c r="D241" i="18"/>
  <c r="E242" i="18"/>
  <c r="E243" i="18"/>
  <c r="E244" i="18"/>
  <c r="E245" i="18"/>
  <c r="D252" i="18"/>
  <c r="D253" i="18"/>
  <c r="E253" i="18" s="1"/>
  <c r="E302" i="18"/>
  <c r="C303" i="18"/>
  <c r="C306" i="18"/>
  <c r="C310" i="18" s="1"/>
  <c r="E139" i="18"/>
  <c r="D234" i="18"/>
  <c r="C253" i="18"/>
  <c r="C254" i="18"/>
  <c r="E303" i="18"/>
  <c r="D306" i="18"/>
  <c r="D310" i="18" s="1"/>
  <c r="E310" i="18" s="1"/>
  <c r="D320" i="18"/>
  <c r="E316" i="18"/>
  <c r="D330" i="18"/>
  <c r="E330" i="18"/>
  <c r="C210" i="18"/>
  <c r="E210" i="18"/>
  <c r="D211" i="18"/>
  <c r="E215" i="18"/>
  <c r="C217" i="18"/>
  <c r="E217" i="18" s="1"/>
  <c r="C241" i="18"/>
  <c r="E241" i="18" s="1"/>
  <c r="E219" i="18"/>
  <c r="E221" i="18"/>
  <c r="D222" i="18"/>
  <c r="C252" i="18"/>
  <c r="E265" i="18"/>
  <c r="E314" i="18"/>
  <c r="E205" i="18"/>
  <c r="E216" i="18"/>
  <c r="E218" i="18"/>
  <c r="E220" i="18"/>
  <c r="C222" i="18"/>
  <c r="C246" i="18" s="1"/>
  <c r="D223" i="18"/>
  <c r="E233" i="18"/>
  <c r="E251" i="18"/>
  <c r="E301" i="18"/>
  <c r="E324" i="18"/>
  <c r="E31" i="17"/>
  <c r="F31" i="17"/>
  <c r="D32" i="17"/>
  <c r="D160" i="17"/>
  <c r="E160" i="17" s="1"/>
  <c r="D90" i="17"/>
  <c r="E48" i="17"/>
  <c r="F48" i="17" s="1"/>
  <c r="C61" i="17"/>
  <c r="F89" i="17"/>
  <c r="C103" i="17"/>
  <c r="C207" i="17"/>
  <c r="C138" i="17"/>
  <c r="C173" i="17"/>
  <c r="C32" i="17"/>
  <c r="C160" i="17"/>
  <c r="F160" i="17" s="1"/>
  <c r="C90" i="17"/>
  <c r="E60" i="17"/>
  <c r="F60" i="17" s="1"/>
  <c r="D61" i="17"/>
  <c r="E61" i="17" s="1"/>
  <c r="D103" i="17"/>
  <c r="E103" i="17" s="1"/>
  <c r="F103" i="17" s="1"/>
  <c r="E102" i="17"/>
  <c r="F102" i="17"/>
  <c r="D207" i="17"/>
  <c r="D138" i="17"/>
  <c r="E137" i="17"/>
  <c r="F137" i="17"/>
  <c r="D173" i="17"/>
  <c r="D175" i="17" s="1"/>
  <c r="E172" i="17"/>
  <c r="F172" i="17" s="1"/>
  <c r="D21" i="17"/>
  <c r="F23" i="17"/>
  <c r="F29" i="17"/>
  <c r="F36" i="17"/>
  <c r="F44" i="17"/>
  <c r="F53" i="17"/>
  <c r="F67" i="17"/>
  <c r="E88" i="17"/>
  <c r="F88" i="17"/>
  <c r="E101" i="17"/>
  <c r="F101" i="17" s="1"/>
  <c r="E109" i="17"/>
  <c r="F109" i="17"/>
  <c r="C193" i="17"/>
  <c r="C192" i="17"/>
  <c r="E123" i="17"/>
  <c r="F123" i="17"/>
  <c r="C124" i="17"/>
  <c r="E124" i="17" s="1"/>
  <c r="E136" i="17"/>
  <c r="F136" i="17"/>
  <c r="E144" i="17"/>
  <c r="F144" i="17"/>
  <c r="E158" i="17"/>
  <c r="F158" i="17"/>
  <c r="E171" i="17"/>
  <c r="F171" i="17" s="1"/>
  <c r="E179" i="17"/>
  <c r="F179" i="17"/>
  <c r="C277" i="17"/>
  <c r="C261" i="17"/>
  <c r="C263" i="17" s="1"/>
  <c r="C254" i="17"/>
  <c r="C214" i="17"/>
  <c r="C304" i="17" s="1"/>
  <c r="C206" i="17"/>
  <c r="E188" i="17"/>
  <c r="F188" i="17" s="1"/>
  <c r="C190" i="17"/>
  <c r="F227" i="17"/>
  <c r="E239" i="17"/>
  <c r="C282" i="17"/>
  <c r="C266" i="17"/>
  <c r="E20" i="17"/>
  <c r="F20" i="17" s="1"/>
  <c r="C21" i="17"/>
  <c r="C126" i="17" s="1"/>
  <c r="E30" i="17"/>
  <c r="F30" i="17"/>
  <c r="E35" i="17"/>
  <c r="F35" i="17"/>
  <c r="C37" i="17"/>
  <c r="E47" i="17"/>
  <c r="F47" i="17"/>
  <c r="E59" i="17"/>
  <c r="F59" i="17"/>
  <c r="E66" i="17"/>
  <c r="F66" i="17"/>
  <c r="E76" i="17"/>
  <c r="F76" i="17" s="1"/>
  <c r="D124" i="17"/>
  <c r="C278" i="17"/>
  <c r="C288" i="17" s="1"/>
  <c r="C262" i="17"/>
  <c r="C255" i="17"/>
  <c r="C215" i="17"/>
  <c r="E189" i="17"/>
  <c r="F189" i="17"/>
  <c r="D279" i="17"/>
  <c r="D190" i="17"/>
  <c r="E190" i="17" s="1"/>
  <c r="E280" i="17"/>
  <c r="F280" i="17" s="1"/>
  <c r="D290" i="17"/>
  <c r="E290" i="17" s="1"/>
  <c r="F290" i="17" s="1"/>
  <c r="D274" i="17"/>
  <c r="D199" i="17"/>
  <c r="D200" i="17"/>
  <c r="D283" i="17"/>
  <c r="E283" i="17" s="1"/>
  <c r="F283" i="17" s="1"/>
  <c r="D287" i="17"/>
  <c r="D267" i="17"/>
  <c r="D285" i="17"/>
  <c r="E285" i="17"/>
  <c r="F285" i="17" s="1"/>
  <c r="D269" i="17"/>
  <c r="D205" i="17"/>
  <c r="D206" i="17"/>
  <c r="D214" i="17"/>
  <c r="D254" i="17" s="1"/>
  <c r="D215" i="17"/>
  <c r="D261" i="17"/>
  <c r="D263" i="17" s="1"/>
  <c r="D262" i="17"/>
  <c r="D264" i="17"/>
  <c r="E277" i="17"/>
  <c r="C281" i="17"/>
  <c r="E191" i="17"/>
  <c r="F191" i="17" s="1"/>
  <c r="E198" i="17"/>
  <c r="F198" i="17" s="1"/>
  <c r="C199" i="17"/>
  <c r="E199" i="17" s="1"/>
  <c r="F199" i="17" s="1"/>
  <c r="C200" i="17"/>
  <c r="C286" i="17"/>
  <c r="E203" i="17"/>
  <c r="F203" i="17"/>
  <c r="E204" i="17"/>
  <c r="F204" i="17" s="1"/>
  <c r="C205" i="17"/>
  <c r="E226" i="17"/>
  <c r="F226" i="17"/>
  <c r="E237" i="17"/>
  <c r="F237" i="17"/>
  <c r="E250" i="17"/>
  <c r="F250" i="17"/>
  <c r="C264" i="17"/>
  <c r="C267" i="17"/>
  <c r="C271" i="17" s="1"/>
  <c r="C269" i="17"/>
  <c r="C274" i="17"/>
  <c r="F295" i="17"/>
  <c r="F297" i="17"/>
  <c r="F299" i="17"/>
  <c r="F107" i="15"/>
  <c r="F36" i="14"/>
  <c r="F38" i="14" s="1"/>
  <c r="F40" i="14"/>
  <c r="I31" i="14"/>
  <c r="I17" i="14"/>
  <c r="D31" i="14"/>
  <c r="F31" i="14"/>
  <c r="H31" i="14" s="1"/>
  <c r="C33" i="14"/>
  <c r="C36" i="14" s="1"/>
  <c r="C38" i="14"/>
  <c r="C40" i="14" s="1"/>
  <c r="E33" i="14"/>
  <c r="E36" i="14" s="1"/>
  <c r="E38" i="14" s="1"/>
  <c r="E40" i="14" s="1"/>
  <c r="G33" i="14"/>
  <c r="I33" i="14" s="1"/>
  <c r="I36" i="14" s="1"/>
  <c r="I38" i="14" s="1"/>
  <c r="I40" i="14" s="1"/>
  <c r="H17" i="14"/>
  <c r="D21" i="13"/>
  <c r="D20" i="13"/>
  <c r="C21" i="13"/>
  <c r="E21" i="13"/>
  <c r="D48" i="13"/>
  <c r="D42" i="13"/>
  <c r="C15" i="13"/>
  <c r="C17" i="13" s="1"/>
  <c r="C28" i="13" s="1"/>
  <c r="E15" i="13"/>
  <c r="D17" i="13"/>
  <c r="D28" i="13" s="1"/>
  <c r="D70" i="13"/>
  <c r="D72" i="13" s="1"/>
  <c r="D69" i="13"/>
  <c r="C48" i="13"/>
  <c r="C42" i="13" s="1"/>
  <c r="E48" i="13"/>
  <c r="E42" i="13"/>
  <c r="D20" i="12"/>
  <c r="E17" i="12"/>
  <c r="F17" i="12" s="1"/>
  <c r="C20" i="12"/>
  <c r="E20" i="12" s="1"/>
  <c r="E15" i="12"/>
  <c r="F15" i="12"/>
  <c r="E22" i="11"/>
  <c r="F22" i="11" s="1"/>
  <c r="E38" i="11"/>
  <c r="F38" i="11"/>
  <c r="E56" i="11"/>
  <c r="F56" i="11"/>
  <c r="E61" i="11"/>
  <c r="F61" i="11"/>
  <c r="F120" i="10"/>
  <c r="E112" i="10"/>
  <c r="F112" i="10" s="1"/>
  <c r="E113" i="10"/>
  <c r="F113" i="10" s="1"/>
  <c r="F201" i="9"/>
  <c r="F203" i="9"/>
  <c r="F204" i="9"/>
  <c r="F205" i="9"/>
  <c r="F206" i="9"/>
  <c r="E198" i="9"/>
  <c r="F198" i="9" s="1"/>
  <c r="E199" i="9"/>
  <c r="F199" i="9"/>
  <c r="C207" i="9"/>
  <c r="C208" i="9"/>
  <c r="D156" i="8"/>
  <c r="D152" i="8"/>
  <c r="D155" i="8"/>
  <c r="D153" i="8"/>
  <c r="D135" i="8"/>
  <c r="D15" i="8"/>
  <c r="D24" i="8" s="1"/>
  <c r="C17" i="8"/>
  <c r="E17" i="8"/>
  <c r="E28" i="8" s="1"/>
  <c r="E99" i="8" s="1"/>
  <c r="E101" i="8" s="1"/>
  <c r="E98" i="8" s="1"/>
  <c r="C43" i="8"/>
  <c r="E43" i="8"/>
  <c r="C53" i="8"/>
  <c r="E53" i="8"/>
  <c r="D77" i="8"/>
  <c r="D71" i="8" s="1"/>
  <c r="C49" i="8"/>
  <c r="E49" i="8"/>
  <c r="E90" i="7"/>
  <c r="E183" i="7"/>
  <c r="F179" i="6"/>
  <c r="E41" i="6"/>
  <c r="F41" i="6" s="1"/>
  <c r="E84" i="6"/>
  <c r="F84" i="6" s="1"/>
  <c r="D21" i="5"/>
  <c r="D35" i="5" s="1"/>
  <c r="E35" i="5" s="1"/>
  <c r="F35" i="5" s="1"/>
  <c r="E16" i="5"/>
  <c r="F16" i="5" s="1"/>
  <c r="F41" i="4"/>
  <c r="E22" i="4"/>
  <c r="F22" i="4"/>
  <c r="F38" i="4"/>
  <c r="E56" i="4"/>
  <c r="F56" i="4" s="1"/>
  <c r="F61" i="4"/>
  <c r="E45" i="22"/>
  <c r="E35" i="22"/>
  <c r="C54" i="22"/>
  <c r="C40" i="22"/>
  <c r="C45" i="22"/>
  <c r="C35" i="22"/>
  <c r="C29" i="22"/>
  <c r="C37" i="22" s="1"/>
  <c r="C110" i="22"/>
  <c r="E54" i="22"/>
  <c r="E40" i="22"/>
  <c r="E30" i="22"/>
  <c r="E48" i="22" s="1"/>
  <c r="D110" i="22"/>
  <c r="D53" i="22"/>
  <c r="D39" i="22"/>
  <c r="D29" i="22"/>
  <c r="D47" i="22" s="1"/>
  <c r="E46" i="20"/>
  <c r="C41" i="20"/>
  <c r="E20" i="20"/>
  <c r="F20" i="20" s="1"/>
  <c r="F43" i="20"/>
  <c r="C259" i="18"/>
  <c r="C263" i="18" s="1"/>
  <c r="C77" i="18"/>
  <c r="E222" i="18"/>
  <c r="D235" i="18"/>
  <c r="D254" i="18"/>
  <c r="E254" i="18" s="1"/>
  <c r="E252" i="18"/>
  <c r="E260" i="18"/>
  <c r="C180" i="18"/>
  <c r="E180" i="18" s="1"/>
  <c r="C145" i="18"/>
  <c r="C168" i="18"/>
  <c r="E168" i="18" s="1"/>
  <c r="E83" i="18"/>
  <c r="E87" i="18"/>
  <c r="E95" i="18"/>
  <c r="C223" i="18"/>
  <c r="C247" i="18" s="1"/>
  <c r="E306" i="18"/>
  <c r="E33" i="18"/>
  <c r="E85" i="18"/>
  <c r="E89" i="18"/>
  <c r="E98" i="18"/>
  <c r="E84" i="18"/>
  <c r="E88" i="18"/>
  <c r="E22" i="18"/>
  <c r="C265" i="17"/>
  <c r="D300" i="17"/>
  <c r="E264" i="17"/>
  <c r="F264" i="17"/>
  <c r="D271" i="17"/>
  <c r="E261" i="17"/>
  <c r="F261" i="17" s="1"/>
  <c r="E263" i="17"/>
  <c r="F263" i="17" s="1"/>
  <c r="E215" i="17"/>
  <c r="F215" i="17" s="1"/>
  <c r="D255" i="17"/>
  <c r="E255" i="17" s="1"/>
  <c r="F255" i="17"/>
  <c r="D270" i="17"/>
  <c r="E200" i="17"/>
  <c r="F200" i="17"/>
  <c r="C272" i="17"/>
  <c r="C194" i="17"/>
  <c r="E173" i="17"/>
  <c r="E138" i="17"/>
  <c r="F138" i="17"/>
  <c r="D139" i="17"/>
  <c r="E139" i="17" s="1"/>
  <c r="D104" i="17"/>
  <c r="C174" i="17"/>
  <c r="C139" i="17"/>
  <c r="F139" i="17" s="1"/>
  <c r="C104" i="17"/>
  <c r="E104" i="17" s="1"/>
  <c r="F104" i="17" s="1"/>
  <c r="E90" i="17"/>
  <c r="F90" i="17" s="1"/>
  <c r="D272" i="17"/>
  <c r="E272" i="17" s="1"/>
  <c r="F272" i="17" s="1"/>
  <c r="E262" i="17"/>
  <c r="F262" i="17"/>
  <c r="E214" i="17"/>
  <c r="E269" i="17"/>
  <c r="D286" i="17"/>
  <c r="E286" i="17" s="1"/>
  <c r="F286" i="17"/>
  <c r="D284" i="17"/>
  <c r="E284" i="17"/>
  <c r="F284" i="17" s="1"/>
  <c r="C287" i="17"/>
  <c r="C289" i="17" s="1"/>
  <c r="C284" i="17"/>
  <c r="F277" i="17"/>
  <c r="F192" i="17"/>
  <c r="D161" i="17"/>
  <c r="D126" i="17"/>
  <c r="D91" i="17"/>
  <c r="D49" i="17"/>
  <c r="D50" i="17" s="1"/>
  <c r="E207" i="17"/>
  <c r="F207" i="17" s="1"/>
  <c r="D208" i="17"/>
  <c r="D210" i="17" s="1"/>
  <c r="E208" i="17"/>
  <c r="F208" i="17" s="1"/>
  <c r="C175" i="17"/>
  <c r="C140" i="17"/>
  <c r="C105" i="17"/>
  <c r="E105" i="17" s="1"/>
  <c r="C208" i="17"/>
  <c r="D125" i="17"/>
  <c r="D140" i="17"/>
  <c r="D105" i="17"/>
  <c r="E32" i="17"/>
  <c r="F32" i="17"/>
  <c r="D62" i="17"/>
  <c r="G36" i="14"/>
  <c r="G38" i="14" s="1"/>
  <c r="G40" i="14"/>
  <c r="E24" i="13"/>
  <c r="E20" i="13"/>
  <c r="E17" i="13"/>
  <c r="E28" i="13"/>
  <c r="E70" i="13" s="1"/>
  <c r="E72" i="13" s="1"/>
  <c r="E69" i="13" s="1"/>
  <c r="C24" i="13"/>
  <c r="C20" i="13"/>
  <c r="D22" i="13"/>
  <c r="D34" i="12"/>
  <c r="D42" i="12" s="1"/>
  <c r="F20" i="12"/>
  <c r="E207" i="9"/>
  <c r="F207" i="9" s="1"/>
  <c r="C112" i="8"/>
  <c r="C111" i="8"/>
  <c r="C28" i="8"/>
  <c r="D17" i="8"/>
  <c r="D112" i="8" s="1"/>
  <c r="D111" i="8" s="1"/>
  <c r="C35" i="5"/>
  <c r="D112" i="22"/>
  <c r="D37" i="22"/>
  <c r="E113" i="22"/>
  <c r="E56" i="22"/>
  <c r="C47" i="22"/>
  <c r="C112" i="22"/>
  <c r="F39" i="20"/>
  <c r="D91" i="18"/>
  <c r="C169" i="18"/>
  <c r="C127" i="18"/>
  <c r="C125" i="18"/>
  <c r="C123" i="18"/>
  <c r="C121" i="18"/>
  <c r="C114" i="18"/>
  <c r="C110" i="18"/>
  <c r="C124" i="18"/>
  <c r="C115" i="18"/>
  <c r="C113" i="18"/>
  <c r="C111" i="18"/>
  <c r="C109" i="18"/>
  <c r="D106" i="17"/>
  <c r="E106" i="17" s="1"/>
  <c r="D127" i="17"/>
  <c r="D148" i="17" s="1"/>
  <c r="D141" i="17"/>
  <c r="E141" i="17" s="1"/>
  <c r="E140" i="17"/>
  <c r="F140" i="17"/>
  <c r="C106" i="17"/>
  <c r="F106" i="17" s="1"/>
  <c r="C176" i="17"/>
  <c r="C210" i="17"/>
  <c r="D92" i="17"/>
  <c r="D324" i="17" s="1"/>
  <c r="D162" i="17"/>
  <c r="C195" i="17"/>
  <c r="D304" i="17"/>
  <c r="E304" i="17" s="1"/>
  <c r="D273" i="17"/>
  <c r="D63" i="17"/>
  <c r="C141" i="17"/>
  <c r="C322" i="17" s="1"/>
  <c r="C209" i="17"/>
  <c r="E22" i="13"/>
  <c r="C99" i="8"/>
  <c r="C101" i="8" s="1"/>
  <c r="C98" i="8" s="1"/>
  <c r="D43" i="5"/>
  <c r="C43" i="5"/>
  <c r="C116" i="18"/>
  <c r="D322" i="17"/>
  <c r="E322" i="17"/>
  <c r="C50" i="5"/>
  <c r="E95" i="6" l="1"/>
  <c r="E188" i="7"/>
  <c r="F188" i="7" s="1"/>
  <c r="E75" i="4"/>
  <c r="F75" i="4"/>
  <c r="D289" i="17"/>
  <c r="E289" i="17" s="1"/>
  <c r="F289" i="17" s="1"/>
  <c r="E210" i="17"/>
  <c r="D211" i="17"/>
  <c r="C70" i="13"/>
  <c r="C72" i="13" s="1"/>
  <c r="C69" i="13" s="1"/>
  <c r="C22" i="13"/>
  <c r="C273" i="17"/>
  <c r="E271" i="17"/>
  <c r="F271" i="17" s="1"/>
  <c r="F210" i="17"/>
  <c r="F322" i="17"/>
  <c r="C48" i="22"/>
  <c r="C113" i="22"/>
  <c r="C56" i="22"/>
  <c r="C38" i="22"/>
  <c r="F209" i="17"/>
  <c r="F206" i="17"/>
  <c r="C139" i="8"/>
  <c r="C135" i="8"/>
  <c r="C137" i="8"/>
  <c r="C136" i="8"/>
  <c r="C140" i="8"/>
  <c r="C138" i="8"/>
  <c r="E62" i="17"/>
  <c r="F175" i="17"/>
  <c r="C117" i="18"/>
  <c r="D70" i="17"/>
  <c r="C127" i="17"/>
  <c r="E127" i="17" s="1"/>
  <c r="E126" i="17"/>
  <c r="F126" i="17" s="1"/>
  <c r="D176" i="17"/>
  <c r="D183" i="17" s="1"/>
  <c r="E175" i="17"/>
  <c r="D50" i="5"/>
  <c r="E50" i="5" s="1"/>
  <c r="F50" i="5" s="1"/>
  <c r="E43" i="5"/>
  <c r="F43" i="5" s="1"/>
  <c r="E273" i="17"/>
  <c r="D49" i="12"/>
  <c r="D21" i="8"/>
  <c r="D22" i="8"/>
  <c r="D20" i="8"/>
  <c r="E206" i="17"/>
  <c r="C75" i="11"/>
  <c r="E73" i="4"/>
  <c r="F73" i="4" s="1"/>
  <c r="E46" i="6"/>
  <c r="F46" i="6"/>
  <c r="E130" i="7"/>
  <c r="F130" i="7" s="1"/>
  <c r="D57" i="8"/>
  <c r="D62" i="8" s="1"/>
  <c r="D53" i="8"/>
  <c r="D49" i="8"/>
  <c r="D43" i="8"/>
  <c r="E89" i="9"/>
  <c r="F89" i="9"/>
  <c r="C43" i="11"/>
  <c r="E29" i="11"/>
  <c r="F29" i="11" s="1"/>
  <c r="E95" i="17"/>
  <c r="F95" i="17" s="1"/>
  <c r="E287" i="18"/>
  <c r="D28" i="8"/>
  <c r="D99" i="8" s="1"/>
  <c r="D101" i="8" s="1"/>
  <c r="D98" i="8" s="1"/>
  <c r="E254" i="17"/>
  <c r="F254" i="17" s="1"/>
  <c r="C55" i="22"/>
  <c r="D55" i="22"/>
  <c r="E112" i="8"/>
  <c r="E111" i="8" s="1"/>
  <c r="C279" i="17"/>
  <c r="C49" i="17"/>
  <c r="D268" i="17"/>
  <c r="C102" i="18"/>
  <c r="C103" i="18" s="1"/>
  <c r="E137" i="8"/>
  <c r="C20" i="8"/>
  <c r="E205" i="17"/>
  <c r="F173" i="17"/>
  <c r="F61" i="17"/>
  <c r="C62" i="17"/>
  <c r="F90" i="6"/>
  <c r="E62" i="9"/>
  <c r="E287" i="17"/>
  <c r="F287" i="17" s="1"/>
  <c r="E109" i="22"/>
  <c r="E108" i="22"/>
  <c r="D169" i="18"/>
  <c r="E169" i="18" s="1"/>
  <c r="E145" i="18"/>
  <c r="C291" i="17"/>
  <c r="H33" i="14"/>
  <c r="H36" i="14" s="1"/>
  <c r="H38" i="14" s="1"/>
  <c r="H40" i="14" s="1"/>
  <c r="C196" i="17"/>
  <c r="C126" i="18"/>
  <c r="C112" i="18"/>
  <c r="C122" i="18"/>
  <c r="F65" i="4"/>
  <c r="E38" i="6"/>
  <c r="F38" i="6" s="1"/>
  <c r="F47" i="6"/>
  <c r="E87" i="6"/>
  <c r="F87" i="6" s="1"/>
  <c r="E59" i="7"/>
  <c r="F59" i="7" s="1"/>
  <c r="D95" i="7"/>
  <c r="D154" i="8"/>
  <c r="D158" i="8" s="1"/>
  <c r="D157" i="8"/>
  <c r="D141" i="8"/>
  <c r="F205" i="17"/>
  <c r="E138" i="8"/>
  <c r="E139" i="8"/>
  <c r="E89" i="6"/>
  <c r="F89" i="6" s="1"/>
  <c r="E40" i="20"/>
  <c r="E41" i="20" s="1"/>
  <c r="F41" i="20" s="1"/>
  <c r="F40" i="20"/>
  <c r="C22" i="8"/>
  <c r="D209" i="17"/>
  <c r="E209" i="17" s="1"/>
  <c r="F105" i="17"/>
  <c r="E21" i="17"/>
  <c r="F21" i="17" s="1"/>
  <c r="C268" i="17"/>
  <c r="F124" i="17"/>
  <c r="E140" i="8"/>
  <c r="F41" i="11"/>
  <c r="E111" i="22"/>
  <c r="E46" i="22"/>
  <c r="E36" i="22"/>
  <c r="C52" i="6"/>
  <c r="E44" i="6"/>
  <c r="F44" i="6"/>
  <c r="E50" i="6"/>
  <c r="F94" i="6"/>
  <c r="F183" i="7"/>
  <c r="E88" i="8"/>
  <c r="E90" i="8" s="1"/>
  <c r="E86" i="8" s="1"/>
  <c r="E77" i="8"/>
  <c r="E71" i="8" s="1"/>
  <c r="E49" i="9"/>
  <c r="F49" i="9" s="1"/>
  <c r="F239" i="17"/>
  <c r="E300" i="17"/>
  <c r="E42" i="6"/>
  <c r="F42" i="6"/>
  <c r="D137" i="8"/>
  <c r="D140" i="8"/>
  <c r="D136" i="8"/>
  <c r="E140" i="9"/>
  <c r="F140" i="9" s="1"/>
  <c r="F304" i="17"/>
  <c r="E223" i="18"/>
  <c r="E21" i="5"/>
  <c r="F21" i="5" s="1"/>
  <c r="C300" i="17"/>
  <c r="E274" i="17"/>
  <c r="F274" i="17" s="1"/>
  <c r="F190" i="17"/>
  <c r="E53" i="22"/>
  <c r="E39" i="22"/>
  <c r="C111" i="22"/>
  <c r="C46" i="22"/>
  <c r="C36" i="22"/>
  <c r="F51" i="6"/>
  <c r="F88" i="6"/>
  <c r="E91" i="6"/>
  <c r="F91" i="6"/>
  <c r="F118" i="10"/>
  <c r="E278" i="17"/>
  <c r="F278" i="17" s="1"/>
  <c r="D288" i="17"/>
  <c r="C161" i="17"/>
  <c r="C91" i="17"/>
  <c r="C264" i="18"/>
  <c r="C266" i="18" s="1"/>
  <c r="C267" i="18"/>
  <c r="D113" i="17"/>
  <c r="C270" i="17"/>
  <c r="E135" i="8"/>
  <c r="C91" i="18"/>
  <c r="F43" i="6"/>
  <c r="E81" i="6"/>
  <c r="F81" i="6"/>
  <c r="F141" i="17"/>
  <c r="C211" i="17"/>
  <c r="D216" i="17"/>
  <c r="D102" i="18"/>
  <c r="E110" i="22"/>
  <c r="E38" i="22"/>
  <c r="C34" i="12"/>
  <c r="F214" i="17"/>
  <c r="D174" i="17"/>
  <c r="E174" i="17" s="1"/>
  <c r="F174" i="17" s="1"/>
  <c r="C216" i="17"/>
  <c r="E29" i="22"/>
  <c r="D138" i="8"/>
  <c r="F269" i="17"/>
  <c r="E267" i="17"/>
  <c r="F267" i="17" s="1"/>
  <c r="C125" i="17"/>
  <c r="D246" i="18"/>
  <c r="E246" i="18" s="1"/>
  <c r="C211" i="18"/>
  <c r="C234" i="18"/>
  <c r="E234" i="18" s="1"/>
  <c r="C53" i="22"/>
  <c r="C39" i="22"/>
  <c r="D45" i="22"/>
  <c r="D35" i="22"/>
  <c r="E33" i="5"/>
  <c r="F33" i="5" s="1"/>
  <c r="F45" i="6"/>
  <c r="E48" i="6"/>
  <c r="F48" i="6"/>
  <c r="C95" i="6"/>
  <c r="E85" i="6"/>
  <c r="F85" i="6"/>
  <c r="C95" i="7"/>
  <c r="F90" i="7"/>
  <c r="F23" i="9"/>
  <c r="E23" i="9"/>
  <c r="E110" i="17"/>
  <c r="D111" i="17"/>
  <c r="E111" i="17" s="1"/>
  <c r="F111" i="17" s="1"/>
  <c r="D193" i="17"/>
  <c r="E24" i="7"/>
  <c r="F24" i="7" s="1"/>
  <c r="E36" i="9"/>
  <c r="F75" i="9"/>
  <c r="F114" i="9"/>
  <c r="F127" i="9"/>
  <c r="F71" i="10"/>
  <c r="E71" i="10"/>
  <c r="E21" i="21"/>
  <c r="F21" i="21" s="1"/>
  <c r="F153" i="6"/>
  <c r="C166" i="8"/>
  <c r="F114" i="10"/>
  <c r="F124" i="6"/>
  <c r="E153" i="6"/>
  <c r="F166" i="6"/>
  <c r="E166" i="8"/>
  <c r="F24" i="9"/>
  <c r="E50" i="9"/>
  <c r="F50" i="9"/>
  <c r="C146" i="17"/>
  <c r="E146" i="17" s="1"/>
  <c r="F115" i="9"/>
  <c r="E115" i="9"/>
  <c r="E179" i="9"/>
  <c r="F129" i="17"/>
  <c r="E173" i="18"/>
  <c r="E121" i="7"/>
  <c r="F121" i="7" s="1"/>
  <c r="F167" i="7"/>
  <c r="C88" i="8"/>
  <c r="C90" i="8" s="1"/>
  <c r="C86" i="8" s="1"/>
  <c r="F101" i="9"/>
  <c r="E193" i="9"/>
  <c r="E118" i="10"/>
  <c r="F110" i="17"/>
  <c r="E25" i="8"/>
  <c r="E27" i="8" s="1"/>
  <c r="E200" i="9"/>
  <c r="F200" i="9" s="1"/>
  <c r="F95" i="10"/>
  <c r="E65" i="11"/>
  <c r="F65" i="11" s="1"/>
  <c r="D37" i="17"/>
  <c r="E37" i="17" s="1"/>
  <c r="F37" i="17" s="1"/>
  <c r="F85" i="17"/>
  <c r="F130" i="17"/>
  <c r="E145" i="17"/>
  <c r="F145" i="17" s="1"/>
  <c r="C181" i="17"/>
  <c r="F180" i="17"/>
  <c r="D294" i="18"/>
  <c r="E294" i="18" s="1"/>
  <c r="F76" i="9"/>
  <c r="F102" i="9"/>
  <c r="F128" i="9"/>
  <c r="D50" i="13"/>
  <c r="F13" i="16"/>
  <c r="F21" i="16"/>
  <c r="E102" i="9"/>
  <c r="D122" i="10"/>
  <c r="E122" i="10" s="1"/>
  <c r="F122" i="10" s="1"/>
  <c r="E75" i="11"/>
  <c r="E13" i="16"/>
  <c r="D65" i="18"/>
  <c r="D71" i="18"/>
  <c r="D46" i="20"/>
  <c r="D23" i="22"/>
  <c r="D33" i="22"/>
  <c r="D34" i="22"/>
  <c r="E68" i="17"/>
  <c r="F68" i="17" s="1"/>
  <c r="E159" i="17"/>
  <c r="F159" i="17" s="1"/>
  <c r="F88" i="9"/>
  <c r="E154" i="9"/>
  <c r="E23" i="10"/>
  <c r="E96" i="10"/>
  <c r="F96" i="10" s="1"/>
  <c r="C121" i="10"/>
  <c r="F120" i="17"/>
  <c r="F155" i="17"/>
  <c r="E307" i="17"/>
  <c r="F307" i="17" s="1"/>
  <c r="E282" i="18"/>
  <c r="F73" i="11"/>
  <c r="F32" i="12"/>
  <c r="C49" i="19"/>
  <c r="F181" i="17" l="1"/>
  <c r="C305" i="17"/>
  <c r="E43" i="11"/>
  <c r="F43" i="11"/>
  <c r="D76" i="18"/>
  <c r="E71" i="18"/>
  <c r="D194" i="17"/>
  <c r="E193" i="17"/>
  <c r="F193" i="17" s="1"/>
  <c r="D266" i="17"/>
  <c r="D282" i="17"/>
  <c r="E91" i="17"/>
  <c r="F91" i="17"/>
  <c r="C92" i="17"/>
  <c r="F52" i="6"/>
  <c r="E268" i="17"/>
  <c r="F268" i="17" s="1"/>
  <c r="F273" i="17"/>
  <c r="E52" i="6"/>
  <c r="D66" i="18"/>
  <c r="E65" i="18"/>
  <c r="E152" i="8"/>
  <c r="E158" i="8" s="1"/>
  <c r="E155" i="8"/>
  <c r="E157" i="8"/>
  <c r="E153" i="8"/>
  <c r="E156" i="8"/>
  <c r="E154" i="8"/>
  <c r="F95" i="6"/>
  <c r="E37" i="22"/>
  <c r="E47" i="22"/>
  <c r="E112" i="22"/>
  <c r="E55" i="22"/>
  <c r="D103" i="18"/>
  <c r="E102" i="18"/>
  <c r="C63" i="17"/>
  <c r="F62" i="17"/>
  <c r="C42" i="12"/>
  <c r="F34" i="12"/>
  <c r="E216" i="17"/>
  <c r="F216" i="17" s="1"/>
  <c r="C105" i="18"/>
  <c r="F161" i="17"/>
  <c r="E161" i="17"/>
  <c r="C162" i="17"/>
  <c r="F300" i="17"/>
  <c r="C128" i="18"/>
  <c r="C129" i="18" s="1"/>
  <c r="C131" i="18" s="1"/>
  <c r="F49" i="17"/>
  <c r="C50" i="17"/>
  <c r="E49" i="17"/>
  <c r="E176" i="17"/>
  <c r="F176" i="17" s="1"/>
  <c r="D323" i="17"/>
  <c r="C156" i="8"/>
  <c r="C152" i="8"/>
  <c r="C157" i="8"/>
  <c r="C155" i="8"/>
  <c r="C153" i="8"/>
  <c r="C154" i="8"/>
  <c r="C269" i="18"/>
  <c r="C268" i="18"/>
  <c r="C235" i="18"/>
  <c r="E235" i="18" s="1"/>
  <c r="E211" i="18"/>
  <c r="C181" i="18"/>
  <c r="E181" i="18" s="1"/>
  <c r="E34" i="12"/>
  <c r="E141" i="8"/>
  <c r="E288" i="17"/>
  <c r="F288" i="17" s="1"/>
  <c r="D291" i="17"/>
  <c r="E181" i="17"/>
  <c r="E95" i="7"/>
  <c r="F95" i="7" s="1"/>
  <c r="E279" i="17"/>
  <c r="F279" i="17"/>
  <c r="C141" i="8"/>
  <c r="F211" i="17"/>
  <c r="E270" i="17"/>
  <c r="F270" i="17" s="1"/>
  <c r="F75" i="11"/>
  <c r="E211" i="17"/>
  <c r="D54" i="22"/>
  <c r="D30" i="22"/>
  <c r="D36" i="22"/>
  <c r="D40" i="22"/>
  <c r="D46" i="22"/>
  <c r="D111" i="22"/>
  <c r="E21" i="8"/>
  <c r="E20" i="8"/>
  <c r="E22" i="8"/>
  <c r="E121" i="10"/>
  <c r="F121" i="10"/>
  <c r="F146" i="17"/>
  <c r="E125" i="17"/>
  <c r="F125" i="17" s="1"/>
  <c r="C197" i="17"/>
  <c r="C148" i="17"/>
  <c r="F127" i="17"/>
  <c r="E91" i="18"/>
  <c r="C158" i="8" l="1"/>
  <c r="C49" i="12"/>
  <c r="E42" i="12"/>
  <c r="F42" i="12" s="1"/>
  <c r="C323" i="17"/>
  <c r="C183" i="17"/>
  <c r="E162" i="17"/>
  <c r="F162" i="17" s="1"/>
  <c r="D295" i="18"/>
  <c r="E295" i="18" s="1"/>
  <c r="E66" i="18"/>
  <c r="D247" i="18"/>
  <c r="E247" i="18" s="1"/>
  <c r="C271" i="18"/>
  <c r="D325" i="17"/>
  <c r="E63" i="17"/>
  <c r="F63" i="17"/>
  <c r="D281" i="17"/>
  <c r="E281" i="17" s="1"/>
  <c r="F281" i="17" s="1"/>
  <c r="E282" i="17"/>
  <c r="F282" i="17" s="1"/>
  <c r="C309" i="17"/>
  <c r="C324" i="17"/>
  <c r="C113" i="17"/>
  <c r="E92" i="17"/>
  <c r="F92" i="17"/>
  <c r="D305" i="17"/>
  <c r="E291" i="17"/>
  <c r="F291" i="17" s="1"/>
  <c r="E266" i="17"/>
  <c r="F266" i="17" s="1"/>
  <c r="D265" i="17"/>
  <c r="E265" i="17" s="1"/>
  <c r="F265" i="17" s="1"/>
  <c r="E148" i="17"/>
  <c r="F148" i="17" s="1"/>
  <c r="D38" i="22"/>
  <c r="D56" i="22"/>
  <c r="D113" i="22"/>
  <c r="D48" i="22"/>
  <c r="E103" i="18"/>
  <c r="D105" i="18"/>
  <c r="E105" i="18" s="1"/>
  <c r="C70" i="17"/>
  <c r="E50" i="17"/>
  <c r="F50" i="17" s="1"/>
  <c r="E194" i="17"/>
  <c r="F194" i="17" s="1"/>
  <c r="D195" i="17"/>
  <c r="E195" i="17" s="1"/>
  <c r="F195" i="17" s="1"/>
  <c r="D196" i="17"/>
  <c r="D259" i="18"/>
  <c r="D77" i="18"/>
  <c r="E76" i="18"/>
  <c r="D126" i="18" l="1"/>
  <c r="E126" i="18" s="1"/>
  <c r="D125" i="18"/>
  <c r="E125" i="18" s="1"/>
  <c r="D122" i="18"/>
  <c r="D121" i="18"/>
  <c r="D113" i="18"/>
  <c r="E113" i="18" s="1"/>
  <c r="D112" i="18"/>
  <c r="E112" i="18" s="1"/>
  <c r="D114" i="18"/>
  <c r="E114" i="18" s="1"/>
  <c r="D110" i="18"/>
  <c r="D127" i="18"/>
  <c r="E127" i="18" s="1"/>
  <c r="D123" i="18"/>
  <c r="E123" i="18" s="1"/>
  <c r="D124" i="18"/>
  <c r="E124" i="18" s="1"/>
  <c r="E77" i="18"/>
  <c r="D115" i="18"/>
  <c r="E115" i="18" s="1"/>
  <c r="D109" i="18"/>
  <c r="D111" i="18"/>
  <c r="E111" i="18" s="1"/>
  <c r="E196" i="17"/>
  <c r="F196" i="17" s="1"/>
  <c r="D197" i="17"/>
  <c r="E197" i="17" s="1"/>
  <c r="F197" i="17" s="1"/>
  <c r="D309" i="17"/>
  <c r="E305" i="17"/>
  <c r="F305" i="17" s="1"/>
  <c r="F183" i="17"/>
  <c r="E183" i="17"/>
  <c r="E113" i="17"/>
  <c r="F113" i="17" s="1"/>
  <c r="E325" i="17"/>
  <c r="F323" i="17"/>
  <c r="E70" i="17"/>
  <c r="F70" i="17" s="1"/>
  <c r="F324" i="17"/>
  <c r="C325" i="17"/>
  <c r="E324" i="17"/>
  <c r="E323" i="17"/>
  <c r="D263" i="18"/>
  <c r="E259" i="18"/>
  <c r="C310" i="17"/>
  <c r="F49" i="12"/>
  <c r="E49" i="12"/>
  <c r="E121" i="18" l="1"/>
  <c r="C312" i="17"/>
  <c r="D128" i="18"/>
  <c r="E128" i="18" s="1"/>
  <c r="E122" i="18"/>
  <c r="E309" i="17"/>
  <c r="F309" i="17" s="1"/>
  <c r="D310" i="17"/>
  <c r="D264" i="18"/>
  <c r="E263" i="18"/>
  <c r="E110" i="18"/>
  <c r="D116" i="18"/>
  <c r="E116" i="18" s="1"/>
  <c r="E109" i="18"/>
  <c r="F325" i="17"/>
  <c r="D117" i="18" l="1"/>
  <c r="E264" i="18"/>
  <c r="D266" i="18"/>
  <c r="C313" i="17"/>
  <c r="D312" i="17"/>
  <c r="E310" i="17"/>
  <c r="F310" i="17" s="1"/>
  <c r="D129" i="18"/>
  <c r="E129" i="18" s="1"/>
  <c r="E312" i="17" l="1"/>
  <c r="F312" i="17" s="1"/>
  <c r="D313" i="17"/>
  <c r="E266" i="18"/>
  <c r="D267" i="18"/>
  <c r="C314" i="17"/>
  <c r="C256" i="17"/>
  <c r="C251" i="17"/>
  <c r="C315" i="17"/>
  <c r="E117" i="18"/>
  <c r="D131" i="18"/>
  <c r="E131" i="18" s="1"/>
  <c r="C318" i="17" l="1"/>
  <c r="D268" i="18"/>
  <c r="D269" i="18"/>
  <c r="E269" i="18" s="1"/>
  <c r="E267" i="18"/>
  <c r="C257" i="17"/>
  <c r="E313" i="17"/>
  <c r="F313" i="17" s="1"/>
  <c r="D315" i="17"/>
  <c r="E315" i="17" s="1"/>
  <c r="D314" i="17"/>
  <c r="D251" i="17"/>
  <c r="E251" i="17" s="1"/>
  <c r="F251" i="17" s="1"/>
  <c r="D256" i="17"/>
  <c r="F315" i="17"/>
  <c r="D257" i="17" l="1"/>
  <c r="E257" i="17" s="1"/>
  <c r="F257" i="17" s="1"/>
  <c r="E256" i="17"/>
  <c r="F256" i="17" s="1"/>
  <c r="D271" i="18"/>
  <c r="E271" i="18" s="1"/>
  <c r="E268" i="18"/>
  <c r="D318" i="17"/>
  <c r="E318" i="17" s="1"/>
  <c r="E314" i="17"/>
  <c r="F314" i="17" s="1"/>
  <c r="F318" i="17"/>
</calcChain>
</file>

<file path=xl/sharedStrings.xml><?xml version="1.0" encoding="utf-8"?>
<sst xmlns="http://schemas.openxmlformats.org/spreadsheetml/2006/main" count="2333" uniqueCount="1008">
  <si>
    <t>NEW MILFORD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</si>
  <si>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</si>
  <si>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</si>
  <si>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</si>
  <si>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</si>
  <si>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</si>
  <si>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</si>
  <si>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</si>
  <si>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</si>
  <si>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</si>
  <si>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</si>
  <si>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</si>
  <si>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</si>
  <si>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</si>
  <si>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</si>
  <si>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</si>
  <si>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</si>
  <si>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</si>
  <si>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</si>
  <si>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</si>
  <si>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</si>
  <si>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</si>
  <si>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</si>
  <si>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</si>
  <si>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</si>
  <si>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</si>
  <si>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</si>
  <si>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</si>
  <si>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</si>
  <si>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</si>
  <si>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</si>
  <si>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</si>
  <si>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</si>
  <si>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</si>
  <si>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</si>
  <si>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</si>
  <si>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</si>
  <si>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</si>
  <si>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</si>
  <si>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</si>
  <si>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</si>
  <si>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</si>
  <si>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</si>
  <si>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</si>
  <si>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</si>
  <si>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</si>
  <si>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</si>
  <si>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</si>
  <si>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</si>
  <si>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</si>
  <si>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</si>
  <si>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</si>
  <si>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</si>
  <si>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</si>
  <si>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</si>
  <si>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</si>
  <si>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</si>
  <si>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</si>
  <si>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</si>
  <si>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</si>
  <si>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</si>
  <si>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</si>
  <si>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</si>
  <si>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</si>
  <si>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</si>
  <si>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</si>
  <si>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</si>
  <si>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</si>
  <si>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</si>
  <si>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</si>
  <si>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</si>
  <si>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</si>
  <si>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</si>
  <si>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</si>
  <si>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</si>
  <si>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</si>
  <si>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</si>
  <si>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</si>
  <si>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</si>
  <si>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</si>
  <si>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</si>
  <si>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</si>
  <si>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</si>
  <si>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</si>
  <si>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</si>
  <si>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</si>
  <si>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</si>
  <si>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</si>
  <si>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</si>
  <si>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</si>
  <si>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</si>
  <si>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</si>
  <si>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</si>
  <si>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</si>
  <si>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</si>
  <si>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</si>
  <si>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</si>
  <si>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</si>
  <si>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</si>
  <si>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</si>
  <si>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</si>
  <si>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</si>
  <si>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</si>
  <si>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</si>
  <si>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</si>
  <si>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</si>
  <si>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</si>
  <si>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</si>
  <si>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</si>
  <si>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</si>
  <si>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</si>
  <si>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</si>
  <si>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</si>
  <si>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</si>
  <si>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</si>
  <si>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</si>
  <si>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</si>
  <si>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</si>
  <si>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</si>
  <si>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</si>
  <si>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</si>
  <si>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</si>
  <si>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</si>
  <si>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</si>
  <si>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</si>
  <si>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</si>
  <si>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</si>
  <si>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</si>
  <si>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</si>
  <si>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</si>
  <si>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</si>
  <si>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</si>
  <si>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</si>
  <si>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</si>
  <si>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</si>
  <si>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</si>
  <si>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</si>
  <si>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</si>
  <si>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</si>
  <si>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</si>
  <si>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</si>
  <si>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</si>
  <si>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</si>
  <si>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</si>
  <si>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</si>
  <si>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</si>
  <si>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</si>
  <si>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</si>
  <si>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</si>
  <si>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</si>
  <si>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</si>
  <si>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</si>
  <si>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</si>
  <si>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</si>
  <si>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</si>
  <si>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</si>
  <si>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</si>
  <si>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</si>
  <si>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</si>
  <si>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</si>
  <si>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</si>
  <si>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</si>
  <si>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</si>
  <si>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</si>
  <si>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</si>
  <si>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</si>
  <si>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</si>
  <si>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</si>
  <si>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</si>
  <si>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</si>
  <si>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</si>
  <si>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</si>
  <si>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</si>
  <si>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</si>
  <si>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</si>
  <si>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</si>
  <si>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</si>
  <si>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</si>
  <si>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</si>
  <si>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</si>
  <si>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</si>
  <si>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</si>
  <si>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</si>
  <si>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</si>
  <si>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</si>
  <si>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</si>
  <si>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</si>
  <si>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</si>
  <si>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</si>
  <si>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</si>
  <si>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</si>
  <si>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</si>
  <si>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</si>
  <si>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</si>
  <si>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</si>
  <si>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</si>
  <si>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</si>
  <si>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</si>
  <si>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</si>
  <si>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</si>
  <si>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</si>
  <si>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</si>
  <si>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</si>
  <si>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</si>
  <si>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</si>
  <si>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</si>
  <si>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</si>
  <si>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</si>
  <si>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</si>
  <si>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</si>
  <si>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</si>
  <si>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</si>
  <si>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</si>
  <si>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</si>
  <si>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</si>
  <si>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</si>
  <si>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</si>
  <si>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</si>
  <si>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</si>
  <si>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</si>
  <si>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</si>
  <si>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</si>
  <si>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</si>
  <si>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</si>
  <si>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</si>
  <si>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</si>
  <si>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</si>
  <si>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</si>
  <si>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</si>
  <si>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</si>
  <si>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</si>
  <si>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</si>
  <si>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</si>
  <si>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</si>
  <si>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</si>
  <si>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</si>
  <si>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</si>
  <si>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</si>
  <si>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</si>
  <si>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</si>
  <si>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</si>
  <si>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</si>
  <si>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</si>
  <si>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</si>
  <si>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</si>
  <si>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</si>
  <si>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</si>
  <si>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</si>
  <si>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</si>
  <si>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</si>
  <si>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</si>
  <si>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</si>
  <si>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</si>
  <si>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</si>
  <si>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</si>
  <si>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</si>
  <si>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</si>
  <si>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</si>
  <si>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</si>
  <si>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</si>
  <si>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</si>
  <si>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</si>
  <si>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</si>
  <si>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</si>
  <si>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</si>
  <si>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</si>
  <si>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</si>
  <si>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</si>
  <si>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</si>
  <si>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</si>
  <si>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</si>
  <si>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</si>
  <si>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</si>
  <si>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</si>
  <si>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</si>
  <si>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</si>
  <si>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</si>
  <si>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</si>
  <si>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</si>
  <si>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</si>
  <si>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</si>
  <si>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</si>
  <si>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</si>
  <si>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</si>
  <si>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</si>
  <si>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</si>
  <si>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</si>
  <si>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</si>
  <si>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</si>
  <si>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</si>
  <si>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</si>
  <si>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</si>
  <si>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</si>
  <si>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</si>
  <si>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</si>
  <si>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</si>
  <si>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</si>
  <si>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</si>
  <si>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</si>
  <si>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</si>
  <si>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</si>
  <si>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</si>
  <si>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</si>
  <si>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</si>
  <si>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</si>
  <si>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</si>
  <si>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</si>
  <si>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</si>
  <si>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</si>
  <si>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</si>
  <si>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</si>
  <si>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</si>
  <si>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</si>
  <si>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</si>
  <si>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</si>
  <si>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</si>
  <si>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</si>
  <si>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</si>
  <si>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</si>
  <si>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</si>
  <si>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</si>
  <si>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</si>
  <si>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</si>
  <si>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</si>
  <si>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</si>
  <si>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</si>
  <si>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</si>
  <si>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</si>
  <si>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</si>
  <si>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</si>
  <si>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</si>
  <si>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</si>
  <si>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</si>
  <si>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</si>
  <si>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</si>
  <si>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</si>
  <si>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</si>
  <si>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</si>
  <si>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</si>
  <si>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</si>
  <si>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</si>
  <si>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</si>
  <si>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</si>
  <si>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</si>
  <si>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</si>
  <si>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</si>
  <si>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</si>
  <si>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</si>
  <si>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</si>
  <si>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</si>
  <si>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</si>
  <si>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</si>
  <si>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</si>
  <si>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</si>
  <si>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</si>
  <si>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</si>
  <si>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</si>
  <si>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</si>
  <si>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</si>
  <si>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</si>
  <si>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</si>
  <si>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</si>
  <si>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</si>
  <si>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</si>
  <si>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</si>
  <si>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</si>
  <si>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</si>
  <si>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</si>
  <si>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</si>
  <si>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</si>
  <si>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</si>
  <si>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</si>
  <si>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</si>
  <si>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</si>
  <si>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</si>
  <si>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</si>
  <si>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</si>
  <si>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</si>
  <si>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</si>
  <si>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</si>
  <si>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</si>
  <si>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</si>
  <si>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</si>
  <si>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</si>
  <si>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</si>
  <si>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</si>
  <si>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</si>
  <si>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</si>
  <si>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</si>
  <si>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</si>
  <si>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</si>
  <si>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</si>
  <si>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</si>
  <si>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</si>
  <si>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</si>
  <si>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</si>
  <si>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</si>
  <si>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</si>
  <si>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</si>
  <si>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</si>
  <si>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</si>
  <si>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</si>
  <si>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</si>
  <si>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</si>
  <si>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</si>
  <si>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</si>
  <si>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</si>
  <si>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</si>
  <si>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</si>
  <si>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</si>
  <si>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</si>
  <si>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</si>
  <si>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</si>
  <si>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</si>
  <si>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</si>
  <si>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</si>
  <si>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</si>
  <si>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</si>
  <si>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</si>
  <si>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</si>
  <si>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</si>
  <si>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</si>
  <si>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</si>
  <si>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</si>
  <si>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</si>
  <si>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</si>
  <si>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</si>
  <si>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</si>
  <si>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</si>
  <si>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</si>
  <si>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</si>
  <si>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</si>
  <si>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</si>
  <si>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</si>
  <si>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</si>
  <si>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</si>
  <si>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</si>
  <si>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</si>
  <si>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</si>
  <si>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</si>
  <si>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</si>
  <si>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</si>
  <si>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</si>
  <si>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</si>
  <si>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</si>
  <si>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</si>
  <si>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</si>
  <si>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</si>
  <si>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</si>
  <si>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</si>
  <si>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</si>
  <si>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</si>
  <si>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</si>
  <si>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</si>
  <si>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</si>
  <si>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</si>
  <si>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</si>
  <si>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</si>
  <si>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</si>
  <si>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</si>
  <si>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</si>
  <si>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</si>
  <si>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</si>
  <si>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</si>
  <si>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</si>
  <si>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</si>
  <si>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</si>
  <si>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</si>
  <si>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</si>
  <si>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</si>
  <si>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</si>
  <si>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</si>
  <si>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</si>
  <si>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</si>
  <si>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</si>
  <si>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</si>
  <si>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</si>
  <si>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</si>
  <si>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</si>
  <si>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</si>
  <si>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</si>
  <si>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</si>
  <si>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</si>
  <si>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</si>
  <si>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</si>
  <si>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</si>
  <si>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</si>
  <si>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</si>
  <si>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</si>
  <si>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</si>
  <si>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</si>
  <si>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</si>
  <si>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</si>
  <si>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</si>
  <si>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</si>
  <si>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</si>
  <si>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</si>
  <si>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</si>
  <si>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</si>
  <si>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</si>
  <si>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INC.(FORMERLY WESTERN CONNECTICUT HEALTHCARE, INC.)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</si>
  <si>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</si>
  <si>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</si>
  <si>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</si>
  <si>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</si>
  <si>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</si>
  <si>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</si>
  <si>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</si>
  <si>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</si>
  <si>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</si>
  <si>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</si>
  <si>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</si>
  <si>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</si>
  <si>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</si>
  <si>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</si>
  <si>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</si>
  <si>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</si>
  <si>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</si>
  <si>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</si>
  <si>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</si>
  <si>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</si>
  <si>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</si>
  <si>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</si>
  <si>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</si>
  <si>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</si>
  <si>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</si>
  <si>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</si>
  <si>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</si>
  <si>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</si>
  <si>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</si>
  <si>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</si>
  <si>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</si>
  <si>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</si>
  <si>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</si>
  <si>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</si>
  <si>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</si>
  <si>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</si>
  <si>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</si>
  <si>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</si>
  <si>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</si>
  <si>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</si>
  <si>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</si>
  <si>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</si>
  <si>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</si>
  <si>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</si>
  <si>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</si>
  <si>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</si>
  <si>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</si>
  <si>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</si>
  <si>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</si>
  <si>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</si>
  <si>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</si>
  <si>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</si>
  <si>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</si>
  <si>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</si>
  <si>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</si>
  <si>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</si>
  <si>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</si>
  <si>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</si>
  <si>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</si>
  <si>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</si>
  <si>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</si>
  <si>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</si>
  <si>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</si>
  <si>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</si>
  <si>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</si>
  <si>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</si>
  <si>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</si>
  <si>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</si>
  <si>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</si>
  <si>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</si>
  <si>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</si>
  <si>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</si>
  <si>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</si>
  <si>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</si>
  <si>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</si>
  <si>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</si>
  <si>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</si>
  <si>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</si>
  <si>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</si>
  <si>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</si>
  <si>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</si>
  <si>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</si>
  <si>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</si>
  <si>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</si>
  <si>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</si>
  <si>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</si>
  <si>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</si>
  <si>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</si>
  <si>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</si>
  <si>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</si>
  <si>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</si>
  <si>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</si>
  <si>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</si>
  <si>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</si>
  <si>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</si>
  <si>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</si>
  <si>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</si>
  <si>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</si>
  <si>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</si>
  <si>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</si>
  <si>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</si>
  <si>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</si>
  <si>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</si>
  <si>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</si>
  <si>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</si>
  <si>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</si>
  <si>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</si>
  <si>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</si>
  <si>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</si>
  <si>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</si>
  <si>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</si>
  <si>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</si>
  <si>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</si>
  <si>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</si>
  <si>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</si>
  <si>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</si>
  <si>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</si>
  <si>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</si>
  <si>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</si>
  <si>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</si>
  <si>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New Milford Hospital Inc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</si>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</sst>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3717748</v>
      </c>
      <c r="D13" s="22">
        <v>2221385</v>
      </c>
      <c r="E13" s="22">
        <f t="shared" ref="E13:E22" si="0">D13-C13</f>
        <v>-1496363</v>
      </c>
      <c r="F13" s="23">
        <f t="shared" ref="F13:F22" si="1">IF(C13=0,0,E13/C13)</f>
        <v>-0.40249177728022451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8601320</v>
      </c>
      <c r="D15" s="22">
        <v>7314799</v>
      </c>
      <c r="E15" s="22">
        <f t="shared" si="0"/>
        <v>-1286521</v>
      </c>
      <c r="F15" s="23">
        <f t="shared" si="1"/>
        <v>-0.14957250747559678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1645080</v>
      </c>
      <c r="D19" s="22">
        <v>1521171</v>
      </c>
      <c r="E19" s="22">
        <f t="shared" si="0"/>
        <v>-123909</v>
      </c>
      <c r="F19" s="23">
        <f t="shared" si="1"/>
        <v>-7.5320957035524105E-2</v>
      </c>
    </row>
    <row r="20" spans="1:11" ht="24" customHeight="1" x14ac:dyDescent="0.2">
      <c r="A20" s="20">
        <v>8</v>
      </c>
      <c r="B20" s="21" t="s">
        <v>23</v>
      </c>
      <c r="C20" s="22">
        <v>900544</v>
      </c>
      <c r="D20" s="22">
        <v>371475</v>
      </c>
      <c r="E20" s="22">
        <f t="shared" si="0"/>
        <v>-529069</v>
      </c>
      <c r="F20" s="23">
        <f t="shared" si="1"/>
        <v>-0.5874993337360529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14864692</v>
      </c>
      <c r="D22" s="26">
        <f>SUM(D13:D21)</f>
        <v>11428830</v>
      </c>
      <c r="E22" s="26">
        <f t="shared" si="0"/>
        <v>-3435862</v>
      </c>
      <c r="F22" s="27">
        <f t="shared" si="1"/>
        <v>-0.23114249524981748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0</v>
      </c>
      <c r="D29" s="26">
        <f>SUM(D25:D28)</f>
        <v>0</v>
      </c>
      <c r="E29" s="26">
        <f>D29-C29</f>
        <v>0</v>
      </c>
      <c r="F29" s="27">
        <f>IF(C29=0,0,E29/C29)</f>
        <v>0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14710574</v>
      </c>
      <c r="D31" s="22">
        <v>11319493</v>
      </c>
      <c r="E31" s="22">
        <f>D31-C31</f>
        <v>-3391081</v>
      </c>
      <c r="F31" s="23">
        <f>IF(C31=0,0,E31/C31)</f>
        <v>-0.2305199647546044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4358823</v>
      </c>
      <c r="D33" s="22">
        <v>4652903</v>
      </c>
      <c r="E33" s="22">
        <f>D33-C33</f>
        <v>294080</v>
      </c>
      <c r="F33" s="23">
        <f>IF(C33=0,0,E33/C33)</f>
        <v>6.7467754483263032E-2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107893687</v>
      </c>
      <c r="D36" s="22">
        <v>93199231</v>
      </c>
      <c r="E36" s="22">
        <f>D36-C36</f>
        <v>-14694456</v>
      </c>
      <c r="F36" s="23">
        <f>IF(C36=0,0,E36/C36)</f>
        <v>-0.13619384422371256</v>
      </c>
    </row>
    <row r="37" spans="1:8" ht="24" customHeight="1" x14ac:dyDescent="0.2">
      <c r="A37" s="20">
        <v>2</v>
      </c>
      <c r="B37" s="21" t="s">
        <v>39</v>
      </c>
      <c r="C37" s="22">
        <v>75751426</v>
      </c>
      <c r="D37" s="22">
        <v>63868519</v>
      </c>
      <c r="E37" s="22">
        <f>D37-C37</f>
        <v>-11882907</v>
      </c>
      <c r="F37" s="23">
        <f>IF(C37=0,0,E37/C37)</f>
        <v>-0.15686710636972034</v>
      </c>
    </row>
    <row r="38" spans="1:8" ht="24" customHeight="1" x14ac:dyDescent="0.25">
      <c r="A38" s="24"/>
      <c r="B38" s="25" t="s">
        <v>40</v>
      </c>
      <c r="C38" s="26">
        <f>C36-C37</f>
        <v>32142261</v>
      </c>
      <c r="D38" s="26">
        <f>D36-D37</f>
        <v>29330712</v>
      </c>
      <c r="E38" s="26">
        <f>D38-C38</f>
        <v>-2811549</v>
      </c>
      <c r="F38" s="27">
        <f>IF(C38=0,0,E38/C38)</f>
        <v>-8.7472035648021154E-2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298414</v>
      </c>
      <c r="D40" s="22">
        <v>4537992</v>
      </c>
      <c r="E40" s="22">
        <f>D40-C40</f>
        <v>4239578</v>
      </c>
      <c r="F40" s="23">
        <f>IF(C40=0,0,E40/C40)</f>
        <v>14.207034522508998</v>
      </c>
    </row>
    <row r="41" spans="1:8" ht="24" customHeight="1" x14ac:dyDescent="0.25">
      <c r="A41" s="24"/>
      <c r="B41" s="25" t="s">
        <v>42</v>
      </c>
      <c r="C41" s="26">
        <f>+C38+C40</f>
        <v>32440675</v>
      </c>
      <c r="D41" s="26">
        <f>+D38+D40</f>
        <v>33868704</v>
      </c>
      <c r="E41" s="26">
        <f>D41-C41</f>
        <v>1428029</v>
      </c>
      <c r="F41" s="27">
        <f>IF(C41=0,0,E41/C41)</f>
        <v>4.4019706741613727E-2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66374764</v>
      </c>
      <c r="D43" s="26">
        <f>D22+D29+D31+D32+D33+D41</f>
        <v>61269930</v>
      </c>
      <c r="E43" s="26">
        <f>D43-C43</f>
        <v>-5104834</v>
      </c>
      <c r="F43" s="27">
        <f>IF(C43=0,0,E43/C43)</f>
        <v>-7.690926027247344E-2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3542543</v>
      </c>
      <c r="D49" s="22">
        <v>2903944</v>
      </c>
      <c r="E49" s="22">
        <f t="shared" ref="E49:E56" si="2">D49-C49</f>
        <v>-638599</v>
      </c>
      <c r="F49" s="23">
        <f t="shared" ref="F49:F56" si="3">IF(C49=0,0,E49/C49)</f>
        <v>-0.18026570178541235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3202850</v>
      </c>
      <c r="D50" s="22">
        <v>2391153</v>
      </c>
      <c r="E50" s="22">
        <f t="shared" si="2"/>
        <v>-811697</v>
      </c>
      <c r="F50" s="23">
        <f t="shared" si="3"/>
        <v>-0.25342960176093166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2461714</v>
      </c>
      <c r="D51" s="22">
        <v>1973652</v>
      </c>
      <c r="E51" s="22">
        <f t="shared" si="2"/>
        <v>-488062</v>
      </c>
      <c r="F51" s="23">
        <f t="shared" si="3"/>
        <v>-0.19826104900894254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5057706</v>
      </c>
      <c r="D52" s="22">
        <v>6514591</v>
      </c>
      <c r="E52" s="22">
        <f t="shared" si="2"/>
        <v>1456885</v>
      </c>
      <c r="F52" s="23">
        <f t="shared" si="3"/>
        <v>0.28805252816197702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495090</v>
      </c>
      <c r="D53" s="22">
        <v>0</v>
      </c>
      <c r="E53" s="22">
        <f t="shared" si="2"/>
        <v>-495090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14759903</v>
      </c>
      <c r="D56" s="26">
        <f>SUM(D49:D55)</f>
        <v>13783340</v>
      </c>
      <c r="E56" s="26">
        <f t="shared" si="2"/>
        <v>-976563</v>
      </c>
      <c r="F56" s="27">
        <f t="shared" si="3"/>
        <v>-6.6163239690667341E-2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4829283</v>
      </c>
      <c r="D60" s="22">
        <v>2476284</v>
      </c>
      <c r="E60" s="22">
        <f>D60-C60</f>
        <v>-2352999</v>
      </c>
      <c r="F60" s="23">
        <f>IF(C60=0,0,E60/C60)</f>
        <v>-0.48723568281254176</v>
      </c>
    </row>
    <row r="61" spans="1:6" ht="24" customHeight="1" x14ac:dyDescent="0.25">
      <c r="A61" s="24"/>
      <c r="B61" s="25" t="s">
        <v>58</v>
      </c>
      <c r="C61" s="26">
        <f>SUM(C59:C60)</f>
        <v>4829283</v>
      </c>
      <c r="D61" s="26">
        <f>SUM(D59:D60)</f>
        <v>2476284</v>
      </c>
      <c r="E61" s="26">
        <f>D61-C61</f>
        <v>-2352999</v>
      </c>
      <c r="F61" s="27">
        <f>IF(C61=0,0,E61/C61)</f>
        <v>-0.48723568281254176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26239675</v>
      </c>
      <c r="D63" s="22">
        <v>13282674</v>
      </c>
      <c r="E63" s="22">
        <f>D63-C63</f>
        <v>-12957001</v>
      </c>
      <c r="F63" s="23">
        <f>IF(C63=0,0,E63/C63)</f>
        <v>-0.49379426383901476</v>
      </c>
    </row>
    <row r="64" spans="1:6" ht="24" customHeight="1" x14ac:dyDescent="0.2">
      <c r="A64" s="20">
        <v>4</v>
      </c>
      <c r="B64" s="21" t="s">
        <v>60</v>
      </c>
      <c r="C64" s="22">
        <v>0</v>
      </c>
      <c r="D64" s="22">
        <v>0</v>
      </c>
      <c r="E64" s="22">
        <f>D64-C64</f>
        <v>0</v>
      </c>
      <c r="F64" s="23">
        <f>IF(C64=0,0,E64/C64)</f>
        <v>0</v>
      </c>
    </row>
    <row r="65" spans="1:6" ht="24" customHeight="1" x14ac:dyDescent="0.25">
      <c r="A65" s="24"/>
      <c r="B65" s="25" t="s">
        <v>61</v>
      </c>
      <c r="C65" s="26">
        <f>SUM(C61:C64)</f>
        <v>31068958</v>
      </c>
      <c r="D65" s="26">
        <f>SUM(D61:D64)</f>
        <v>15758958</v>
      </c>
      <c r="E65" s="26">
        <f>D65-C65</f>
        <v>-15310000</v>
      </c>
      <c r="F65" s="27">
        <f>IF(C65=0,0,E65/C65)</f>
        <v>-0.49277481401210815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12487373</v>
      </c>
      <c r="D70" s="22">
        <v>23332942</v>
      </c>
      <c r="E70" s="22">
        <f>D70-C70</f>
        <v>10845569</v>
      </c>
      <c r="F70" s="23">
        <f>IF(C70=0,0,E70/C70)</f>
        <v>0.86852286705938875</v>
      </c>
    </row>
    <row r="71" spans="1:6" ht="24" customHeight="1" x14ac:dyDescent="0.2">
      <c r="A71" s="20">
        <v>2</v>
      </c>
      <c r="B71" s="21" t="s">
        <v>65</v>
      </c>
      <c r="C71" s="22">
        <v>3923984</v>
      </c>
      <c r="D71" s="22">
        <v>4125215</v>
      </c>
      <c r="E71" s="22">
        <f>D71-C71</f>
        <v>201231</v>
      </c>
      <c r="F71" s="23">
        <f>IF(C71=0,0,E71/C71)</f>
        <v>5.1282319193962055E-2</v>
      </c>
    </row>
    <row r="72" spans="1:6" ht="24" customHeight="1" x14ac:dyDescent="0.2">
      <c r="A72" s="20">
        <v>3</v>
      </c>
      <c r="B72" s="21" t="s">
        <v>66</v>
      </c>
      <c r="C72" s="22">
        <v>4134546</v>
      </c>
      <c r="D72" s="22">
        <v>4269475</v>
      </c>
      <c r="E72" s="22">
        <f>D72-C72</f>
        <v>134929</v>
      </c>
      <c r="F72" s="23">
        <f>IF(C72=0,0,E72/C72)</f>
        <v>3.2634538350764512E-2</v>
      </c>
    </row>
    <row r="73" spans="1:6" ht="24" customHeight="1" x14ac:dyDescent="0.25">
      <c r="A73" s="20"/>
      <c r="B73" s="25" t="s">
        <v>67</v>
      </c>
      <c r="C73" s="26">
        <f>SUM(C70:C72)</f>
        <v>20545903</v>
      </c>
      <c r="D73" s="26">
        <f>SUM(D70:D72)</f>
        <v>31727632</v>
      </c>
      <c r="E73" s="26">
        <f>D73-C73</f>
        <v>11181729</v>
      </c>
      <c r="F73" s="27">
        <f>IF(C73=0,0,E73/C73)</f>
        <v>0.54423156772423198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66374764</v>
      </c>
      <c r="D75" s="26">
        <f>D56+D65+D67+D73</f>
        <v>61269930</v>
      </c>
      <c r="E75" s="26">
        <f>D75-C75</f>
        <v>-5104834</v>
      </c>
      <c r="F75" s="27">
        <f>IF(C75=0,0,E75/C75)</f>
        <v>-7.690926027247344E-2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720525178</v>
      </c>
      <c r="D11" s="76">
        <v>736921369</v>
      </c>
      <c r="E11" s="76">
        <v>693630862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17176189</v>
      </c>
      <c r="D12" s="185">
        <v>29907285</v>
      </c>
      <c r="E12" s="185">
        <v>18878200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737701367</v>
      </c>
      <c r="D13" s="76">
        <f>+D11+D12</f>
        <v>766828654</v>
      </c>
      <c r="E13" s="76">
        <f>+E11+E12</f>
        <v>712509062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746101320</v>
      </c>
      <c r="D14" s="185">
        <v>748965294</v>
      </c>
      <c r="E14" s="185">
        <v>689272450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-8399953</v>
      </c>
      <c r="D15" s="76">
        <f>+D13-D14</f>
        <v>17863360</v>
      </c>
      <c r="E15" s="76">
        <f>+E13-E14</f>
        <v>23236612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5592784</v>
      </c>
      <c r="D16" s="185">
        <v>24649093</v>
      </c>
      <c r="E16" s="185">
        <v>10485983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-2807169</v>
      </c>
      <c r="D17" s="76">
        <f>D15+D16</f>
        <v>42512453</v>
      </c>
      <c r="E17" s="76">
        <f>E15+E16</f>
        <v>33722595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-1.1300980895247217E-2</v>
      </c>
      <c r="D20" s="189">
        <f>IF(+D27=0,0,+D24/+D27)</f>
        <v>2.2569630122525733E-2</v>
      </c>
      <c r="E20" s="189">
        <f>IF(+E27=0,0,+E24/+E27)</f>
        <v>3.2139379323132156E-2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7.524321283136264E-3</v>
      </c>
      <c r="D21" s="189">
        <f>IF(+D27=0,0,+D26/+D27)</f>
        <v>3.1143128272941828E-2</v>
      </c>
      <c r="E21" s="189">
        <f>IF(+E27=0,0,+E26/+E27)</f>
        <v>1.4503533699874803E-2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-3.776659612110953E-3</v>
      </c>
      <c r="D22" s="189">
        <f>IF(+D27=0,0,+D28/+D27)</f>
        <v>5.3712758395467561E-2</v>
      </c>
      <c r="E22" s="189">
        <f>IF(+E27=0,0,+E28/+E27)</f>
        <v>4.6642913023006959E-2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-8399953</v>
      </c>
      <c r="D24" s="76">
        <f>+D15</f>
        <v>17863360</v>
      </c>
      <c r="E24" s="76">
        <f>+E15</f>
        <v>23236612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737701367</v>
      </c>
      <c r="D25" s="76">
        <f>+D13</f>
        <v>766828654</v>
      </c>
      <c r="E25" s="76">
        <f>+E13</f>
        <v>712509062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5592784</v>
      </c>
      <c r="D26" s="76">
        <f>+D16</f>
        <v>24649093</v>
      </c>
      <c r="E26" s="76">
        <f>+E16</f>
        <v>10485983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743294151</v>
      </c>
      <c r="D27" s="76">
        <f>SUM(D25:D26)</f>
        <v>791477747</v>
      </c>
      <c r="E27" s="76">
        <f>SUM(E25:E26)</f>
        <v>722995045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-2807169</v>
      </c>
      <c r="D28" s="76">
        <f>+D17</f>
        <v>42512453</v>
      </c>
      <c r="E28" s="76">
        <f>+E17</f>
        <v>33722595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286369831</v>
      </c>
      <c r="D31" s="76">
        <v>277089185</v>
      </c>
      <c r="E31" s="76">
        <v>404480146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348404442</v>
      </c>
      <c r="D32" s="76">
        <v>343874581</v>
      </c>
      <c r="E32" s="76">
        <v>500199140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36691174</v>
      </c>
      <c r="D33" s="76">
        <f>+D32-C32</f>
        <v>-4529861</v>
      </c>
      <c r="E33" s="76">
        <f>+E32-D32</f>
        <v>156324559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1.1176999999999999</v>
      </c>
      <c r="D34" s="193">
        <f>IF(C32=0,0,+D33/C32)</f>
        <v>-1.3001731476202018E-2</v>
      </c>
      <c r="E34" s="193">
        <f>IF(D32=0,0,+E33/D32)</f>
        <v>0.45459759934974664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1.8760989261589514</v>
      </c>
      <c r="D38" s="338">
        <f>IF(+D40=0,0,+D39/+D40)</f>
        <v>2.2618085678223792</v>
      </c>
      <c r="E38" s="338">
        <f>IF(+E40=0,0,+E39/+E40)</f>
        <v>1.9447954398784246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164310318</v>
      </c>
      <c r="D39" s="341">
        <v>187490183</v>
      </c>
      <c r="E39" s="341">
        <v>194314003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87580839</v>
      </c>
      <c r="D40" s="341">
        <v>82893922</v>
      </c>
      <c r="E40" s="341">
        <v>99914880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29.199329444295312</v>
      </c>
      <c r="D42" s="343">
        <f>IF((D48/365)=0,0,+D45/(D48/365))</f>
        <v>38.088847164066088</v>
      </c>
      <c r="E42" s="343">
        <f>IF((E48/365)=0,0,+E45/(E48/365))</f>
        <v>40.183943063103619</v>
      </c>
    </row>
    <row r="43" spans="1:14" ht="24" customHeight="1" x14ac:dyDescent="0.2">
      <c r="A43" s="339">
        <v>5</v>
      </c>
      <c r="B43" s="344" t="s">
        <v>16</v>
      </c>
      <c r="C43" s="345">
        <v>56787869</v>
      </c>
      <c r="D43" s="345">
        <v>74083960</v>
      </c>
      <c r="E43" s="345">
        <v>71777507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56787869</v>
      </c>
      <c r="D45" s="341">
        <f>+D43+D44</f>
        <v>74083960</v>
      </c>
      <c r="E45" s="341">
        <f>+E43+E44</f>
        <v>71777507</v>
      </c>
    </row>
    <row r="46" spans="1:14" ht="24" customHeight="1" x14ac:dyDescent="0.2">
      <c r="A46" s="339">
        <v>8</v>
      </c>
      <c r="B46" s="340" t="s">
        <v>334</v>
      </c>
      <c r="C46" s="341">
        <f>+C14</f>
        <v>746101320</v>
      </c>
      <c r="D46" s="341">
        <f>+D14</f>
        <v>748965294</v>
      </c>
      <c r="E46" s="341">
        <f>+E14</f>
        <v>689272450</v>
      </c>
    </row>
    <row r="47" spans="1:14" ht="24" customHeight="1" x14ac:dyDescent="0.2">
      <c r="A47" s="339">
        <v>9</v>
      </c>
      <c r="B47" s="340" t="s">
        <v>356</v>
      </c>
      <c r="C47" s="341">
        <v>36236656</v>
      </c>
      <c r="D47" s="341">
        <v>39029252</v>
      </c>
      <c r="E47" s="341">
        <v>37300840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709864664</v>
      </c>
      <c r="D48" s="341">
        <f>+D46-D47</f>
        <v>709936042</v>
      </c>
      <c r="E48" s="341">
        <f>+E46-E47</f>
        <v>651971610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29.917490336472323</v>
      </c>
      <c r="D50" s="350">
        <f>IF((D55/365)=0,0,+D54/(D55/365))</f>
        <v>33.186873883419715</v>
      </c>
      <c r="E50" s="350">
        <f>IF((E55/365)=0,0,+E54/(E55/365))</f>
        <v>34.507593752366802</v>
      </c>
    </row>
    <row r="51" spans="1:5" ht="24" customHeight="1" x14ac:dyDescent="0.2">
      <c r="A51" s="339">
        <v>12</v>
      </c>
      <c r="B51" s="344" t="s">
        <v>359</v>
      </c>
      <c r="C51" s="351">
        <v>74395713</v>
      </c>
      <c r="D51" s="351">
        <v>79495132</v>
      </c>
      <c r="E51" s="351">
        <v>76374995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15337343</v>
      </c>
      <c r="D53" s="341">
        <v>12492073</v>
      </c>
      <c r="E53" s="341">
        <v>10798195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59058370</v>
      </c>
      <c r="D54" s="352">
        <f>+D51+D52-D53</f>
        <v>67003059</v>
      </c>
      <c r="E54" s="352">
        <f>+E51+E52-E53</f>
        <v>65576800</v>
      </c>
    </row>
    <row r="55" spans="1:5" ht="24" customHeight="1" x14ac:dyDescent="0.2">
      <c r="A55" s="339">
        <v>16</v>
      </c>
      <c r="B55" s="340" t="s">
        <v>75</v>
      </c>
      <c r="C55" s="341">
        <f>+C11</f>
        <v>720525178</v>
      </c>
      <c r="D55" s="341">
        <f>+D11</f>
        <v>736921369</v>
      </c>
      <c r="E55" s="341">
        <f>+E11</f>
        <v>693630862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45.032536279337883</v>
      </c>
      <c r="D57" s="355">
        <f>IF((D61/365)=0,0,+D58/(D61/365))</f>
        <v>42.618320158479854</v>
      </c>
      <c r="E57" s="355">
        <f>IF((E61/365)=0,0,+E58/(E61/365))</f>
        <v>55.936379192952892</v>
      </c>
    </row>
    <row r="58" spans="1:5" ht="24" customHeight="1" x14ac:dyDescent="0.2">
      <c r="A58" s="339">
        <v>18</v>
      </c>
      <c r="B58" s="340" t="s">
        <v>54</v>
      </c>
      <c r="C58" s="353">
        <f>+C40</f>
        <v>87580839</v>
      </c>
      <c r="D58" s="353">
        <f>+D40</f>
        <v>82893922</v>
      </c>
      <c r="E58" s="353">
        <f>+E40</f>
        <v>99914880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746101320</v>
      </c>
      <c r="D59" s="353">
        <f t="shared" si="0"/>
        <v>748965294</v>
      </c>
      <c r="E59" s="353">
        <f t="shared" si="0"/>
        <v>689272450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36236656</v>
      </c>
      <c r="D60" s="356">
        <f t="shared" si="0"/>
        <v>39029252</v>
      </c>
      <c r="E60" s="356">
        <f t="shared" si="0"/>
        <v>37300840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709864664</v>
      </c>
      <c r="D61" s="353">
        <f>+D59-D60</f>
        <v>709936042</v>
      </c>
      <c r="E61" s="353">
        <f>+E59-E60</f>
        <v>651971610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40.689135296768129</v>
      </c>
      <c r="D65" s="357">
        <f>IF(D67=0,0,(D66/D67)*100)</f>
        <v>37.706809960592174</v>
      </c>
      <c r="E65" s="357">
        <f>IF(E67=0,0,(E66/E67)*100)</f>
        <v>51.398754304348657</v>
      </c>
    </row>
    <row r="66" spans="1:5" ht="24" customHeight="1" x14ac:dyDescent="0.2">
      <c r="A66" s="339">
        <v>2</v>
      </c>
      <c r="B66" s="340" t="s">
        <v>67</v>
      </c>
      <c r="C66" s="353">
        <f>+C32</f>
        <v>348404442</v>
      </c>
      <c r="D66" s="353">
        <f>+D32</f>
        <v>343874581</v>
      </c>
      <c r="E66" s="353">
        <f>+E32</f>
        <v>500199140</v>
      </c>
    </row>
    <row r="67" spans="1:5" ht="24" customHeight="1" x14ac:dyDescent="0.2">
      <c r="A67" s="339">
        <v>3</v>
      </c>
      <c r="B67" s="340" t="s">
        <v>43</v>
      </c>
      <c r="C67" s="353">
        <v>856259145</v>
      </c>
      <c r="D67" s="353">
        <v>911969433</v>
      </c>
      <c r="E67" s="353">
        <v>973173663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9.8006222344315077</v>
      </c>
      <c r="D69" s="357">
        <f>IF(D75=0,0,(D72/D75)*100)</f>
        <v>24.451189107920499</v>
      </c>
      <c r="E69" s="357">
        <f>IF(E75=0,0,(E72/E75)*100)</f>
        <v>20.490590305874925</v>
      </c>
    </row>
    <row r="70" spans="1:5" ht="24" customHeight="1" x14ac:dyDescent="0.2">
      <c r="A70" s="339">
        <v>5</v>
      </c>
      <c r="B70" s="340" t="s">
        <v>366</v>
      </c>
      <c r="C70" s="353">
        <f>+C28</f>
        <v>-2807169</v>
      </c>
      <c r="D70" s="353">
        <f>+D28</f>
        <v>42512453</v>
      </c>
      <c r="E70" s="353">
        <f>+E28</f>
        <v>33722595</v>
      </c>
    </row>
    <row r="71" spans="1:5" ht="24" customHeight="1" x14ac:dyDescent="0.2">
      <c r="A71" s="339">
        <v>6</v>
      </c>
      <c r="B71" s="340" t="s">
        <v>356</v>
      </c>
      <c r="C71" s="356">
        <f>+C47</f>
        <v>36236656</v>
      </c>
      <c r="D71" s="356">
        <f>+D47</f>
        <v>39029252</v>
      </c>
      <c r="E71" s="356">
        <f>+E47</f>
        <v>37300840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33429487</v>
      </c>
      <c r="D72" s="353">
        <f>+D70+D71</f>
        <v>81541705</v>
      </c>
      <c r="E72" s="353">
        <f>+E70+E71</f>
        <v>71023435</v>
      </c>
    </row>
    <row r="73" spans="1:5" ht="24" customHeight="1" x14ac:dyDescent="0.2">
      <c r="A73" s="339">
        <v>8</v>
      </c>
      <c r="B73" s="340" t="s">
        <v>54</v>
      </c>
      <c r="C73" s="341">
        <f>+C40</f>
        <v>87580839</v>
      </c>
      <c r="D73" s="341">
        <f>+D40</f>
        <v>82893922</v>
      </c>
      <c r="E73" s="341">
        <f>+E40</f>
        <v>99914880</v>
      </c>
    </row>
    <row r="74" spans="1:5" ht="24" customHeight="1" x14ac:dyDescent="0.2">
      <c r="A74" s="339">
        <v>9</v>
      </c>
      <c r="B74" s="340" t="s">
        <v>58</v>
      </c>
      <c r="C74" s="353">
        <v>253514718</v>
      </c>
      <c r="D74" s="353">
        <v>250593765</v>
      </c>
      <c r="E74" s="353">
        <v>246700000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341095557</v>
      </c>
      <c r="D75" s="341">
        <f>+D73+D74</f>
        <v>333487687</v>
      </c>
      <c r="E75" s="341">
        <f>+E73+E74</f>
        <v>346614880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42.117735212150414</v>
      </c>
      <c r="D77" s="359">
        <f>IF(D80=0,0,(D78/D80)*100)</f>
        <v>42.154265519126568</v>
      </c>
      <c r="E77" s="359">
        <f>IF(E80=0,0,(E78/E80)*100)</f>
        <v>33.029894772673053</v>
      </c>
    </row>
    <row r="78" spans="1:5" ht="24" customHeight="1" x14ac:dyDescent="0.2">
      <c r="A78" s="339">
        <v>12</v>
      </c>
      <c r="B78" s="340" t="s">
        <v>58</v>
      </c>
      <c r="C78" s="341">
        <f>+C74</f>
        <v>253514718</v>
      </c>
      <c r="D78" s="341">
        <f>+D74</f>
        <v>250593765</v>
      </c>
      <c r="E78" s="341">
        <f>+E74</f>
        <v>246700000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348404442</v>
      </c>
      <c r="D79" s="341">
        <f>+D32</f>
        <v>343874581</v>
      </c>
      <c r="E79" s="341">
        <f>+E32</f>
        <v>500199140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601919160</v>
      </c>
      <c r="D80" s="341">
        <f>+D78+D79</f>
        <v>594468346</v>
      </c>
      <c r="E80" s="341">
        <f>+E78+E79</f>
        <v>746899140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5867</v>
      </c>
      <c r="D11" s="376">
        <v>1711</v>
      </c>
      <c r="E11" s="376">
        <v>1720</v>
      </c>
      <c r="F11" s="377">
        <v>17</v>
      </c>
      <c r="G11" s="377">
        <v>69</v>
      </c>
      <c r="H11" s="378">
        <f>IF(F11=0,0,$C11/(F11*365))</f>
        <v>0.94552780016116034</v>
      </c>
      <c r="I11" s="378">
        <f>IF(G11=0,0,$C11/(G11*365))</f>
        <v>0.23295612467738733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868</v>
      </c>
      <c r="D13" s="376">
        <v>146</v>
      </c>
      <c r="E13" s="376">
        <v>0</v>
      </c>
      <c r="F13" s="377">
        <v>3</v>
      </c>
      <c r="G13" s="377">
        <v>8</v>
      </c>
      <c r="H13" s="378">
        <f>IF(F13=0,0,$C13/(F13*365))</f>
        <v>0.79269406392694064</v>
      </c>
      <c r="I13" s="378">
        <f>IF(G13=0,0,$C13/(G13*365))</f>
        <v>0.29726027397260274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149</v>
      </c>
      <c r="D21" s="376">
        <v>58</v>
      </c>
      <c r="E21" s="376">
        <v>56</v>
      </c>
      <c r="F21" s="377">
        <v>1</v>
      </c>
      <c r="G21" s="377">
        <v>8</v>
      </c>
      <c r="H21" s="378">
        <f>IF(F21=0,0,$C21/(F21*365))</f>
        <v>0.40821917808219177</v>
      </c>
      <c r="I21" s="378">
        <f>IF(G21=0,0,$C21/(G21*365))</f>
        <v>5.1027397260273971E-2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133</v>
      </c>
      <c r="D23" s="376">
        <v>55</v>
      </c>
      <c r="E23" s="376">
        <v>53</v>
      </c>
      <c r="F23" s="377">
        <v>1</v>
      </c>
      <c r="G23" s="377">
        <v>10</v>
      </c>
      <c r="H23" s="378">
        <f>IF(F23=0,0,$C23/(F23*365))</f>
        <v>0.36438356164383562</v>
      </c>
      <c r="I23" s="378">
        <f>IF(G23=0,0,$C23/(G23*365))</f>
        <v>3.643835616438356E-2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6884</v>
      </c>
      <c r="D31" s="384">
        <f>SUM(D10:D29)-D13-D17-D23</f>
        <v>1769</v>
      </c>
      <c r="E31" s="384">
        <f>SUM(E10:E29)-E17-E23</f>
        <v>1776</v>
      </c>
      <c r="F31" s="384">
        <f>SUM(F10:F29)-F17-F23</f>
        <v>21</v>
      </c>
      <c r="G31" s="384">
        <f>SUM(G10:G29)-G17-G23</f>
        <v>85</v>
      </c>
      <c r="H31" s="385">
        <f>IF(F31=0,0,$C31/(F31*365))</f>
        <v>0.89810828440965429</v>
      </c>
      <c r="I31" s="385">
        <f>IF(G31=0,0,$C31/(G31*365))</f>
        <v>0.22188557614826754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7017</v>
      </c>
      <c r="D33" s="384">
        <f>SUM(D10:D29)-D13-D17</f>
        <v>1824</v>
      </c>
      <c r="E33" s="384">
        <f>SUM(E10:E29)-E17</f>
        <v>1829</v>
      </c>
      <c r="F33" s="384">
        <f>SUM(F10:F29)-F17</f>
        <v>22</v>
      </c>
      <c r="G33" s="384">
        <f>SUM(G10:G29)-G17</f>
        <v>95</v>
      </c>
      <c r="H33" s="385">
        <f>IF(F33=0,0,$C33/(F33*365))</f>
        <v>0.87384806973848073</v>
      </c>
      <c r="I33" s="385">
        <f>IF(G33=0,0,$C33/(G33*365))</f>
        <v>0.20236481614996396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7017</v>
      </c>
      <c r="D36" s="384">
        <f t="shared" si="1"/>
        <v>1824</v>
      </c>
      <c r="E36" s="384">
        <f t="shared" si="1"/>
        <v>1829</v>
      </c>
      <c r="F36" s="384">
        <f t="shared" si="1"/>
        <v>22</v>
      </c>
      <c r="G36" s="384">
        <f t="shared" si="1"/>
        <v>95</v>
      </c>
      <c r="H36" s="387">
        <f t="shared" si="1"/>
        <v>0.87384806973848073</v>
      </c>
      <c r="I36" s="387">
        <f t="shared" si="1"/>
        <v>0.20236481614996396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8537</v>
      </c>
      <c r="D37" s="384">
        <v>2288</v>
      </c>
      <c r="E37" s="384">
        <v>2287</v>
      </c>
      <c r="F37" s="386">
        <v>27</v>
      </c>
      <c r="G37" s="386">
        <v>95</v>
      </c>
      <c r="H37" s="385">
        <f>IF(F37=0,0,$C37/(F37*365))</f>
        <v>0.86626078132927453</v>
      </c>
      <c r="I37" s="385">
        <f>IF(G37=0,0,$C37/(G37*365))</f>
        <v>0.24620043258832011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-1520</v>
      </c>
      <c r="D38" s="384">
        <f t="shared" si="2"/>
        <v>-464</v>
      </c>
      <c r="E38" s="384">
        <f t="shared" si="2"/>
        <v>-458</v>
      </c>
      <c r="F38" s="384">
        <f t="shared" si="2"/>
        <v>-5</v>
      </c>
      <c r="G38" s="384">
        <f t="shared" si="2"/>
        <v>0</v>
      </c>
      <c r="H38" s="387">
        <f t="shared" si="2"/>
        <v>7.5872884092061943E-3</v>
      </c>
      <c r="I38" s="387">
        <f t="shared" si="2"/>
        <v>-4.3835616438356151E-2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-0.17804849478739604</v>
      </c>
      <c r="D40" s="389">
        <f t="shared" si="3"/>
        <v>-0.20279720279720279</v>
      </c>
      <c r="E40" s="389">
        <f t="shared" si="3"/>
        <v>-0.20026235242675994</v>
      </c>
      <c r="F40" s="389">
        <f t="shared" si="3"/>
        <v>-0.18518518518518517</v>
      </c>
      <c r="G40" s="389">
        <f t="shared" si="3"/>
        <v>0</v>
      </c>
      <c r="H40" s="389">
        <f t="shared" si="3"/>
        <v>8.7586654881957413E-3</v>
      </c>
      <c r="I40" s="389">
        <f t="shared" si="3"/>
        <v>-0.17804849478739598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85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766</v>
      </c>
      <c r="D12" s="409">
        <v>710</v>
      </c>
      <c r="E12" s="409">
        <f>+D12-C12</f>
        <v>-56</v>
      </c>
      <c r="F12" s="410">
        <f>IF(C12=0,0,+E12/C12)</f>
        <v>-7.3107049608355096E-2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2824</v>
      </c>
      <c r="D13" s="409">
        <v>2528</v>
      </c>
      <c r="E13" s="409">
        <f>+D13-C13</f>
        <v>-296</v>
      </c>
      <c r="F13" s="410">
        <f>IF(C13=0,0,+E13/C13)</f>
        <v>-0.10481586402266289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1729</v>
      </c>
      <c r="D14" s="409">
        <v>1586</v>
      </c>
      <c r="E14" s="409">
        <f>+D14-C14</f>
        <v>-143</v>
      </c>
      <c r="F14" s="410">
        <f>IF(C14=0,0,+E14/C14)</f>
        <v>-8.2706766917293228E-2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5319</v>
      </c>
      <c r="D16" s="401">
        <f>SUM(D12:D15)</f>
        <v>4824</v>
      </c>
      <c r="E16" s="401">
        <f>+D16-C16</f>
        <v>-495</v>
      </c>
      <c r="F16" s="402">
        <f>IF(C16=0,0,+E16/C16)</f>
        <v>-9.3062605752961089E-2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114</v>
      </c>
      <c r="D19" s="409">
        <v>117</v>
      </c>
      <c r="E19" s="409">
        <f>+D19-C19</f>
        <v>3</v>
      </c>
      <c r="F19" s="410">
        <f>IF(C19=0,0,+E19/C19)</f>
        <v>2.6315789473684209E-2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2778</v>
      </c>
      <c r="D20" s="409">
        <v>2720</v>
      </c>
      <c r="E20" s="409">
        <f>+D20-C20</f>
        <v>-58</v>
      </c>
      <c r="F20" s="410">
        <f>IF(C20=0,0,+E20/C20)</f>
        <v>-2.0878329733621311E-2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24</v>
      </c>
      <c r="D21" s="409">
        <v>15</v>
      </c>
      <c r="E21" s="409">
        <f>+D21-C21</f>
        <v>-9</v>
      </c>
      <c r="F21" s="410">
        <f>IF(C21=0,0,+E21/C21)</f>
        <v>-0.375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2916</v>
      </c>
      <c r="D23" s="401">
        <f>SUM(D19:D22)</f>
        <v>2852</v>
      </c>
      <c r="E23" s="401">
        <f>+D23-C23</f>
        <v>-64</v>
      </c>
      <c r="F23" s="402">
        <f>IF(C23=0,0,+E23/C23)</f>
        <v>-2.194787379972565E-2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122</v>
      </c>
      <c r="D34" s="409">
        <v>7</v>
      </c>
      <c r="E34" s="409">
        <f>+D34-C34</f>
        <v>-115</v>
      </c>
      <c r="F34" s="410">
        <f>IF(C34=0,0,+E34/C34)</f>
        <v>-0.94262295081967218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122</v>
      </c>
      <c r="D37" s="401">
        <f>SUM(D33:D36)</f>
        <v>7</v>
      </c>
      <c r="E37" s="401">
        <f>+D37-C37</f>
        <v>-115</v>
      </c>
      <c r="F37" s="402">
        <f>IF(C37=0,0,+E37/C37)</f>
        <v>-0.94262295081967218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621</v>
      </c>
      <c r="D63" s="409">
        <v>519</v>
      </c>
      <c r="E63" s="409">
        <f>+D63-C63</f>
        <v>-102</v>
      </c>
      <c r="F63" s="410">
        <f>IF(C63=0,0,+E63/C63)</f>
        <v>-0.16425120772946861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2116</v>
      </c>
      <c r="D64" s="409">
        <v>1905</v>
      </c>
      <c r="E64" s="409">
        <f>+D64-C64</f>
        <v>-211</v>
      </c>
      <c r="F64" s="410">
        <f>IF(C64=0,0,+E64/C64)</f>
        <v>-9.97164461247637E-2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2737</v>
      </c>
      <c r="D65" s="401">
        <f>SUM(D63:D64)</f>
        <v>2424</v>
      </c>
      <c r="E65" s="401">
        <f>+D65-C65</f>
        <v>-313</v>
      </c>
      <c r="F65" s="402">
        <f>IF(C65=0,0,+E65/C65)</f>
        <v>-0.1143587869930581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89</v>
      </c>
      <c r="D68" s="409">
        <v>83</v>
      </c>
      <c r="E68" s="409">
        <f>+D68-C68</f>
        <v>-6</v>
      </c>
      <c r="F68" s="410">
        <f>IF(C68=0,0,+E68/C68)</f>
        <v>-6.741573033707865E-2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2110</v>
      </c>
      <c r="D69" s="409">
        <v>1963</v>
      </c>
      <c r="E69" s="409">
        <f>+D69-C69</f>
        <v>-147</v>
      </c>
      <c r="F69" s="412">
        <f>IF(C69=0,0,+E69/C69)</f>
        <v>-6.9668246445497628E-2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2199</v>
      </c>
      <c r="D70" s="401">
        <f>SUM(D68:D69)</f>
        <v>2046</v>
      </c>
      <c r="E70" s="401">
        <f>+D70-C70</f>
        <v>-153</v>
      </c>
      <c r="F70" s="402">
        <f>IF(C70=0,0,+E70/C70)</f>
        <v>-6.9577080491132329E-2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2050</v>
      </c>
      <c r="D73" s="376">
        <v>2135</v>
      </c>
      <c r="E73" s="409">
        <f>+D73-C73</f>
        <v>85</v>
      </c>
      <c r="F73" s="410">
        <f>IF(C73=0,0,+E73/C73)</f>
        <v>4.1463414634146344E-2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16366</v>
      </c>
      <c r="D74" s="376">
        <v>15715</v>
      </c>
      <c r="E74" s="409">
        <f>+D74-C74</f>
        <v>-651</v>
      </c>
      <c r="F74" s="410">
        <f>IF(C74=0,0,+E74/C74)</f>
        <v>-3.9777587681779296E-2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18416</v>
      </c>
      <c r="D75" s="401">
        <f>SUM(D73:D74)</f>
        <v>17850</v>
      </c>
      <c r="E75" s="401">
        <f>SUM(E73:E74)</f>
        <v>-566</v>
      </c>
      <c r="F75" s="402">
        <f>IF(C75=0,0,+E75/C75)</f>
        <v>-3.0734144222415292E-2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6875</v>
      </c>
      <c r="D81" s="376">
        <v>8616</v>
      </c>
      <c r="E81" s="409">
        <f t="shared" si="0"/>
        <v>1741</v>
      </c>
      <c r="F81" s="410">
        <f t="shared" si="1"/>
        <v>0.25323636363636365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6875</v>
      </c>
      <c r="D92" s="381">
        <f>SUM(D79:D91)</f>
        <v>8616</v>
      </c>
      <c r="E92" s="401">
        <f t="shared" si="0"/>
        <v>1741</v>
      </c>
      <c r="F92" s="402">
        <f t="shared" si="1"/>
        <v>0.25323636363636365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465</v>
      </c>
      <c r="D95" s="414">
        <v>164</v>
      </c>
      <c r="E95" s="415">
        <f t="shared" ref="E95:E100" si="2">+D95-C95</f>
        <v>-301</v>
      </c>
      <c r="F95" s="412">
        <f t="shared" ref="F95:F100" si="3">IF(C95=0,0,+E95/C95)</f>
        <v>-0.64731182795698927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914</v>
      </c>
      <c r="D96" s="414">
        <v>1199</v>
      </c>
      <c r="E96" s="409">
        <f t="shared" si="2"/>
        <v>285</v>
      </c>
      <c r="F96" s="410">
        <f t="shared" si="3"/>
        <v>0.31181619256017507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1048</v>
      </c>
      <c r="D97" s="414">
        <v>1052</v>
      </c>
      <c r="E97" s="409">
        <f t="shared" si="2"/>
        <v>4</v>
      </c>
      <c r="F97" s="410">
        <f t="shared" si="3"/>
        <v>3.8167938931297708E-3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45169</v>
      </c>
      <c r="D99" s="414">
        <v>29445</v>
      </c>
      <c r="E99" s="409">
        <f t="shared" si="2"/>
        <v>-15724</v>
      </c>
      <c r="F99" s="410">
        <f t="shared" si="3"/>
        <v>-0.34811485753503507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47596</v>
      </c>
      <c r="D100" s="381">
        <f>SUM(D95:D99)</f>
        <v>31860</v>
      </c>
      <c r="E100" s="401">
        <f t="shared" si="2"/>
        <v>-15736</v>
      </c>
      <c r="F100" s="402">
        <f t="shared" si="3"/>
        <v>-0.33061601815278596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129.1</v>
      </c>
      <c r="D104" s="416">
        <v>109.4</v>
      </c>
      <c r="E104" s="417">
        <f>+D104-C104</f>
        <v>-19.699999999999989</v>
      </c>
      <c r="F104" s="410">
        <f>IF(C104=0,0,+E104/C104)</f>
        <v>-0.15259488768396584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3.8</v>
      </c>
      <c r="D105" s="416">
        <v>2.4</v>
      </c>
      <c r="E105" s="417">
        <f>+D105-C105</f>
        <v>-1.4</v>
      </c>
      <c r="F105" s="410">
        <f>IF(C105=0,0,+E105/C105)</f>
        <v>-0.36842105263157893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287.39999999999998</v>
      </c>
      <c r="D106" s="416">
        <v>250.4</v>
      </c>
      <c r="E106" s="417">
        <f>+D106-C106</f>
        <v>-36.999999999999972</v>
      </c>
      <c r="F106" s="410">
        <f>IF(C106=0,0,+E106/C106)</f>
        <v>-0.12874043145441885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420.29999999999995</v>
      </c>
      <c r="D107" s="418">
        <f>SUM(D104:D106)</f>
        <v>362.20000000000005</v>
      </c>
      <c r="E107" s="418">
        <f>+D107-C107</f>
        <v>-58.099999999999909</v>
      </c>
      <c r="F107" s="402">
        <f>IF(C107=0,0,+E107/C107)</f>
        <v>-0.13823459433737786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2116</v>
      </c>
      <c r="D12" s="409">
        <v>1905</v>
      </c>
      <c r="E12" s="409">
        <f>+D12-C12</f>
        <v>-211</v>
      </c>
      <c r="F12" s="410">
        <f>IF(C12=0,0,+E12/C12)</f>
        <v>-9.97164461247637E-2</v>
      </c>
    </row>
    <row r="13" spans="1:6" ht="15.75" customHeight="1" x14ac:dyDescent="0.25">
      <c r="A13" s="374"/>
      <c r="B13" s="399" t="s">
        <v>622</v>
      </c>
      <c r="C13" s="401">
        <f>SUM(C11:C12)</f>
        <v>2116</v>
      </c>
      <c r="D13" s="401">
        <f>SUM(D11:D12)</f>
        <v>1905</v>
      </c>
      <c r="E13" s="401">
        <f>+D13-C13</f>
        <v>-211</v>
      </c>
      <c r="F13" s="402">
        <f>IF(C13=0,0,+E13/C13)</f>
        <v>-9.97164461247637E-2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2110</v>
      </c>
      <c r="D16" s="409">
        <v>1963</v>
      </c>
      <c r="E16" s="409">
        <f>+D16-C16</f>
        <v>-147</v>
      </c>
      <c r="F16" s="410">
        <f>IF(C16=0,0,+E16/C16)</f>
        <v>-6.9668246445497628E-2</v>
      </c>
    </row>
    <row r="17" spans="1:6" ht="15.75" customHeight="1" x14ac:dyDescent="0.25">
      <c r="A17" s="374"/>
      <c r="B17" s="399" t="s">
        <v>623</v>
      </c>
      <c r="C17" s="401">
        <f>SUM(C15:C16)</f>
        <v>2110</v>
      </c>
      <c r="D17" s="401">
        <f>SUM(D15:D16)</f>
        <v>1963</v>
      </c>
      <c r="E17" s="401">
        <f>+D17-C17</f>
        <v>-147</v>
      </c>
      <c r="F17" s="402">
        <f>IF(C17=0,0,+E17/C17)</f>
        <v>-6.9668246445497628E-2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16366</v>
      </c>
      <c r="D20" s="409">
        <v>15715</v>
      </c>
      <c r="E20" s="409">
        <f>+D20-C20</f>
        <v>-651</v>
      </c>
      <c r="F20" s="410">
        <f>IF(C20=0,0,+E20/C20)</f>
        <v>-3.9777587681779296E-2</v>
      </c>
    </row>
    <row r="21" spans="1:6" ht="15.75" customHeight="1" x14ac:dyDescent="0.25">
      <c r="A21" s="374"/>
      <c r="B21" s="399" t="s">
        <v>625</v>
      </c>
      <c r="C21" s="401">
        <f>SUM(C19:C20)</f>
        <v>16366</v>
      </c>
      <c r="D21" s="401">
        <f>SUM(D19:D20)</f>
        <v>15715</v>
      </c>
      <c r="E21" s="401">
        <f>+D21-C21</f>
        <v>-651</v>
      </c>
      <c r="F21" s="402">
        <f>IF(C21=0,0,+E21/C21)</f>
        <v>-3.9777587681779296E-2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34382207</v>
      </c>
      <c r="D15" s="448">
        <v>29406230</v>
      </c>
      <c r="E15" s="448">
        <f t="shared" ref="E15:E24" si="0">D15-C15</f>
        <v>-4975977</v>
      </c>
      <c r="F15" s="449">
        <f t="shared" ref="F15:F24" si="1">IF(C15=0,0,E15/C15)</f>
        <v>-0.14472535169135595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11308714</v>
      </c>
      <c r="D16" s="448">
        <v>11036175</v>
      </c>
      <c r="E16" s="448">
        <f t="shared" si="0"/>
        <v>-272539</v>
      </c>
      <c r="F16" s="449">
        <f t="shared" si="1"/>
        <v>-2.4099910918252952E-2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0.32891181185663854</v>
      </c>
      <c r="D17" s="453">
        <f>IF(LN_IA1=0,0,LN_IA2/LN_IA1)</f>
        <v>0.37530057406202699</v>
      </c>
      <c r="E17" s="454">
        <f t="shared" si="0"/>
        <v>4.6388762205388456E-2</v>
      </c>
      <c r="F17" s="449">
        <f t="shared" si="1"/>
        <v>0.14103708207842575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1118</v>
      </c>
      <c r="D18" s="456">
        <v>1083</v>
      </c>
      <c r="E18" s="456">
        <f t="shared" si="0"/>
        <v>-35</v>
      </c>
      <c r="F18" s="449">
        <f t="shared" si="1"/>
        <v>-3.1305903398926652E-2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1.339</v>
      </c>
      <c r="D19" s="459">
        <v>1.3311999999999999</v>
      </c>
      <c r="E19" s="460">
        <f t="shared" si="0"/>
        <v>-7.8000000000000291E-3</v>
      </c>
      <c r="F19" s="449">
        <f t="shared" si="1"/>
        <v>-5.8252427184466238E-3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1497.002</v>
      </c>
      <c r="D20" s="463">
        <f>LN_IA4*LN_IA5</f>
        <v>1441.6895999999999</v>
      </c>
      <c r="E20" s="463">
        <f t="shared" si="0"/>
        <v>-55.312400000000025</v>
      </c>
      <c r="F20" s="449">
        <f t="shared" si="1"/>
        <v>-3.6948781631554281E-2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7554.2410764982278</v>
      </c>
      <c r="D21" s="465">
        <f>IF(LN_IA6=0,0,LN_IA2/LN_IA6)</f>
        <v>7655.028516540593</v>
      </c>
      <c r="E21" s="465">
        <f t="shared" si="0"/>
        <v>100.78744004236523</v>
      </c>
      <c r="F21" s="449">
        <f t="shared" si="1"/>
        <v>1.3341835271305016E-2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4985</v>
      </c>
      <c r="D22" s="456">
        <v>4593</v>
      </c>
      <c r="E22" s="456">
        <f t="shared" si="0"/>
        <v>-392</v>
      </c>
      <c r="F22" s="449">
        <f t="shared" si="1"/>
        <v>-7.8635907723169515E-2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2268.5484453360082</v>
      </c>
      <c r="D23" s="465">
        <f>IF(LN_IA8=0,0,LN_IA2/LN_IA8)</f>
        <v>2402.8249510124101</v>
      </c>
      <c r="E23" s="465">
        <f t="shared" si="0"/>
        <v>134.27650567640194</v>
      </c>
      <c r="F23" s="449">
        <f t="shared" si="1"/>
        <v>5.9190495117027772E-2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4.4588550983899822</v>
      </c>
      <c r="D24" s="466">
        <f>IF(LN_IA4=0,0,LN_IA8/LN_IA4)</f>
        <v>4.2409972299168972</v>
      </c>
      <c r="E24" s="466">
        <f t="shared" si="0"/>
        <v>-0.21785786847308497</v>
      </c>
      <c r="F24" s="449">
        <f t="shared" si="1"/>
        <v>-4.8859598185137208E-2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56029867</v>
      </c>
      <c r="D27" s="448">
        <v>56105045</v>
      </c>
      <c r="E27" s="448">
        <f t="shared" ref="E27:E32" si="2">D27-C27</f>
        <v>75178</v>
      </c>
      <c r="F27" s="449">
        <f t="shared" ref="F27:F32" si="3">IF(C27=0,0,E27/C27)</f>
        <v>1.3417486784325224E-3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12933357</v>
      </c>
      <c r="D28" s="448">
        <v>12056329</v>
      </c>
      <c r="E28" s="448">
        <f t="shared" si="2"/>
        <v>-877028</v>
      </c>
      <c r="F28" s="449">
        <f t="shared" si="3"/>
        <v>-6.781131921124578E-2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0.23082969302782747</v>
      </c>
      <c r="D29" s="453">
        <f>IF(LN_IA11=0,0,LN_IA12/LN_IA11)</f>
        <v>0.21488850066870099</v>
      </c>
      <c r="E29" s="454">
        <f t="shared" si="2"/>
        <v>-1.5941192359126471E-2</v>
      </c>
      <c r="F29" s="449">
        <f t="shared" si="3"/>
        <v>-6.9060406180953049E-2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1.6296181045038789</v>
      </c>
      <c r="D30" s="453">
        <f>IF(LN_IA1=0,0,LN_IA11/LN_IA1)</f>
        <v>1.9079305643736038</v>
      </c>
      <c r="E30" s="454">
        <f t="shared" si="2"/>
        <v>0.27831245986972486</v>
      </c>
      <c r="F30" s="449">
        <f t="shared" si="3"/>
        <v>0.1707838536529111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1821.9130408353367</v>
      </c>
      <c r="D31" s="463">
        <f>LN_IA14*LN_IA4</f>
        <v>2066.2888012166127</v>
      </c>
      <c r="E31" s="463">
        <f t="shared" si="2"/>
        <v>244.375760381276</v>
      </c>
      <c r="F31" s="449">
        <f t="shared" si="3"/>
        <v>0.13413140742942983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7098.7784324053855</v>
      </c>
      <c r="D32" s="465">
        <f>IF(LN_IA15=0,0,LN_IA12/LN_IA15)</f>
        <v>5834.7743998328497</v>
      </c>
      <c r="E32" s="465">
        <f t="shared" si="2"/>
        <v>-1264.0040325725358</v>
      </c>
      <c r="F32" s="449">
        <f t="shared" si="3"/>
        <v>-0.17805937241292857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90412074</v>
      </c>
      <c r="D35" s="448">
        <f>LN_IA1+LN_IA11</f>
        <v>85511275</v>
      </c>
      <c r="E35" s="448">
        <f>D35-C35</f>
        <v>-4900799</v>
      </c>
      <c r="F35" s="449">
        <f>IF(C35=0,0,E35/C35)</f>
        <v>-5.4205138574743898E-2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24242071</v>
      </c>
      <c r="D36" s="448">
        <f>LN_IA2+LN_IA12</f>
        <v>23092504</v>
      </c>
      <c r="E36" s="448">
        <f>D36-C36</f>
        <v>-1149567</v>
      </c>
      <c r="F36" s="449">
        <f>IF(C36=0,0,E36/C36)</f>
        <v>-4.7420329723479482E-2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66170003</v>
      </c>
      <c r="D37" s="448">
        <f>LN_IA17-LN_IA18</f>
        <v>62418771</v>
      </c>
      <c r="E37" s="448">
        <f>D37-C37</f>
        <v>-3751232</v>
      </c>
      <c r="F37" s="449">
        <f>IF(C37=0,0,E37/C37)</f>
        <v>-5.6690824088371283E-2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18128253</v>
      </c>
      <c r="D42" s="448">
        <v>14041013</v>
      </c>
      <c r="E42" s="448">
        <f t="shared" ref="E42:E53" si="4">D42-C42</f>
        <v>-4087240</v>
      </c>
      <c r="F42" s="449">
        <f t="shared" ref="F42:F53" si="5">IF(C42=0,0,E42/C42)</f>
        <v>-0.22546243148746875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7957745</v>
      </c>
      <c r="D43" s="448">
        <v>6784348</v>
      </c>
      <c r="E43" s="448">
        <f t="shared" si="4"/>
        <v>-1173397</v>
      </c>
      <c r="F43" s="449">
        <f t="shared" si="5"/>
        <v>-0.14745345572143867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0.43896921562160457</v>
      </c>
      <c r="D44" s="453">
        <f>IF(LN_IB1=0,0,LN_IB2/LN_IB1)</f>
        <v>0.48318080753860138</v>
      </c>
      <c r="E44" s="454">
        <f t="shared" si="4"/>
        <v>4.4211591916996806E-2</v>
      </c>
      <c r="F44" s="449">
        <f t="shared" si="5"/>
        <v>0.1007168392307209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888</v>
      </c>
      <c r="D45" s="456">
        <v>545</v>
      </c>
      <c r="E45" s="456">
        <f t="shared" si="4"/>
        <v>-343</v>
      </c>
      <c r="F45" s="449">
        <f t="shared" si="5"/>
        <v>-0.38626126126126126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1.0384</v>
      </c>
      <c r="D46" s="459">
        <v>1.3024</v>
      </c>
      <c r="E46" s="460">
        <f t="shared" si="4"/>
        <v>0.26400000000000001</v>
      </c>
      <c r="F46" s="449">
        <f t="shared" si="5"/>
        <v>0.25423728813559321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922.0992</v>
      </c>
      <c r="D47" s="463">
        <f>LN_IB4*LN_IB5</f>
        <v>709.80799999999999</v>
      </c>
      <c r="E47" s="463">
        <f t="shared" si="4"/>
        <v>-212.2912</v>
      </c>
      <c r="F47" s="449">
        <f t="shared" si="5"/>
        <v>-0.23022598870056499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8630.0313458682103</v>
      </c>
      <c r="D48" s="465">
        <f>IF(LN_IB6=0,0,LN_IB2/LN_IB6)</f>
        <v>9558.0044180961613</v>
      </c>
      <c r="E48" s="465">
        <f t="shared" si="4"/>
        <v>927.97307222795098</v>
      </c>
      <c r="F48" s="449">
        <f t="shared" si="5"/>
        <v>0.10752835476921362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-1075.7902693699825</v>
      </c>
      <c r="D49" s="465">
        <f>LN_IA7-LN_IB7</f>
        <v>-1902.9759015555683</v>
      </c>
      <c r="E49" s="465">
        <f t="shared" si="4"/>
        <v>-827.18563218558575</v>
      </c>
      <c r="F49" s="449">
        <f t="shared" si="5"/>
        <v>0.76890975475174383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-991985.34675384534</v>
      </c>
      <c r="D50" s="479">
        <f>LN_IB8*LN_IB6</f>
        <v>-1350747.5187313547</v>
      </c>
      <c r="E50" s="479">
        <f t="shared" si="4"/>
        <v>-358762.1719775094</v>
      </c>
      <c r="F50" s="449">
        <f t="shared" si="5"/>
        <v>0.36166075754194976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2625</v>
      </c>
      <c r="D51" s="456">
        <v>1705</v>
      </c>
      <c r="E51" s="456">
        <f t="shared" si="4"/>
        <v>-920</v>
      </c>
      <c r="F51" s="449">
        <f t="shared" si="5"/>
        <v>-0.3504761904761905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3031.5219047619048</v>
      </c>
      <c r="D52" s="465">
        <f>IF(LN_IB10=0,0,LN_IB2/LN_IB10)</f>
        <v>3979.0897360703812</v>
      </c>
      <c r="E52" s="465">
        <f t="shared" si="4"/>
        <v>947.56783130847634</v>
      </c>
      <c r="F52" s="449">
        <f t="shared" si="5"/>
        <v>0.31257165907989642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2.9560810810810811</v>
      </c>
      <c r="D53" s="466">
        <f>IF(LN_IB4=0,0,LN_IB10/LN_IB4)</f>
        <v>3.1284403669724772</v>
      </c>
      <c r="E53" s="466">
        <f t="shared" si="4"/>
        <v>0.17235928589139604</v>
      </c>
      <c r="F53" s="449">
        <f t="shared" si="5"/>
        <v>5.8306684141546543E-2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77577636</v>
      </c>
      <c r="D56" s="448">
        <v>66319496</v>
      </c>
      <c r="E56" s="448">
        <f t="shared" ref="E56:E63" si="6">D56-C56</f>
        <v>-11258140</v>
      </c>
      <c r="F56" s="449">
        <f t="shared" ref="F56:F63" si="7">IF(C56=0,0,E56/C56)</f>
        <v>-0.14512094696982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40219243</v>
      </c>
      <c r="D57" s="448">
        <v>35342631</v>
      </c>
      <c r="E57" s="448">
        <f t="shared" si="6"/>
        <v>-4876612</v>
      </c>
      <c r="F57" s="449">
        <f t="shared" si="7"/>
        <v>-0.12125071573326231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0.51843862579158762</v>
      </c>
      <c r="D58" s="453">
        <f>IF(LN_IB13=0,0,LN_IB14/LN_IB13)</f>
        <v>0.53291465001483118</v>
      </c>
      <c r="E58" s="454">
        <f t="shared" si="6"/>
        <v>1.4476024223243567E-2</v>
      </c>
      <c r="F58" s="449">
        <f t="shared" si="7"/>
        <v>2.7922348959128152E-2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4.2793773895366529</v>
      </c>
      <c r="D59" s="453">
        <f>IF(LN_IB1=0,0,LN_IB13/LN_IB1)</f>
        <v>4.7232700375678025</v>
      </c>
      <c r="E59" s="454">
        <f t="shared" si="6"/>
        <v>0.44389264803114958</v>
      </c>
      <c r="F59" s="449">
        <f t="shared" si="7"/>
        <v>0.10372832485316556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3800.0871219085479</v>
      </c>
      <c r="D60" s="463">
        <f>LN_IB16*LN_IB4</f>
        <v>2574.1821704744525</v>
      </c>
      <c r="E60" s="463">
        <f t="shared" si="6"/>
        <v>-1225.9049514340954</v>
      </c>
      <c r="F60" s="449">
        <f t="shared" si="7"/>
        <v>-0.32259916999439725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10583.768663651155</v>
      </c>
      <c r="D61" s="465">
        <f>IF(LN_IB17=0,0,LN_IB14/LN_IB17)</f>
        <v>13729.654181190266</v>
      </c>
      <c r="E61" s="465">
        <f t="shared" si="6"/>
        <v>3145.8855175391109</v>
      </c>
      <c r="F61" s="449">
        <f t="shared" si="7"/>
        <v>0.29723679886762122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-3484.9902312457698</v>
      </c>
      <c r="D62" s="465">
        <f>LN_IA16-LN_IB18</f>
        <v>-7894.8797813574165</v>
      </c>
      <c r="E62" s="465">
        <f t="shared" si="6"/>
        <v>-4409.8895501116467</v>
      </c>
      <c r="F62" s="449">
        <f t="shared" si="7"/>
        <v>1.2653950965409897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-13243266.497734142</v>
      </c>
      <c r="D63" s="448">
        <f>LN_IB19*LN_IB17</f>
        <v>-20322858.771209504</v>
      </c>
      <c r="E63" s="448">
        <f t="shared" si="6"/>
        <v>-7079592.273475362</v>
      </c>
      <c r="F63" s="449">
        <f t="shared" si="7"/>
        <v>0.5345805186874889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95705889</v>
      </c>
      <c r="D66" s="448">
        <f>LN_IB1+LN_IB13</f>
        <v>80360509</v>
      </c>
      <c r="E66" s="448">
        <f>D66-C66</f>
        <v>-15345380</v>
      </c>
      <c r="F66" s="449">
        <f>IF(C66=0,0,E66/C66)</f>
        <v>-0.16033893170356528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48176988</v>
      </c>
      <c r="D67" s="448">
        <f>LN_IB2+LN_IB14</f>
        <v>42126979</v>
      </c>
      <c r="E67" s="448">
        <f>D67-C67</f>
        <v>-6050009</v>
      </c>
      <c r="F67" s="449">
        <f>IF(C67=0,0,E67/C67)</f>
        <v>-0.12557881368590332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47528901</v>
      </c>
      <c r="D68" s="448">
        <f>LN_IB21-LN_IB22</f>
        <v>38233530</v>
      </c>
      <c r="E68" s="448">
        <f>D68-C68</f>
        <v>-9295371</v>
      </c>
      <c r="F68" s="449">
        <f>IF(C68=0,0,E68/C68)</f>
        <v>-0.19557302618884456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-14235251.844487987</v>
      </c>
      <c r="D70" s="441">
        <f>LN_IB9+LN_IB20</f>
        <v>-21673606.28994086</v>
      </c>
      <c r="E70" s="448">
        <f>D70-C70</f>
        <v>-7438354.4454528727</v>
      </c>
      <c r="F70" s="449">
        <f>IF(C70=0,0,E70/C70)</f>
        <v>0.52253058300005195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91235379</v>
      </c>
      <c r="D73" s="488">
        <v>76994635</v>
      </c>
      <c r="E73" s="488">
        <f>D73-C73</f>
        <v>-14240744</v>
      </c>
      <c r="F73" s="489">
        <f>IF(C73=0,0,E73/C73)</f>
        <v>-0.15608795794008815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48013405</v>
      </c>
      <c r="D74" s="488">
        <v>41945973</v>
      </c>
      <c r="E74" s="488">
        <f>D74-C74</f>
        <v>-6067432</v>
      </c>
      <c r="F74" s="489">
        <f>IF(C74=0,0,E74/C74)</f>
        <v>-0.12636954200602935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43221974</v>
      </c>
      <c r="D76" s="441">
        <f>LN_IB32-LN_IB33</f>
        <v>35048662</v>
      </c>
      <c r="E76" s="488">
        <f>D76-C76</f>
        <v>-8173312</v>
      </c>
      <c r="F76" s="489">
        <f>IF(E76=0,0,E76/C76)</f>
        <v>-0.18910084948919734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0.47374137613874545</v>
      </c>
      <c r="D77" s="453">
        <f>IF(LN_IB32=0,0,LN_IB34/LN_IB32)</f>
        <v>0.45520914541643065</v>
      </c>
      <c r="E77" s="493">
        <f>D77-C77</f>
        <v>-1.8532230722314802E-2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853569</v>
      </c>
      <c r="D83" s="448">
        <v>622422</v>
      </c>
      <c r="E83" s="448">
        <f t="shared" ref="E83:E95" si="8">D83-C83</f>
        <v>-231147</v>
      </c>
      <c r="F83" s="449">
        <f t="shared" ref="F83:F95" si="9">IF(C83=0,0,E83/C83)</f>
        <v>-0.27080060311468668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33482</v>
      </c>
      <c r="D84" s="448">
        <v>41073</v>
      </c>
      <c r="E84" s="448">
        <f t="shared" si="8"/>
        <v>7591</v>
      </c>
      <c r="F84" s="449">
        <f t="shared" si="9"/>
        <v>0.22671883400035839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3.9225885663607747E-2</v>
      </c>
      <c r="D85" s="453">
        <f>IF(LN_IC1=0,0,LN_IC2/LN_IC1)</f>
        <v>6.5988991391692453E-2</v>
      </c>
      <c r="E85" s="454">
        <f t="shared" si="8"/>
        <v>2.6763105728084706E-2</v>
      </c>
      <c r="F85" s="449">
        <f t="shared" si="9"/>
        <v>0.68228174521281681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54</v>
      </c>
      <c r="D86" s="456">
        <v>38</v>
      </c>
      <c r="E86" s="456">
        <f t="shared" si="8"/>
        <v>-16</v>
      </c>
      <c r="F86" s="449">
        <f t="shared" si="9"/>
        <v>-0.29629629629629628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0.87460000000000004</v>
      </c>
      <c r="D87" s="459">
        <v>1.0138</v>
      </c>
      <c r="E87" s="460">
        <f t="shared" si="8"/>
        <v>0.13919999999999999</v>
      </c>
      <c r="F87" s="449">
        <f t="shared" si="9"/>
        <v>0.15915847244454606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47.228400000000001</v>
      </c>
      <c r="D88" s="463">
        <f>LN_IC4*LN_IC5</f>
        <v>38.5244</v>
      </c>
      <c r="E88" s="463">
        <f t="shared" si="8"/>
        <v>-8.7040000000000006</v>
      </c>
      <c r="F88" s="449">
        <f t="shared" si="9"/>
        <v>-0.18429588976124536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708.93784248460668</v>
      </c>
      <c r="D89" s="465">
        <f>IF(LN_IC6=0,0,LN_IC2/LN_IC6)</f>
        <v>1066.1554754908577</v>
      </c>
      <c r="E89" s="465">
        <f t="shared" si="8"/>
        <v>357.21763300625105</v>
      </c>
      <c r="F89" s="449">
        <f t="shared" si="9"/>
        <v>0.50387722533517798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7921.093503383604</v>
      </c>
      <c r="D90" s="465">
        <f>LN_IB7-LN_IC7</f>
        <v>8491.8489426053038</v>
      </c>
      <c r="E90" s="465">
        <f t="shared" si="8"/>
        <v>570.75543922169982</v>
      </c>
      <c r="F90" s="449">
        <f t="shared" si="9"/>
        <v>7.2055132157939281E-2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6845.3032340136215</v>
      </c>
      <c r="D91" s="465">
        <f>LN_IA7-LN_IC7</f>
        <v>6588.8730410497355</v>
      </c>
      <c r="E91" s="465">
        <f t="shared" si="8"/>
        <v>-256.43019296388593</v>
      </c>
      <c r="F91" s="449">
        <f t="shared" si="9"/>
        <v>-3.746074997667162E-2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323292.7192572889</v>
      </c>
      <c r="D92" s="441">
        <f>LN_IC9*LN_IC6</f>
        <v>253832.38058261643</v>
      </c>
      <c r="E92" s="441">
        <f t="shared" si="8"/>
        <v>-69460.338674672472</v>
      </c>
      <c r="F92" s="449">
        <f t="shared" si="9"/>
        <v>-0.21485277748984269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165</v>
      </c>
      <c r="D93" s="456">
        <v>111</v>
      </c>
      <c r="E93" s="456">
        <f t="shared" si="8"/>
        <v>-54</v>
      </c>
      <c r="F93" s="449">
        <f t="shared" si="9"/>
        <v>-0.32727272727272727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202.92121212121211</v>
      </c>
      <c r="D94" s="499">
        <f>IF(LN_IC11=0,0,LN_IC2/LN_IC11)</f>
        <v>370.02702702702703</v>
      </c>
      <c r="E94" s="499">
        <f t="shared" si="8"/>
        <v>167.10581490581492</v>
      </c>
      <c r="F94" s="449">
        <f t="shared" si="9"/>
        <v>0.8235009694599924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3.0555555555555554</v>
      </c>
      <c r="D95" s="466">
        <f>IF(LN_IC4=0,0,LN_IC11/LN_IC4)</f>
        <v>2.9210526315789473</v>
      </c>
      <c r="E95" s="466">
        <f t="shared" si="8"/>
        <v>-0.13450292397660801</v>
      </c>
      <c r="F95" s="449">
        <f t="shared" si="9"/>
        <v>-4.4019138755980805E-2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3616941</v>
      </c>
      <c r="D98" s="448">
        <v>2743452</v>
      </c>
      <c r="E98" s="448">
        <f t="shared" ref="E98:E106" si="10">D98-C98</f>
        <v>-873489</v>
      </c>
      <c r="F98" s="449">
        <f t="shared" ref="F98:F106" si="11">IF(C98=0,0,E98/C98)</f>
        <v>-0.24149937751265504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141878</v>
      </c>
      <c r="D99" s="448">
        <v>181039</v>
      </c>
      <c r="E99" s="448">
        <f t="shared" si="10"/>
        <v>39161</v>
      </c>
      <c r="F99" s="449">
        <f t="shared" si="11"/>
        <v>0.27601883308194364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3.9225964703322506E-2</v>
      </c>
      <c r="D100" s="453">
        <f>IF(LN_IC14=0,0,LN_IC15/LN_IC14)</f>
        <v>6.5989490612556739E-2</v>
      </c>
      <c r="E100" s="454">
        <f t="shared" si="10"/>
        <v>2.6763525909234233E-2</v>
      </c>
      <c r="F100" s="449">
        <f t="shared" si="11"/>
        <v>0.68229108223735579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4.237432474703275</v>
      </c>
      <c r="D101" s="453">
        <f>IF(LN_IC1=0,0,LN_IC14/LN_IC1)</f>
        <v>4.4077040978628643</v>
      </c>
      <c r="E101" s="454">
        <f t="shared" si="10"/>
        <v>0.17027162315958932</v>
      </c>
      <c r="F101" s="449">
        <f t="shared" si="11"/>
        <v>4.0182734279798182E-2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228.82135363397686</v>
      </c>
      <c r="D102" s="463">
        <f>LN_IC17*LN_IC4</f>
        <v>167.49275571878886</v>
      </c>
      <c r="E102" s="463">
        <f t="shared" si="10"/>
        <v>-61.328597915187999</v>
      </c>
      <c r="F102" s="449">
        <f t="shared" si="11"/>
        <v>-0.26801955735866051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620.03828640463496</v>
      </c>
      <c r="D103" s="465">
        <f>IF(LN_IC18=0,0,LN_IC15/LN_IC18)</f>
        <v>1080.8765980539156</v>
      </c>
      <c r="E103" s="465">
        <f t="shared" si="10"/>
        <v>460.83831164928063</v>
      </c>
      <c r="F103" s="449">
        <f t="shared" si="11"/>
        <v>0.74324170257534561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9963.7303772465202</v>
      </c>
      <c r="D104" s="465">
        <f>LN_IB18-LN_IC19</f>
        <v>12648.777583136351</v>
      </c>
      <c r="E104" s="465">
        <f t="shared" si="10"/>
        <v>2685.0472058898304</v>
      </c>
      <c r="F104" s="449">
        <f t="shared" si="11"/>
        <v>0.26948212207964661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6478.7401460007504</v>
      </c>
      <c r="D105" s="465">
        <f>LN_IA16-LN_IC19</f>
        <v>4753.8978017789341</v>
      </c>
      <c r="E105" s="465">
        <f t="shared" si="10"/>
        <v>-1724.8423442218163</v>
      </c>
      <c r="F105" s="449">
        <f t="shared" si="11"/>
        <v>-0.26623113527504899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1482474.0900506806</v>
      </c>
      <c r="D106" s="448">
        <f>LN_IC21*LN_IC18</f>
        <v>796243.44322544639</v>
      </c>
      <c r="E106" s="448">
        <f t="shared" si="10"/>
        <v>-686230.64682523417</v>
      </c>
      <c r="F106" s="449">
        <f t="shared" si="11"/>
        <v>-0.46289554160219715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4470510</v>
      </c>
      <c r="D109" s="448">
        <f>LN_IC1+LN_IC14</f>
        <v>3365874</v>
      </c>
      <c r="E109" s="448">
        <f>D109-C109</f>
        <v>-1104636</v>
      </c>
      <c r="F109" s="449">
        <f>IF(C109=0,0,E109/C109)</f>
        <v>-0.24709395572317253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175360</v>
      </c>
      <c r="D110" s="448">
        <f>LN_IC2+LN_IC15</f>
        <v>222112</v>
      </c>
      <c r="E110" s="448">
        <f>D110-C110</f>
        <v>46752</v>
      </c>
      <c r="F110" s="449">
        <f>IF(C110=0,0,E110/C110)</f>
        <v>0.26660583941605842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4295150</v>
      </c>
      <c r="D111" s="448">
        <f>LN_IC23-LN_IC24</f>
        <v>3143762</v>
      </c>
      <c r="E111" s="448">
        <f>D111-C111</f>
        <v>-1151388</v>
      </c>
      <c r="F111" s="449">
        <f>IF(C111=0,0,E111/C111)</f>
        <v>-0.26806700580887743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1805766.8093079694</v>
      </c>
      <c r="D113" s="448">
        <f>LN_IC10+LN_IC22</f>
        <v>1050075.8238080628</v>
      </c>
      <c r="E113" s="448">
        <f>D113-C113</f>
        <v>-755690.98549990659</v>
      </c>
      <c r="F113" s="449">
        <f>IF(C113=0,0,E113/C113)</f>
        <v>-0.41848758189852475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4417970</v>
      </c>
      <c r="D118" s="448">
        <v>4213322</v>
      </c>
      <c r="E118" s="448">
        <f t="shared" ref="E118:E130" si="12">D118-C118</f>
        <v>-204648</v>
      </c>
      <c r="F118" s="449">
        <f t="shared" ref="F118:F130" si="13">IF(C118=0,0,E118/C118)</f>
        <v>-4.6321726946991493E-2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1749046</v>
      </c>
      <c r="D119" s="448">
        <v>1425738</v>
      </c>
      <c r="E119" s="448">
        <f t="shared" si="12"/>
        <v>-323308</v>
      </c>
      <c r="F119" s="449">
        <f t="shared" si="13"/>
        <v>-0.18484819724581286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0.39589358913709238</v>
      </c>
      <c r="D120" s="453">
        <f>IF(LN_ID1=0,0,LN_1D2/LN_ID1)</f>
        <v>0.3383880937654421</v>
      </c>
      <c r="E120" s="454">
        <f t="shared" si="12"/>
        <v>-5.7505495371650284E-2</v>
      </c>
      <c r="F120" s="449">
        <f t="shared" si="13"/>
        <v>-0.14525492947989349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265</v>
      </c>
      <c r="D121" s="456">
        <v>188</v>
      </c>
      <c r="E121" s="456">
        <f t="shared" si="12"/>
        <v>-77</v>
      </c>
      <c r="F121" s="449">
        <f t="shared" si="13"/>
        <v>-0.29056603773584905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0.7772</v>
      </c>
      <c r="D122" s="459">
        <v>0.99209999999999998</v>
      </c>
      <c r="E122" s="460">
        <f t="shared" si="12"/>
        <v>0.21489999999999998</v>
      </c>
      <c r="F122" s="449">
        <f t="shared" si="13"/>
        <v>0.27650540401441071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205.958</v>
      </c>
      <c r="D123" s="463">
        <f>LN_ID4*LN_ID5</f>
        <v>186.51480000000001</v>
      </c>
      <c r="E123" s="463">
        <f t="shared" si="12"/>
        <v>-19.44319999999999</v>
      </c>
      <c r="F123" s="449">
        <f t="shared" si="13"/>
        <v>-9.4403713378455753E-2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8492.2459919012617</v>
      </c>
      <c r="D124" s="465">
        <f>IF(LN_ID6=0,0,LN_1D2/LN_ID6)</f>
        <v>7644.1011651622284</v>
      </c>
      <c r="E124" s="465">
        <f t="shared" si="12"/>
        <v>-848.14482673903331</v>
      </c>
      <c r="F124" s="449">
        <f t="shared" si="13"/>
        <v>-9.9872851957877498E-2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137.78535396694861</v>
      </c>
      <c r="D125" s="465">
        <f>LN_IB7-LN_ID7</f>
        <v>1913.9032529339329</v>
      </c>
      <c r="E125" s="465">
        <f t="shared" si="12"/>
        <v>1776.1178989669843</v>
      </c>
      <c r="F125" s="449">
        <f t="shared" si="13"/>
        <v>12.890469471762813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-938.00491540303392</v>
      </c>
      <c r="D126" s="465">
        <f>LN_IA7-LN_ID7</f>
        <v>10.927351378364619</v>
      </c>
      <c r="E126" s="465">
        <f t="shared" si="12"/>
        <v>948.93226678139854</v>
      </c>
      <c r="F126" s="449">
        <f t="shared" si="13"/>
        <v>-1.0116495672878958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-193189.61636657806</v>
      </c>
      <c r="D127" s="479">
        <f>LN_ID9*LN_ID6</f>
        <v>2038.1127568654015</v>
      </c>
      <c r="E127" s="479">
        <f t="shared" si="12"/>
        <v>195227.72912344345</v>
      </c>
      <c r="F127" s="449">
        <f t="shared" si="13"/>
        <v>-1.0105498048766661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889</v>
      </c>
      <c r="D128" s="456">
        <v>703</v>
      </c>
      <c r="E128" s="456">
        <f t="shared" si="12"/>
        <v>-186</v>
      </c>
      <c r="F128" s="449">
        <f t="shared" si="13"/>
        <v>-0.20922384701912261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1967.4308211473565</v>
      </c>
      <c r="D129" s="465">
        <f>IF(LN_ID11=0,0,LN_1D2/LN_ID11)</f>
        <v>2028.076813655761</v>
      </c>
      <c r="E129" s="465">
        <f t="shared" si="12"/>
        <v>60.645992508404561</v>
      </c>
      <c r="F129" s="449">
        <f t="shared" si="13"/>
        <v>3.0824968205508407E-2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3.3547169811320754</v>
      </c>
      <c r="D130" s="466">
        <f>IF(LN_ID4=0,0,LN_ID11/LN_ID4)</f>
        <v>3.7393617021276597</v>
      </c>
      <c r="E130" s="466">
        <f t="shared" si="12"/>
        <v>0.38464472099558433</v>
      </c>
      <c r="F130" s="449">
        <f t="shared" si="13"/>
        <v>0.11465787521240703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12991913</v>
      </c>
      <c r="D133" s="448">
        <v>13357895</v>
      </c>
      <c r="E133" s="448">
        <f t="shared" ref="E133:E141" si="14">D133-C133</f>
        <v>365982</v>
      </c>
      <c r="F133" s="449">
        <f t="shared" ref="F133:F141" si="15">IF(C133=0,0,E133/C133)</f>
        <v>2.8169985436324887E-2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3269852</v>
      </c>
      <c r="D134" s="448">
        <v>3088780</v>
      </c>
      <c r="E134" s="448">
        <f t="shared" si="14"/>
        <v>-181072</v>
      </c>
      <c r="F134" s="449">
        <f t="shared" si="15"/>
        <v>-5.5376206629535525E-2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0.25168364350962019</v>
      </c>
      <c r="D135" s="453">
        <f>IF(LN_ID14=0,0,LN_ID15/LN_ID14)</f>
        <v>0.23123254075586011</v>
      </c>
      <c r="E135" s="454">
        <f t="shared" si="14"/>
        <v>-2.0451102753760081E-2</v>
      </c>
      <c r="F135" s="449">
        <f t="shared" si="15"/>
        <v>-8.1257178530071514E-2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2.9406974243826918</v>
      </c>
      <c r="D136" s="453">
        <f>IF(LN_ID1=0,0,LN_ID14/LN_ID1)</f>
        <v>3.1703949994802203</v>
      </c>
      <c r="E136" s="454">
        <f t="shared" si="14"/>
        <v>0.22969757509752853</v>
      </c>
      <c r="F136" s="449">
        <f t="shared" si="15"/>
        <v>7.8109897738202844E-2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779.28481746141335</v>
      </c>
      <c r="D137" s="463">
        <f>LN_ID17*LN_ID4</f>
        <v>596.03425990228141</v>
      </c>
      <c r="E137" s="463">
        <f t="shared" si="14"/>
        <v>-183.25055755913195</v>
      </c>
      <c r="F137" s="449">
        <f t="shared" si="15"/>
        <v>-0.23515222349138823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4195.9652321365911</v>
      </c>
      <c r="D138" s="465">
        <f>IF(LN_ID18=0,0,LN_ID15/LN_ID18)</f>
        <v>5182.2188887370321</v>
      </c>
      <c r="E138" s="465">
        <f t="shared" si="14"/>
        <v>986.25365660044099</v>
      </c>
      <c r="F138" s="449">
        <f t="shared" si="15"/>
        <v>0.23504810026708428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6387.8034315145642</v>
      </c>
      <c r="D139" s="465">
        <f>LN_IB18-LN_ID19</f>
        <v>8547.4352924532341</v>
      </c>
      <c r="E139" s="465">
        <f t="shared" si="14"/>
        <v>2159.6318609386699</v>
      </c>
      <c r="F139" s="449">
        <f t="shared" si="15"/>
        <v>0.33808677491295558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2902.8132002687944</v>
      </c>
      <c r="D140" s="465">
        <f>LN_IA16-LN_ID19</f>
        <v>652.55551109581756</v>
      </c>
      <c r="E140" s="465">
        <f t="shared" si="14"/>
        <v>-2250.2576891729768</v>
      </c>
      <c r="F140" s="449">
        <f t="shared" si="15"/>
        <v>-0.77519893080429969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2262118.2548960485</v>
      </c>
      <c r="D141" s="441">
        <f>LN_ID21*LN_ID18</f>
        <v>388945.44110115059</v>
      </c>
      <c r="E141" s="441">
        <f t="shared" si="14"/>
        <v>-1873172.8137948979</v>
      </c>
      <c r="F141" s="449">
        <f t="shared" si="15"/>
        <v>-0.82806140206890999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17409883</v>
      </c>
      <c r="D144" s="448">
        <f>LN_ID1+LN_ID14</f>
        <v>17571217</v>
      </c>
      <c r="E144" s="448">
        <f>D144-C144</f>
        <v>161334</v>
      </c>
      <c r="F144" s="449">
        <f>IF(C144=0,0,E144/C144)</f>
        <v>9.2668055264931992E-3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5018898</v>
      </c>
      <c r="D145" s="448">
        <f>LN_1D2+LN_ID15</f>
        <v>4514518</v>
      </c>
      <c r="E145" s="448">
        <f>D145-C145</f>
        <v>-504380</v>
      </c>
      <c r="F145" s="449">
        <f>IF(C145=0,0,E145/C145)</f>
        <v>-0.10049616469591532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12390985</v>
      </c>
      <c r="D146" s="448">
        <f>LN_ID23-LN_ID24</f>
        <v>13056699</v>
      </c>
      <c r="E146" s="448">
        <f>D146-C146</f>
        <v>665714</v>
      </c>
      <c r="F146" s="449">
        <f>IF(C146=0,0,E146/C146)</f>
        <v>5.3725672333555401E-2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2068928.6385294704</v>
      </c>
      <c r="D148" s="448">
        <f>LN_ID10+LN_ID22</f>
        <v>390983.55385801598</v>
      </c>
      <c r="E148" s="448">
        <f>D148-C148</f>
        <v>-1677945.0846714545</v>
      </c>
      <c r="F148" s="503">
        <f>IF(C148=0,0,E148/C148)</f>
        <v>-0.81102124714368362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72562</v>
      </c>
      <c r="D153" s="448">
        <v>123882</v>
      </c>
      <c r="E153" s="448">
        <f t="shared" ref="E153:E165" si="16">D153-C153</f>
        <v>51320</v>
      </c>
      <c r="F153" s="449">
        <f t="shared" ref="F153:F165" si="17">IF(C153=0,0,E153/C153)</f>
        <v>0.70725724208263274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28844</v>
      </c>
      <c r="D154" s="448">
        <v>41920</v>
      </c>
      <c r="E154" s="448">
        <f t="shared" si="16"/>
        <v>13076</v>
      </c>
      <c r="F154" s="449">
        <f t="shared" si="17"/>
        <v>0.45333518236028292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0.39750833769741739</v>
      </c>
      <c r="D155" s="453">
        <f>IF(LN_IE1=0,0,LN_IE2/LN_IE1)</f>
        <v>0.33838652911641726</v>
      </c>
      <c r="E155" s="454">
        <f t="shared" si="16"/>
        <v>-5.9121808581000135E-2</v>
      </c>
      <c r="F155" s="449">
        <f t="shared" si="17"/>
        <v>-0.14873098995474038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8</v>
      </c>
      <c r="D156" s="506">
        <v>6</v>
      </c>
      <c r="E156" s="506">
        <f t="shared" si="16"/>
        <v>-2</v>
      </c>
      <c r="F156" s="449">
        <f t="shared" si="17"/>
        <v>-0.25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0.752</v>
      </c>
      <c r="D157" s="459">
        <v>1.111</v>
      </c>
      <c r="E157" s="460">
        <f t="shared" si="16"/>
        <v>0.35899999999999999</v>
      </c>
      <c r="F157" s="449">
        <f t="shared" si="17"/>
        <v>0.47739361702127658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6.016</v>
      </c>
      <c r="D158" s="463">
        <f>LN_IE4*LN_IE5</f>
        <v>6.6660000000000004</v>
      </c>
      <c r="E158" s="463">
        <f t="shared" si="16"/>
        <v>0.65000000000000036</v>
      </c>
      <c r="F158" s="449">
        <f t="shared" si="17"/>
        <v>0.10804521276595751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4794.5478723404258</v>
      </c>
      <c r="D159" s="465">
        <f>IF(LN_IE6=0,0,LN_IE2/LN_IE6)</f>
        <v>6288.6288628862885</v>
      </c>
      <c r="E159" s="465">
        <f t="shared" si="16"/>
        <v>1494.0809905458627</v>
      </c>
      <c r="F159" s="449">
        <f t="shared" si="17"/>
        <v>0.31162083064498369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3835.4834735277846</v>
      </c>
      <c r="D160" s="465">
        <f>LN_IB7-LN_IE7</f>
        <v>3269.3755552098728</v>
      </c>
      <c r="E160" s="465">
        <f t="shared" si="16"/>
        <v>-566.10791831791175</v>
      </c>
      <c r="F160" s="449">
        <f t="shared" si="17"/>
        <v>-0.14759753815265939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2759.693204157802</v>
      </c>
      <c r="D161" s="465">
        <f>LN_IA7-LN_IE7</f>
        <v>1366.3996536543045</v>
      </c>
      <c r="E161" s="465">
        <f t="shared" si="16"/>
        <v>-1393.2935505034975</v>
      </c>
      <c r="F161" s="449">
        <f t="shared" si="17"/>
        <v>-0.5048726243932975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16602.314316213338</v>
      </c>
      <c r="D162" s="479">
        <f>LN_IE9*LN_IE6</f>
        <v>9108.4200912595952</v>
      </c>
      <c r="E162" s="479">
        <f t="shared" si="16"/>
        <v>-7493.8942249537431</v>
      </c>
      <c r="F162" s="449">
        <f t="shared" si="17"/>
        <v>-0.45137648174962108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11</v>
      </c>
      <c r="D163" s="456">
        <v>13</v>
      </c>
      <c r="E163" s="506">
        <f t="shared" si="16"/>
        <v>2</v>
      </c>
      <c r="F163" s="449">
        <f t="shared" si="17"/>
        <v>0.18181818181818182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2622.181818181818</v>
      </c>
      <c r="D164" s="465">
        <f>IF(LN_IE11=0,0,LN_IE2/LN_IE11)</f>
        <v>3224.6153846153848</v>
      </c>
      <c r="E164" s="465">
        <f t="shared" si="16"/>
        <v>602.43356643356674</v>
      </c>
      <c r="F164" s="449">
        <f t="shared" si="17"/>
        <v>0.2297451543048549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1.375</v>
      </c>
      <c r="D165" s="466">
        <f>IF(LN_IE4=0,0,LN_IE11/LN_IE4)</f>
        <v>2.1666666666666665</v>
      </c>
      <c r="E165" s="466">
        <f t="shared" si="16"/>
        <v>0.79166666666666652</v>
      </c>
      <c r="F165" s="449">
        <f t="shared" si="17"/>
        <v>0.57575757575757569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388158</v>
      </c>
      <c r="D168" s="511">
        <v>333004</v>
      </c>
      <c r="E168" s="511">
        <f t="shared" ref="E168:E176" si="18">D168-C168</f>
        <v>-55154</v>
      </c>
      <c r="F168" s="449">
        <f t="shared" ref="F168:F176" si="19">IF(C168=0,0,E168/C168)</f>
        <v>-0.14209162248362781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98344</v>
      </c>
      <c r="D169" s="511">
        <v>77001</v>
      </c>
      <c r="E169" s="511">
        <f t="shared" si="18"/>
        <v>-21343</v>
      </c>
      <c r="F169" s="449">
        <f t="shared" si="19"/>
        <v>-0.21702391604978444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0.25336074485132343</v>
      </c>
      <c r="D170" s="453">
        <f>IF(LN_IE14=0,0,LN_IE15/LN_IE14)</f>
        <v>0.23123145667919906</v>
      </c>
      <c r="E170" s="454">
        <f t="shared" si="18"/>
        <v>-2.2129288172124367E-2</v>
      </c>
      <c r="F170" s="449">
        <f t="shared" si="19"/>
        <v>-8.7343002504631201E-2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5.3493288498111964</v>
      </c>
      <c r="D171" s="453">
        <f>IF(LN_IE1=0,0,LN_IE14/LN_IE1)</f>
        <v>2.6880741350640127</v>
      </c>
      <c r="E171" s="454">
        <f t="shared" si="18"/>
        <v>-2.6612547147471837</v>
      </c>
      <c r="F171" s="449">
        <f t="shared" si="19"/>
        <v>-0.49749319764499284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42.794630798489571</v>
      </c>
      <c r="D172" s="463">
        <f>LN_IE17*LN_IE4</f>
        <v>16.128444810384075</v>
      </c>
      <c r="E172" s="463">
        <f t="shared" si="18"/>
        <v>-26.666185988105497</v>
      </c>
      <c r="F172" s="449">
        <f t="shared" si="19"/>
        <v>-0.6231198982337447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2298.0452959877161</v>
      </c>
      <c r="D173" s="465">
        <f>IF(LN_IE18=0,0,LN_IE15/LN_IE18)</f>
        <v>4774.2358860554232</v>
      </c>
      <c r="E173" s="465">
        <f t="shared" si="18"/>
        <v>2476.190590067707</v>
      </c>
      <c r="F173" s="449">
        <f t="shared" si="19"/>
        <v>1.0775203580151465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8285.7233676634387</v>
      </c>
      <c r="D174" s="465">
        <f>LN_IB18-LN_IE19</f>
        <v>8955.418295134843</v>
      </c>
      <c r="E174" s="465">
        <f t="shared" si="18"/>
        <v>669.6949274714043</v>
      </c>
      <c r="F174" s="449">
        <f t="shared" si="19"/>
        <v>8.0825161274996463E-2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4800.7331364176698</v>
      </c>
      <c r="D175" s="465">
        <f>LN_IA16-LN_IE19</f>
        <v>1060.5385137774265</v>
      </c>
      <c r="E175" s="465">
        <f t="shared" si="18"/>
        <v>-3740.1946226402433</v>
      </c>
      <c r="F175" s="449">
        <f t="shared" si="19"/>
        <v>-0.77908821764485636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205445.60213506906</v>
      </c>
      <c r="D176" s="441">
        <f>LN_IE21*LN_IE18</f>
        <v>17104.836888745973</v>
      </c>
      <c r="E176" s="441">
        <f t="shared" si="18"/>
        <v>-188340.76524632308</v>
      </c>
      <c r="F176" s="449">
        <f t="shared" si="19"/>
        <v>-0.9167427449846286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460720</v>
      </c>
      <c r="D179" s="448">
        <f>LN_IE1+LN_IE14</f>
        <v>456886</v>
      </c>
      <c r="E179" s="448">
        <f>D179-C179</f>
        <v>-3834</v>
      </c>
      <c r="F179" s="449">
        <f>IF(C179=0,0,E179/C179)</f>
        <v>-8.3217572495224868E-3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127188</v>
      </c>
      <c r="D180" s="448">
        <f>LN_IE15+LN_IE2</f>
        <v>118921</v>
      </c>
      <c r="E180" s="448">
        <f>D180-C180</f>
        <v>-8267</v>
      </c>
      <c r="F180" s="449">
        <f>IF(C180=0,0,E180/C180)</f>
        <v>-6.4998270277070169E-2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333532</v>
      </c>
      <c r="D181" s="448">
        <f>LN_IE23-LN_IE24</f>
        <v>337965</v>
      </c>
      <c r="E181" s="448">
        <f>D181-C181</f>
        <v>4433</v>
      </c>
      <c r="F181" s="449">
        <f>IF(C181=0,0,E181/C181)</f>
        <v>1.3291078517203746E-2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222047.91645128239</v>
      </c>
      <c r="D183" s="448">
        <f>LN_IE10+LN_IE22</f>
        <v>26213.256980005568</v>
      </c>
      <c r="E183" s="441">
        <f>D183-C183</f>
        <v>-195834.65947127683</v>
      </c>
      <c r="F183" s="449">
        <f>IF(C183=0,0,E183/C183)</f>
        <v>-0.88194774623901151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4490532</v>
      </c>
      <c r="D188" s="448">
        <f>LN_ID1+LN_IE1</f>
        <v>4337204</v>
      </c>
      <c r="E188" s="448">
        <f t="shared" ref="E188:E200" si="20">D188-C188</f>
        <v>-153328</v>
      </c>
      <c r="F188" s="449">
        <f t="shared" ref="F188:F200" si="21">IF(C188=0,0,E188/C188)</f>
        <v>-3.4144729399545534E-2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1777890</v>
      </c>
      <c r="D189" s="448">
        <f>LN_1D2+LN_IE2</f>
        <v>1467658</v>
      </c>
      <c r="E189" s="448">
        <f t="shared" si="20"/>
        <v>-310232</v>
      </c>
      <c r="F189" s="449">
        <f t="shared" si="21"/>
        <v>-0.17449448503563211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0.39591968167691488</v>
      </c>
      <c r="D190" s="453">
        <f>IF(LN_IF1=0,0,LN_IF2/LN_IF1)</f>
        <v>0.33838804907493397</v>
      </c>
      <c r="E190" s="454">
        <f t="shared" si="20"/>
        <v>-5.7531632601980909E-2</v>
      </c>
      <c r="F190" s="449">
        <f t="shared" si="21"/>
        <v>-0.14531137315100404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273</v>
      </c>
      <c r="D191" s="456">
        <f>LN_ID4+LN_IE4</f>
        <v>194</v>
      </c>
      <c r="E191" s="456">
        <f t="shared" si="20"/>
        <v>-79</v>
      </c>
      <c r="F191" s="449">
        <f t="shared" si="21"/>
        <v>-0.2893772893772894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0.77646153846153843</v>
      </c>
      <c r="D192" s="459">
        <f>IF((LN_ID4+LN_IE4)=0,0,(LN_ID6+LN_IE6)/(LN_ID4+LN_IE4))</f>
        <v>0.99577731958762894</v>
      </c>
      <c r="E192" s="460">
        <f t="shared" si="20"/>
        <v>0.21931578112609051</v>
      </c>
      <c r="F192" s="449">
        <f t="shared" si="21"/>
        <v>0.28245543438073872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211.97399999999999</v>
      </c>
      <c r="D193" s="463">
        <f>LN_IF4*LN_IF5</f>
        <v>193.1808</v>
      </c>
      <c r="E193" s="463">
        <f t="shared" si="20"/>
        <v>-18.793199999999985</v>
      </c>
      <c r="F193" s="449">
        <f t="shared" si="21"/>
        <v>-8.8658042967533685E-2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8387.3022163095484</v>
      </c>
      <c r="D194" s="465">
        <f>IF(LN_IF6=0,0,LN_IF2/LN_IF6)</f>
        <v>7597.3285129785154</v>
      </c>
      <c r="E194" s="465">
        <f t="shared" si="20"/>
        <v>-789.97370333103299</v>
      </c>
      <c r="F194" s="449">
        <f t="shared" si="21"/>
        <v>-9.4186865210948018E-2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242.72912955866195</v>
      </c>
      <c r="D195" s="465">
        <f>LN_IB7-LN_IF7</f>
        <v>1960.6759051176459</v>
      </c>
      <c r="E195" s="465">
        <f t="shared" si="20"/>
        <v>1717.946775558984</v>
      </c>
      <c r="F195" s="449">
        <f t="shared" si="21"/>
        <v>7.0776292020764506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-833.06113981132057</v>
      </c>
      <c r="D196" s="465">
        <f>LN_IA7-LN_IF7</f>
        <v>57.700003562077654</v>
      </c>
      <c r="E196" s="465">
        <f t="shared" si="20"/>
        <v>890.76114337339823</v>
      </c>
      <c r="F196" s="449">
        <f t="shared" si="21"/>
        <v>-1.06926262768078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-176587.30205036473</v>
      </c>
      <c r="D197" s="479">
        <f>LN_IF9*LN_IF6</f>
        <v>11146.532848125011</v>
      </c>
      <c r="E197" s="479">
        <f t="shared" si="20"/>
        <v>187733.83489848973</v>
      </c>
      <c r="F197" s="449">
        <f t="shared" si="21"/>
        <v>-1.063121938659813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900</v>
      </c>
      <c r="D198" s="456">
        <f>LN_ID11+LN_IE11</f>
        <v>716</v>
      </c>
      <c r="E198" s="456">
        <f t="shared" si="20"/>
        <v>-184</v>
      </c>
      <c r="F198" s="449">
        <f t="shared" si="21"/>
        <v>-0.20444444444444446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1975.4333333333334</v>
      </c>
      <c r="D199" s="519">
        <f>IF(LN_IF11=0,0,LN_IF2/LN_IF11)</f>
        <v>2049.8016759776538</v>
      </c>
      <c r="E199" s="519">
        <f t="shared" si="20"/>
        <v>74.368342644320364</v>
      </c>
      <c r="F199" s="449">
        <f t="shared" si="21"/>
        <v>3.7646597022250157E-2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3.2967032967032965</v>
      </c>
      <c r="D200" s="466">
        <f>IF(LN_IF4=0,0,LN_IF11/LN_IF4)</f>
        <v>3.6907216494845363</v>
      </c>
      <c r="E200" s="466">
        <f t="shared" si="20"/>
        <v>0.39401835278123976</v>
      </c>
      <c r="F200" s="449">
        <f t="shared" si="21"/>
        <v>0.11951890034364274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13380071</v>
      </c>
      <c r="D203" s="448">
        <f>LN_ID14+LN_IE14</f>
        <v>13690899</v>
      </c>
      <c r="E203" s="448">
        <f t="shared" ref="E203:E211" si="22">D203-C203</f>
        <v>310828</v>
      </c>
      <c r="F203" s="449">
        <f t="shared" ref="F203:F211" si="23">IF(C203=0,0,E203/C203)</f>
        <v>2.3230668955344109E-2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3368196</v>
      </c>
      <c r="D204" s="448">
        <f>LN_ID15+LN_IE15</f>
        <v>3165781</v>
      </c>
      <c r="E204" s="448">
        <f t="shared" si="22"/>
        <v>-202415</v>
      </c>
      <c r="F204" s="449">
        <f t="shared" si="23"/>
        <v>-6.0095968286881164E-2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0.25173229648781387</v>
      </c>
      <c r="D205" s="453">
        <f>IF(LN_IF14=0,0,LN_IF15/LN_IF14)</f>
        <v>0.23123251438784262</v>
      </c>
      <c r="E205" s="454">
        <f t="shared" si="22"/>
        <v>-2.0499782099971248E-2</v>
      </c>
      <c r="F205" s="449">
        <f t="shared" si="23"/>
        <v>-8.1434851173193115E-2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2.9796182278625341</v>
      </c>
      <c r="D206" s="453">
        <f>IF(LN_IF1=0,0,LN_IF14/LN_IF1)</f>
        <v>3.1566186418715838</v>
      </c>
      <c r="E206" s="454">
        <f t="shared" si="22"/>
        <v>0.17700041400904976</v>
      </c>
      <c r="F206" s="449">
        <f t="shared" si="23"/>
        <v>5.9403722380911593E-2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822.07944825990296</v>
      </c>
      <c r="D207" s="463">
        <f>LN_ID18+LN_IE18</f>
        <v>612.16270471266546</v>
      </c>
      <c r="E207" s="463">
        <f t="shared" si="22"/>
        <v>-209.9167435472375</v>
      </c>
      <c r="F207" s="449">
        <f t="shared" si="23"/>
        <v>-0.25534848729227894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4097.1660429286567</v>
      </c>
      <c r="D208" s="465">
        <f>IF(LN_IF18=0,0,LN_IF15/LN_IF18)</f>
        <v>5171.4698978369515</v>
      </c>
      <c r="E208" s="465">
        <f t="shared" si="22"/>
        <v>1074.3038549082949</v>
      </c>
      <c r="F208" s="449">
        <f t="shared" si="23"/>
        <v>0.26220657001745085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6486.6026207224986</v>
      </c>
      <c r="D209" s="465">
        <f>LN_IB18-LN_IF19</f>
        <v>8558.1842833533155</v>
      </c>
      <c r="E209" s="465">
        <f t="shared" si="22"/>
        <v>2071.5816626308169</v>
      </c>
      <c r="F209" s="449">
        <f t="shared" si="23"/>
        <v>0.31936312176929338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3001.6123894767288</v>
      </c>
      <c r="D210" s="465">
        <f>LN_IA16-LN_IF19</f>
        <v>663.30450199589814</v>
      </c>
      <c r="E210" s="465">
        <f t="shared" si="22"/>
        <v>-2338.3078874808307</v>
      </c>
      <c r="F210" s="449">
        <f t="shared" si="23"/>
        <v>-0.77901726941114735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2467563.8570311177</v>
      </c>
      <c r="D211" s="441">
        <f>LN_IF21*LN_IF18</f>
        <v>406050.2779898966</v>
      </c>
      <c r="E211" s="441">
        <f t="shared" si="22"/>
        <v>-2061513.5790412212</v>
      </c>
      <c r="F211" s="449">
        <f t="shared" si="23"/>
        <v>-0.83544487538472811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17870603</v>
      </c>
      <c r="D214" s="448">
        <f>LN_IF1+LN_IF14</f>
        <v>18028103</v>
      </c>
      <c r="E214" s="448">
        <f>D214-C214</f>
        <v>157500</v>
      </c>
      <c r="F214" s="449">
        <f>IF(C214=0,0,E214/C214)</f>
        <v>8.8133567736914074E-3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5146086</v>
      </c>
      <c r="D215" s="448">
        <f>LN_IF2+LN_IF15</f>
        <v>4633439</v>
      </c>
      <c r="E215" s="448">
        <f>D215-C215</f>
        <v>-512647</v>
      </c>
      <c r="F215" s="449">
        <f>IF(C215=0,0,E215/C215)</f>
        <v>-9.9618817097110304E-2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12724517</v>
      </c>
      <c r="D216" s="448">
        <f>LN_IF23-LN_IF24</f>
        <v>13394664</v>
      </c>
      <c r="E216" s="448">
        <f>D216-C216</f>
        <v>670147</v>
      </c>
      <c r="F216" s="449">
        <f>IF(C216=0,0,E216/C216)</f>
        <v>5.2665810419366015E-2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108538</v>
      </c>
      <c r="D221" s="448">
        <v>40134</v>
      </c>
      <c r="E221" s="448">
        <f t="shared" ref="E221:E230" si="24">D221-C221</f>
        <v>-68404</v>
      </c>
      <c r="F221" s="449">
        <f t="shared" ref="F221:F230" si="25">IF(C221=0,0,E221/C221)</f>
        <v>-0.63023088687832829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35808</v>
      </c>
      <c r="D222" s="448">
        <v>37373</v>
      </c>
      <c r="E222" s="448">
        <f t="shared" si="24"/>
        <v>1565</v>
      </c>
      <c r="F222" s="449">
        <f t="shared" si="25"/>
        <v>4.3705317247542445E-2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0.32991210451639058</v>
      </c>
      <c r="D223" s="453">
        <f>IF(LN_IG1=0,0,LN_IG2/LN_IG1)</f>
        <v>0.93120546170329399</v>
      </c>
      <c r="E223" s="454">
        <f t="shared" si="24"/>
        <v>0.60129335718690347</v>
      </c>
      <c r="F223" s="449">
        <f t="shared" si="25"/>
        <v>1.8225865282158213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9</v>
      </c>
      <c r="D224" s="456">
        <v>2</v>
      </c>
      <c r="E224" s="456">
        <f t="shared" si="24"/>
        <v>-7</v>
      </c>
      <c r="F224" s="449">
        <f t="shared" si="25"/>
        <v>-0.77777777777777779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0.77890000000000004</v>
      </c>
      <c r="D225" s="459">
        <v>1.1599999999999999</v>
      </c>
      <c r="E225" s="460">
        <f t="shared" si="24"/>
        <v>0.38109999999999988</v>
      </c>
      <c r="F225" s="449">
        <f t="shared" si="25"/>
        <v>0.48927975349852337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7.0101000000000004</v>
      </c>
      <c r="D226" s="463">
        <f>LN_IG3*LN_IG4</f>
        <v>2.3199999999999998</v>
      </c>
      <c r="E226" s="463">
        <f t="shared" si="24"/>
        <v>-4.690100000000001</v>
      </c>
      <c r="F226" s="449">
        <f t="shared" si="25"/>
        <v>-0.66904894366699486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5108.0583729190739</v>
      </c>
      <c r="D227" s="465">
        <f>IF(LN_IG5=0,0,LN_IG2/LN_IG5)</f>
        <v>16109.051724137933</v>
      </c>
      <c r="E227" s="465">
        <f t="shared" si="24"/>
        <v>11000.993351218858</v>
      </c>
      <c r="F227" s="449">
        <f t="shared" si="25"/>
        <v>2.1536545881193958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27</v>
      </c>
      <c r="D228" s="456">
        <v>3</v>
      </c>
      <c r="E228" s="456">
        <f t="shared" si="24"/>
        <v>-24</v>
      </c>
      <c r="F228" s="449">
        <f t="shared" si="25"/>
        <v>-0.88888888888888884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1326.2222222222222</v>
      </c>
      <c r="D229" s="465">
        <f>IF(LN_IG6=0,0,LN_IG2/LN_IG6)</f>
        <v>12457.666666666666</v>
      </c>
      <c r="E229" s="465">
        <f t="shared" si="24"/>
        <v>11131.444444444443</v>
      </c>
      <c r="F229" s="449">
        <f t="shared" si="25"/>
        <v>8.3933478552278817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</v>
      </c>
      <c r="D230" s="466">
        <f>IF(LN_IG3=0,0,LN_IG6/LN_IG3)</f>
        <v>1.5</v>
      </c>
      <c r="E230" s="466">
        <f t="shared" si="24"/>
        <v>-1.5</v>
      </c>
      <c r="F230" s="449">
        <f t="shared" si="25"/>
        <v>-0.5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284523</v>
      </c>
      <c r="D233" s="448">
        <v>221308</v>
      </c>
      <c r="E233" s="448">
        <f>D233-C233</f>
        <v>-63215</v>
      </c>
      <c r="F233" s="449">
        <f>IF(C233=0,0,E233/C233)</f>
        <v>-0.22217887481855597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65299</v>
      </c>
      <c r="D234" s="448">
        <v>49868</v>
      </c>
      <c r="E234" s="448">
        <f>D234-C234</f>
        <v>-15431</v>
      </c>
      <c r="F234" s="449">
        <f>IF(C234=0,0,E234/C234)</f>
        <v>-0.2363129603822417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393061</v>
      </c>
      <c r="D237" s="448">
        <f>LN_IG1+LN_IG9</f>
        <v>261442</v>
      </c>
      <c r="E237" s="448">
        <f>D237-C237</f>
        <v>-131619</v>
      </c>
      <c r="F237" s="449">
        <f>IF(C237=0,0,E237/C237)</f>
        <v>-0.33485642177677255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101107</v>
      </c>
      <c r="D238" s="448">
        <f>LN_IG2+LN_IG10</f>
        <v>87241</v>
      </c>
      <c r="E238" s="448">
        <f>D238-C238</f>
        <v>-13866</v>
      </c>
      <c r="F238" s="449">
        <f>IF(C238=0,0,E238/C238)</f>
        <v>-0.13714183983304815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291954</v>
      </c>
      <c r="D239" s="448">
        <f>LN_IG13-LN_IG14</f>
        <v>174201</v>
      </c>
      <c r="E239" s="448">
        <f>D239-C239</f>
        <v>-117753</v>
      </c>
      <c r="F239" s="449">
        <f>IF(C239=0,0,E239/C239)</f>
        <v>-0.40332723648245955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1244665</v>
      </c>
      <c r="D243" s="448">
        <v>874400</v>
      </c>
      <c r="E243" s="441">
        <f>D243-C243</f>
        <v>-370265</v>
      </c>
      <c r="F243" s="503">
        <f>IF(C243=0,0,E243/C243)</f>
        <v>-0.29748165168941043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88958809</v>
      </c>
      <c r="D244" s="448">
        <v>72962299</v>
      </c>
      <c r="E244" s="441">
        <f>D244-C244</f>
        <v>-15996510</v>
      </c>
      <c r="F244" s="503">
        <f>IF(C244=0,0,E244/C244)</f>
        <v>-0.17981929142059444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1181756</v>
      </c>
      <c r="D248" s="441">
        <v>624534</v>
      </c>
      <c r="E248" s="441">
        <f>D248-C248</f>
        <v>-557222</v>
      </c>
      <c r="F248" s="449">
        <f>IF(C248=0,0,E248/C248)</f>
        <v>-0.47152034768598594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3125172</v>
      </c>
      <c r="D249" s="441">
        <v>2560334</v>
      </c>
      <c r="E249" s="441">
        <f>D249-C249</f>
        <v>-564838</v>
      </c>
      <c r="F249" s="449">
        <f>IF(C249=0,0,E249/C249)</f>
        <v>-0.18073821216880223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4306928</v>
      </c>
      <c r="D250" s="441">
        <f>LN_IH4+LN_IH5</f>
        <v>3184868</v>
      </c>
      <c r="E250" s="441">
        <f>D250-C250</f>
        <v>-1122060</v>
      </c>
      <c r="F250" s="449">
        <f>IF(C250=0,0,E250/C250)</f>
        <v>-0.26052443876470655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1603253.0913679437</v>
      </c>
      <c r="D251" s="441">
        <f>LN_IH6*LN_III10</f>
        <v>1179264.1130917773</v>
      </c>
      <c r="E251" s="441">
        <f>D251-C251</f>
        <v>-423988.97827616637</v>
      </c>
      <c r="F251" s="449">
        <f>IF(C251=0,0,E251/C251)</f>
        <v>-0.26445542538415207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17870603</v>
      </c>
      <c r="D254" s="441">
        <f>LN_IF23</f>
        <v>18028103</v>
      </c>
      <c r="E254" s="441">
        <f>D254-C254</f>
        <v>157500</v>
      </c>
      <c r="F254" s="449">
        <f>IF(C254=0,0,E254/C254)</f>
        <v>8.8133567736914074E-3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5146086</v>
      </c>
      <c r="D255" s="441">
        <f>LN_IF24</f>
        <v>4633439</v>
      </c>
      <c r="E255" s="441">
        <f>D255-C255</f>
        <v>-512647</v>
      </c>
      <c r="F255" s="449">
        <f>IF(C255=0,0,E255/C255)</f>
        <v>-9.9618817097110304E-2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6652328.4123531319</v>
      </c>
      <c r="D256" s="441">
        <f>LN_IH8*LN_III10</f>
        <v>6675282.8987016762</v>
      </c>
      <c r="E256" s="441">
        <f>D256-C256</f>
        <v>22954.486348544247</v>
      </c>
      <c r="F256" s="449">
        <f>IF(C256=0,0,E256/C256)</f>
        <v>3.4505942770231548E-3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1506242.4123531319</v>
      </c>
      <c r="D257" s="441">
        <f>LN_IH10-LN_IH9</f>
        <v>2041843.8987016762</v>
      </c>
      <c r="E257" s="441">
        <f>D257-C257</f>
        <v>535601.48634854425</v>
      </c>
      <c r="F257" s="449">
        <f>IF(C257=0,0,E257/C257)</f>
        <v>0.35558784028116641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57109530</v>
      </c>
      <c r="D261" s="448">
        <f>LN_IA1+LN_IB1+LN_IF1+LN_IG1</f>
        <v>47824581</v>
      </c>
      <c r="E261" s="448">
        <f t="shared" ref="E261:E274" si="26">D261-C261</f>
        <v>-9284949</v>
      </c>
      <c r="F261" s="503">
        <f t="shared" ref="F261:F274" si="27">IF(C261=0,0,E261/C261)</f>
        <v>-0.16258142905396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21080157</v>
      </c>
      <c r="D262" s="448">
        <f>+LN_IA2+LN_IB2+LN_IF2+LN_IG2</f>
        <v>19325554</v>
      </c>
      <c r="E262" s="448">
        <f t="shared" si="26"/>
        <v>-1754603</v>
      </c>
      <c r="F262" s="503">
        <f t="shared" si="27"/>
        <v>-8.3234816514886484E-2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0.36911802636092433</v>
      </c>
      <c r="D263" s="453">
        <f>IF(LN_IIA1=0,0,LN_IIA2/LN_IIA1)</f>
        <v>0.40409248959232907</v>
      </c>
      <c r="E263" s="454">
        <f t="shared" si="26"/>
        <v>3.497446323140474E-2</v>
      </c>
      <c r="F263" s="458">
        <f t="shared" si="27"/>
        <v>9.475143648824845E-2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2288</v>
      </c>
      <c r="D264" s="456">
        <f>LN_IA4+LN_IB4+LN_IF4+LN_IG3</f>
        <v>1824</v>
      </c>
      <c r="E264" s="456">
        <f t="shared" si="26"/>
        <v>-464</v>
      </c>
      <c r="F264" s="503">
        <f t="shared" si="27"/>
        <v>-0.20279720279720279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1.1530093094405596</v>
      </c>
      <c r="D265" s="525">
        <f>IF(LN_IIA4=0,0,LN_IIA6/LN_IIA4)</f>
        <v>1.2867315789473683</v>
      </c>
      <c r="E265" s="525">
        <f t="shared" si="26"/>
        <v>0.13372226950680877</v>
      </c>
      <c r="F265" s="503">
        <f t="shared" si="27"/>
        <v>0.11597674746589066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2638.0853000000002</v>
      </c>
      <c r="D266" s="463">
        <f>LN_IA6+LN_IB6+LN_IF6+LN_IG5</f>
        <v>2346.9983999999999</v>
      </c>
      <c r="E266" s="463">
        <f t="shared" si="26"/>
        <v>-291.08690000000024</v>
      </c>
      <c r="F266" s="503">
        <f t="shared" si="27"/>
        <v>-0.11034021530691226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147272097</v>
      </c>
      <c r="D267" s="448">
        <f>LN_IA11+LN_IB13+LN_IF14+LN_IG9</f>
        <v>136336748</v>
      </c>
      <c r="E267" s="448">
        <f t="shared" si="26"/>
        <v>-10935349</v>
      </c>
      <c r="F267" s="503">
        <f t="shared" si="27"/>
        <v>-7.4252687527088038E-2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2.5787656981242884</v>
      </c>
      <c r="D268" s="453">
        <f>IF(LN_IIA1=0,0,LN_IIA7/LN_IIA1)</f>
        <v>2.8507672236584782</v>
      </c>
      <c r="E268" s="454">
        <f t="shared" si="26"/>
        <v>0.27200152553418988</v>
      </c>
      <c r="F268" s="458">
        <f t="shared" si="27"/>
        <v>0.10547740949557188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56586095</v>
      </c>
      <c r="D269" s="448">
        <f>LN_IA12+LN_IB14+LN_IF15+LN_IG10</f>
        <v>50614609</v>
      </c>
      <c r="E269" s="448">
        <f t="shared" si="26"/>
        <v>-5971486</v>
      </c>
      <c r="F269" s="503">
        <f t="shared" si="27"/>
        <v>-0.10552921172595493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0.38422821534210921</v>
      </c>
      <c r="D270" s="453">
        <f>IF(LN_IIA7=0,0,LN_IIA9/LN_IIA7)</f>
        <v>0.37124700231224528</v>
      </c>
      <c r="E270" s="454">
        <f t="shared" si="26"/>
        <v>-1.2981213029863936E-2</v>
      </c>
      <c r="F270" s="458">
        <f t="shared" si="27"/>
        <v>-3.378516337824311E-2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204381627</v>
      </c>
      <c r="D271" s="441">
        <f>LN_IIA1+LN_IIA7</f>
        <v>184161329</v>
      </c>
      <c r="E271" s="441">
        <f t="shared" si="26"/>
        <v>-20220298</v>
      </c>
      <c r="F271" s="503">
        <f t="shared" si="27"/>
        <v>-9.8934029916495386E-2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77666252</v>
      </c>
      <c r="D272" s="441">
        <f>LN_IIA2+LN_IIA9</f>
        <v>69940163</v>
      </c>
      <c r="E272" s="441">
        <f t="shared" si="26"/>
        <v>-7726089</v>
      </c>
      <c r="F272" s="503">
        <f t="shared" si="27"/>
        <v>-9.9478071891508299E-2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0.38000603645258191</v>
      </c>
      <c r="D273" s="453">
        <f>IF(LN_IIA11=0,0,LN_IIA12/LN_IIA11)</f>
        <v>0.37977659794147117</v>
      </c>
      <c r="E273" s="454">
        <f t="shared" si="26"/>
        <v>-2.2943851111073554E-4</v>
      </c>
      <c r="F273" s="458">
        <f t="shared" si="27"/>
        <v>-6.0377596433093886E-4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8537</v>
      </c>
      <c r="D274" s="508">
        <f>LN_IA8+LN_IB10+LN_IF11+LN_IG6</f>
        <v>7017</v>
      </c>
      <c r="E274" s="528">
        <f t="shared" si="26"/>
        <v>-1520</v>
      </c>
      <c r="F274" s="458">
        <f t="shared" si="27"/>
        <v>-0.17804849478739604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38981277</v>
      </c>
      <c r="D277" s="448">
        <f>LN_IA1+LN_IF1+LN_IG1</f>
        <v>33783568</v>
      </c>
      <c r="E277" s="448">
        <f t="shared" ref="E277:E291" si="28">D277-C277</f>
        <v>-5197709</v>
      </c>
      <c r="F277" s="503">
        <f t="shared" ref="F277:F291" si="29">IF(C277=0,0,E277/C277)</f>
        <v>-0.13333860252961954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13122412</v>
      </c>
      <c r="D278" s="448">
        <f>LN_IA2+LN_IF2+LN_IG2</f>
        <v>12541206</v>
      </c>
      <c r="E278" s="448">
        <f t="shared" si="28"/>
        <v>-581206</v>
      </c>
      <c r="F278" s="503">
        <f t="shared" si="29"/>
        <v>-4.4291095265108271E-2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0.33663371264107123</v>
      </c>
      <c r="D279" s="453">
        <f>IF(D277=0,0,LN_IIB2/D277)</f>
        <v>0.37122206866959701</v>
      </c>
      <c r="E279" s="454">
        <f t="shared" si="28"/>
        <v>3.458835602852578E-2</v>
      </c>
      <c r="F279" s="458">
        <f t="shared" si="29"/>
        <v>0.10274774845680683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1400</v>
      </c>
      <c r="D280" s="456">
        <f>LN_IA4+LN_IF4+LN_IG3</f>
        <v>1279</v>
      </c>
      <c r="E280" s="456">
        <f t="shared" si="28"/>
        <v>-121</v>
      </c>
      <c r="F280" s="503">
        <f t="shared" si="29"/>
        <v>-8.6428571428571424E-2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1.225704357142857</v>
      </c>
      <c r="D281" s="525">
        <f>IF(LN_IIB4=0,0,LN_IIB6/LN_IIB4)</f>
        <v>1.2800550430023456</v>
      </c>
      <c r="E281" s="525">
        <f t="shared" si="28"/>
        <v>5.4350685859488657E-2</v>
      </c>
      <c r="F281" s="503">
        <f t="shared" si="29"/>
        <v>4.4342410584377184E-2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1715.9860999999999</v>
      </c>
      <c r="D282" s="463">
        <f>LN_IA6+LN_IF6+LN_IG5</f>
        <v>1637.1904</v>
      </c>
      <c r="E282" s="463">
        <f t="shared" si="28"/>
        <v>-78.795699999999897</v>
      </c>
      <c r="F282" s="503">
        <f t="shared" si="29"/>
        <v>-4.591861204470124E-2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69694461</v>
      </c>
      <c r="D283" s="448">
        <f>LN_IA11+LN_IF14+LN_IG9</f>
        <v>70017252</v>
      </c>
      <c r="E283" s="448">
        <f t="shared" si="28"/>
        <v>322791</v>
      </c>
      <c r="F283" s="503">
        <f t="shared" si="29"/>
        <v>4.6315158388268475E-3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1.7878957890476497</v>
      </c>
      <c r="D284" s="453">
        <f>IF(D277=0,0,LN_IIB7/D277)</f>
        <v>2.072523896824634</v>
      </c>
      <c r="E284" s="454">
        <f t="shared" si="28"/>
        <v>0.28462810777698433</v>
      </c>
      <c r="F284" s="458">
        <f t="shared" si="29"/>
        <v>0.1591972583192871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16366852</v>
      </c>
      <c r="D285" s="448">
        <f>LN_IA12+LN_IF15+LN_IG10</f>
        <v>15271978</v>
      </c>
      <c r="E285" s="448">
        <f t="shared" si="28"/>
        <v>-1094874</v>
      </c>
      <c r="F285" s="503">
        <f t="shared" si="29"/>
        <v>-6.6895820894573979E-2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0.23483719889877619</v>
      </c>
      <c r="D286" s="453">
        <f>IF(LN_IIB7=0,0,LN_IIB9/LN_IIB7)</f>
        <v>0.21811735770492677</v>
      </c>
      <c r="E286" s="454">
        <f t="shared" si="28"/>
        <v>-1.6719841193849422E-2</v>
      </c>
      <c r="F286" s="458">
        <f t="shared" si="29"/>
        <v>-7.1197583995439809E-2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108675738</v>
      </c>
      <c r="D287" s="441">
        <f>D277+LN_IIB7</f>
        <v>103800820</v>
      </c>
      <c r="E287" s="441">
        <f t="shared" si="28"/>
        <v>-4874918</v>
      </c>
      <c r="F287" s="503">
        <f t="shared" si="29"/>
        <v>-4.4857463953913983E-2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29489264</v>
      </c>
      <c r="D288" s="441">
        <f>LN_IIB2+LN_IIB9</f>
        <v>27813184</v>
      </c>
      <c r="E288" s="441">
        <f t="shared" si="28"/>
        <v>-1676080</v>
      </c>
      <c r="F288" s="503">
        <f t="shared" si="29"/>
        <v>-5.6836955985066294E-2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0.27135094311482844</v>
      </c>
      <c r="D289" s="453">
        <f>IF(LN_IIB11=0,0,LN_IIB12/LN_IIB11)</f>
        <v>0.26794763278363309</v>
      </c>
      <c r="E289" s="454">
        <f t="shared" si="28"/>
        <v>-3.4033103311953417E-3</v>
      </c>
      <c r="F289" s="458">
        <f t="shared" si="29"/>
        <v>-1.2542098774851695E-2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5912</v>
      </c>
      <c r="D290" s="508">
        <f>LN_IA8+LN_IF11+LN_IG6</f>
        <v>5312</v>
      </c>
      <c r="E290" s="528">
        <f t="shared" si="28"/>
        <v>-600</v>
      </c>
      <c r="F290" s="458">
        <f t="shared" si="29"/>
        <v>-0.10148849797023005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79186474</v>
      </c>
      <c r="D291" s="516">
        <f>LN_IIB11-LN_IIB12</f>
        <v>75987636</v>
      </c>
      <c r="E291" s="441">
        <f t="shared" si="28"/>
        <v>-3198838</v>
      </c>
      <c r="F291" s="503">
        <f t="shared" si="29"/>
        <v>-4.0396267675714415E-2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4.4588550983899822</v>
      </c>
      <c r="D294" s="466">
        <f>IF(LN_IA4=0,0,LN_IA8/LN_IA4)</f>
        <v>4.2409972299168972</v>
      </c>
      <c r="E294" s="466">
        <f t="shared" ref="E294:E300" si="30">D294-C294</f>
        <v>-0.21785786847308497</v>
      </c>
      <c r="F294" s="503">
        <f t="shared" ref="F294:F300" si="31">IF(C294=0,0,E294/C294)</f>
        <v>-4.8859598185137208E-2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2.9560810810810811</v>
      </c>
      <c r="D295" s="466">
        <f>IF(LN_IB4=0,0,(LN_IB10)/(LN_IB4))</f>
        <v>3.1284403669724772</v>
      </c>
      <c r="E295" s="466">
        <f t="shared" si="30"/>
        <v>0.17235928589139604</v>
      </c>
      <c r="F295" s="503">
        <f t="shared" si="31"/>
        <v>5.8306684141546543E-2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3.0555555555555554</v>
      </c>
      <c r="D296" s="466">
        <f>IF(LN_IC4=0,0,LN_IC11/LN_IC4)</f>
        <v>2.9210526315789473</v>
      </c>
      <c r="E296" s="466">
        <f t="shared" si="30"/>
        <v>-0.13450292397660801</v>
      </c>
      <c r="F296" s="503">
        <f t="shared" si="31"/>
        <v>-4.4019138755980805E-2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3.3547169811320754</v>
      </c>
      <c r="D297" s="466">
        <f>IF(LN_ID4=0,0,LN_ID11/LN_ID4)</f>
        <v>3.7393617021276597</v>
      </c>
      <c r="E297" s="466">
        <f t="shared" si="30"/>
        <v>0.38464472099558433</v>
      </c>
      <c r="F297" s="503">
        <f t="shared" si="31"/>
        <v>0.11465787521240703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1.375</v>
      </c>
      <c r="D298" s="466">
        <f>IF(LN_IE4=0,0,LN_IE11/LN_IE4)</f>
        <v>2.1666666666666665</v>
      </c>
      <c r="E298" s="466">
        <f t="shared" si="30"/>
        <v>0.79166666666666652</v>
      </c>
      <c r="F298" s="503">
        <f t="shared" si="31"/>
        <v>0.57575757575757569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</v>
      </c>
      <c r="D299" s="466">
        <f>IF(LN_IG3=0,0,LN_IG6/LN_IG3)</f>
        <v>1.5</v>
      </c>
      <c r="E299" s="466">
        <f t="shared" si="30"/>
        <v>-1.5</v>
      </c>
      <c r="F299" s="503">
        <f t="shared" si="31"/>
        <v>-0.5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3.7312062937062938</v>
      </c>
      <c r="D300" s="466">
        <f>IF(LN_IIA4=0,0,LN_IIA14/LN_IIA4)</f>
        <v>3.8470394736842106</v>
      </c>
      <c r="E300" s="466">
        <f t="shared" si="30"/>
        <v>0.11583317997791687</v>
      </c>
      <c r="F300" s="503">
        <f t="shared" si="31"/>
        <v>3.1044431977213752E-2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204381627</v>
      </c>
      <c r="D304" s="441">
        <f>LN_IIA11</f>
        <v>184161329</v>
      </c>
      <c r="E304" s="441">
        <f t="shared" ref="E304:E316" si="32">D304-C304</f>
        <v>-20220298</v>
      </c>
      <c r="F304" s="449">
        <f>IF(C304=0,0,E304/C304)</f>
        <v>-9.8934029916495386E-2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79186474</v>
      </c>
      <c r="D305" s="441">
        <f>LN_IIB14</f>
        <v>75987636</v>
      </c>
      <c r="E305" s="441">
        <f t="shared" si="32"/>
        <v>-3198838</v>
      </c>
      <c r="F305" s="449">
        <f>IF(C305=0,0,E305/C305)</f>
        <v>-4.0396267675714415E-2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4306928</v>
      </c>
      <c r="D306" s="441">
        <f>LN_IH6</f>
        <v>3184868</v>
      </c>
      <c r="E306" s="441">
        <f t="shared" si="32"/>
        <v>-1122060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43221974</v>
      </c>
      <c r="D307" s="441">
        <f>LN_IB32-LN_IB33</f>
        <v>35048662</v>
      </c>
      <c r="E307" s="441">
        <f t="shared" si="32"/>
        <v>-8173312</v>
      </c>
      <c r="F307" s="449">
        <f t="shared" ref="F307:F316" si="33">IF(C307=0,0,E307/C307)</f>
        <v>-0.18910084948919734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1585231</v>
      </c>
      <c r="D308" s="441">
        <v>1750572</v>
      </c>
      <c r="E308" s="441">
        <f t="shared" si="32"/>
        <v>165341</v>
      </c>
      <c r="F308" s="449">
        <f t="shared" si="33"/>
        <v>0.10430088737855871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128300607</v>
      </c>
      <c r="D309" s="441">
        <f>LN_III2+LN_III3+LN_III4+LN_III5</f>
        <v>115971738</v>
      </c>
      <c r="E309" s="441">
        <f t="shared" si="32"/>
        <v>-12328869</v>
      </c>
      <c r="F309" s="449">
        <f t="shared" si="33"/>
        <v>-9.6093613960844315E-2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76081020</v>
      </c>
      <c r="D310" s="441">
        <f>LN_III1-LN_III6</f>
        <v>68189591</v>
      </c>
      <c r="E310" s="441">
        <f t="shared" si="32"/>
        <v>-7891429</v>
      </c>
      <c r="F310" s="449">
        <f t="shared" si="33"/>
        <v>-0.10372401684414852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76081020</v>
      </c>
      <c r="D312" s="441">
        <f>LN_III7+LN_III8</f>
        <v>68189591</v>
      </c>
      <c r="E312" s="441">
        <f t="shared" si="32"/>
        <v>-7891429</v>
      </c>
      <c r="F312" s="449">
        <f t="shared" si="33"/>
        <v>-0.10372401684414852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0.37224980110369704</v>
      </c>
      <c r="D313" s="532">
        <f>IF(LN_III1=0,0,LN_III9/LN_III1)</f>
        <v>0.37027095411545385</v>
      </c>
      <c r="E313" s="532">
        <f t="shared" si="32"/>
        <v>-1.9788469882431881E-3</v>
      </c>
      <c r="F313" s="449">
        <f t="shared" si="33"/>
        <v>-5.3159114722856329E-3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1603253.0913679437</v>
      </c>
      <c r="D314" s="441">
        <f>D313*LN_III5</f>
        <v>1179264.1130917773</v>
      </c>
      <c r="E314" s="441">
        <f t="shared" si="32"/>
        <v>-423988.97827616637</v>
      </c>
      <c r="F314" s="449">
        <f t="shared" si="33"/>
        <v>-0.26445542538415207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1506242.4123531319</v>
      </c>
      <c r="D315" s="441">
        <f>D313*LN_IH8-LN_IH9</f>
        <v>2041843.8987016762</v>
      </c>
      <c r="E315" s="441">
        <f t="shared" si="32"/>
        <v>535601.48634854425</v>
      </c>
      <c r="F315" s="449">
        <f t="shared" si="33"/>
        <v>0.35558784028116641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3109495.5037210756</v>
      </c>
      <c r="D318" s="441">
        <f>D314+D315+D316</f>
        <v>3221108.0117934532</v>
      </c>
      <c r="E318" s="441">
        <f>D318-C318</f>
        <v>111612.50807237765</v>
      </c>
      <c r="F318" s="449">
        <f>IF(C318=0,0,E318/C318)</f>
        <v>3.5894088908896324E-2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2262118.2548960485</v>
      </c>
      <c r="D322" s="441">
        <f>LN_ID22</f>
        <v>388945.44110115059</v>
      </c>
      <c r="E322" s="441">
        <f>LN_IV2-C322</f>
        <v>-1873172.8137948979</v>
      </c>
      <c r="F322" s="449">
        <f>IF(C322=0,0,E322/C322)</f>
        <v>-0.82806140206890999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222047.91645128239</v>
      </c>
      <c r="D323" s="441">
        <f>LN_IE10+LN_IE22</f>
        <v>26213.256980005568</v>
      </c>
      <c r="E323" s="441">
        <f>LN_IV3-C323</f>
        <v>-195834.65947127683</v>
      </c>
      <c r="F323" s="449">
        <f>IF(C323=0,0,E323/C323)</f>
        <v>-0.88194774623901151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1805766.8093079694</v>
      </c>
      <c r="D324" s="441">
        <f>LN_IC10+LN_IC22</f>
        <v>1050075.8238080628</v>
      </c>
      <c r="E324" s="441">
        <f>LN_IV1-C324</f>
        <v>-755690.98549990659</v>
      </c>
      <c r="F324" s="449">
        <f>IF(C324=0,0,E324/C324)</f>
        <v>-0.41848758189852475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4289932.9806553004</v>
      </c>
      <c r="D325" s="516">
        <f>LN_IV1+LN_IV2+LN_IV3</f>
        <v>1465234.5218892191</v>
      </c>
      <c r="E325" s="441">
        <f>LN_IV4-C325</f>
        <v>-2824698.4587660814</v>
      </c>
      <c r="F325" s="449">
        <f>IF(C325=0,0,E325/C325)</f>
        <v>-0.65844815560139591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2704607</v>
      </c>
      <c r="D329" s="518">
        <v>2876575</v>
      </c>
      <c r="E329" s="518">
        <f t="shared" ref="E329:E335" si="34">D329-C329</f>
        <v>171968</v>
      </c>
      <c r="F329" s="542">
        <f t="shared" ref="F329:F335" si="35">IF(C329=0,0,E329/C329)</f>
        <v>6.3583359800518158E-2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3569821</v>
      </c>
      <c r="D330" s="516">
        <v>-218542</v>
      </c>
      <c r="E330" s="518">
        <f t="shared" si="34"/>
        <v>-3788363</v>
      </c>
      <c r="F330" s="543">
        <f t="shared" si="35"/>
        <v>-1.0612193160385353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81236073</v>
      </c>
      <c r="D331" s="516">
        <v>69721620</v>
      </c>
      <c r="E331" s="518">
        <f t="shared" si="34"/>
        <v>-11514453</v>
      </c>
      <c r="F331" s="542">
        <f t="shared" si="35"/>
        <v>-0.14174064026950195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204381627</v>
      </c>
      <c r="D333" s="516">
        <v>184161328</v>
      </c>
      <c r="E333" s="518">
        <f t="shared" si="34"/>
        <v>-20220299</v>
      </c>
      <c r="F333" s="542">
        <f t="shared" si="35"/>
        <v>-9.8934034809303087E-2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428820</v>
      </c>
      <c r="D334" s="516">
        <v>424398</v>
      </c>
      <c r="E334" s="516">
        <f t="shared" si="34"/>
        <v>-4422</v>
      </c>
      <c r="F334" s="543">
        <f t="shared" si="35"/>
        <v>-1.0312019028963202E-2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4735748</v>
      </c>
      <c r="D335" s="516">
        <v>3609267</v>
      </c>
      <c r="E335" s="516">
        <f t="shared" si="34"/>
        <v>-1126481</v>
      </c>
      <c r="F335" s="542">
        <f t="shared" si="35"/>
        <v>-0.23786759768467411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18128253</v>
      </c>
      <c r="D14" s="589">
        <v>14041013</v>
      </c>
      <c r="E14" s="590">
        <f t="shared" ref="E14:E22" si="0">D14-C14</f>
        <v>-4087240</v>
      </c>
    </row>
    <row r="15" spans="1:5" s="421" customFormat="1" x14ac:dyDescent="0.2">
      <c r="A15" s="588">
        <v>2</v>
      </c>
      <c r="B15" s="587" t="s">
        <v>635</v>
      </c>
      <c r="C15" s="589">
        <v>34382207</v>
      </c>
      <c r="D15" s="591">
        <v>29406230</v>
      </c>
      <c r="E15" s="590">
        <f t="shared" si="0"/>
        <v>-4975977</v>
      </c>
    </row>
    <row r="16" spans="1:5" s="421" customFormat="1" x14ac:dyDescent="0.2">
      <c r="A16" s="588">
        <v>3</v>
      </c>
      <c r="B16" s="587" t="s">
        <v>777</v>
      </c>
      <c r="C16" s="589">
        <v>4490532</v>
      </c>
      <c r="D16" s="591">
        <v>4337204</v>
      </c>
      <c r="E16" s="590">
        <f t="shared" si="0"/>
        <v>-153328</v>
      </c>
    </row>
    <row r="17" spans="1:5" s="421" customFormat="1" x14ac:dyDescent="0.2">
      <c r="A17" s="588">
        <v>4</v>
      </c>
      <c r="B17" s="587" t="s">
        <v>115</v>
      </c>
      <c r="C17" s="589">
        <v>4417970</v>
      </c>
      <c r="D17" s="591">
        <v>4213322</v>
      </c>
      <c r="E17" s="590">
        <f t="shared" si="0"/>
        <v>-204648</v>
      </c>
    </row>
    <row r="18" spans="1:5" s="421" customFormat="1" x14ac:dyDescent="0.2">
      <c r="A18" s="588">
        <v>5</v>
      </c>
      <c r="B18" s="587" t="s">
        <v>743</v>
      </c>
      <c r="C18" s="589">
        <v>72562</v>
      </c>
      <c r="D18" s="591">
        <v>123882</v>
      </c>
      <c r="E18" s="590">
        <f t="shared" si="0"/>
        <v>51320</v>
      </c>
    </row>
    <row r="19" spans="1:5" s="421" customFormat="1" x14ac:dyDescent="0.2">
      <c r="A19" s="588">
        <v>6</v>
      </c>
      <c r="B19" s="587" t="s">
        <v>424</v>
      </c>
      <c r="C19" s="589">
        <v>108538</v>
      </c>
      <c r="D19" s="591">
        <v>40134</v>
      </c>
      <c r="E19" s="590">
        <f t="shared" si="0"/>
        <v>-68404</v>
      </c>
    </row>
    <row r="20" spans="1:5" s="421" customFormat="1" x14ac:dyDescent="0.2">
      <c r="A20" s="588">
        <v>7</v>
      </c>
      <c r="B20" s="587" t="s">
        <v>758</v>
      </c>
      <c r="C20" s="589">
        <v>853569</v>
      </c>
      <c r="D20" s="591">
        <v>622422</v>
      </c>
      <c r="E20" s="590">
        <f t="shared" si="0"/>
        <v>-231147</v>
      </c>
    </row>
    <row r="21" spans="1:5" s="421" customFormat="1" x14ac:dyDescent="0.2">
      <c r="A21" s="588"/>
      <c r="B21" s="592" t="s">
        <v>778</v>
      </c>
      <c r="C21" s="593">
        <f>SUM(C15+C16+C19)</f>
        <v>38981277</v>
      </c>
      <c r="D21" s="593">
        <f>SUM(D15+D16+D19)</f>
        <v>33783568</v>
      </c>
      <c r="E21" s="593">
        <f t="shared" si="0"/>
        <v>-5197709</v>
      </c>
    </row>
    <row r="22" spans="1:5" s="421" customFormat="1" x14ac:dyDescent="0.2">
      <c r="A22" s="588"/>
      <c r="B22" s="592" t="s">
        <v>465</v>
      </c>
      <c r="C22" s="593">
        <f>SUM(C14+C21)</f>
        <v>57109530</v>
      </c>
      <c r="D22" s="593">
        <f>SUM(D14+D21)</f>
        <v>47824581</v>
      </c>
      <c r="E22" s="593">
        <f t="shared" si="0"/>
        <v>-9284949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77577636</v>
      </c>
      <c r="D25" s="589">
        <v>66319496</v>
      </c>
      <c r="E25" s="590">
        <f t="shared" ref="E25:E33" si="1">D25-C25</f>
        <v>-11258140</v>
      </c>
    </row>
    <row r="26" spans="1:5" s="421" customFormat="1" x14ac:dyDescent="0.2">
      <c r="A26" s="588">
        <v>2</v>
      </c>
      <c r="B26" s="587" t="s">
        <v>635</v>
      </c>
      <c r="C26" s="589">
        <v>56029867</v>
      </c>
      <c r="D26" s="591">
        <v>56105045</v>
      </c>
      <c r="E26" s="590">
        <f t="shared" si="1"/>
        <v>75178</v>
      </c>
    </row>
    <row r="27" spans="1:5" s="421" customFormat="1" x14ac:dyDescent="0.2">
      <c r="A27" s="588">
        <v>3</v>
      </c>
      <c r="B27" s="587" t="s">
        <v>777</v>
      </c>
      <c r="C27" s="589">
        <v>13380071</v>
      </c>
      <c r="D27" s="591">
        <v>13690899</v>
      </c>
      <c r="E27" s="590">
        <f t="shared" si="1"/>
        <v>310828</v>
      </c>
    </row>
    <row r="28" spans="1:5" s="421" customFormat="1" x14ac:dyDescent="0.2">
      <c r="A28" s="588">
        <v>4</v>
      </c>
      <c r="B28" s="587" t="s">
        <v>115</v>
      </c>
      <c r="C28" s="589">
        <v>12991913</v>
      </c>
      <c r="D28" s="591">
        <v>13357895</v>
      </c>
      <c r="E28" s="590">
        <f t="shared" si="1"/>
        <v>365982</v>
      </c>
    </row>
    <row r="29" spans="1:5" s="421" customFormat="1" x14ac:dyDescent="0.2">
      <c r="A29" s="588">
        <v>5</v>
      </c>
      <c r="B29" s="587" t="s">
        <v>743</v>
      </c>
      <c r="C29" s="589">
        <v>388158</v>
      </c>
      <c r="D29" s="591">
        <v>333004</v>
      </c>
      <c r="E29" s="590">
        <f t="shared" si="1"/>
        <v>-55154</v>
      </c>
    </row>
    <row r="30" spans="1:5" s="421" customFormat="1" x14ac:dyDescent="0.2">
      <c r="A30" s="588">
        <v>6</v>
      </c>
      <c r="B30" s="587" t="s">
        <v>424</v>
      </c>
      <c r="C30" s="589">
        <v>284523</v>
      </c>
      <c r="D30" s="591">
        <v>221308</v>
      </c>
      <c r="E30" s="590">
        <f t="shared" si="1"/>
        <v>-63215</v>
      </c>
    </row>
    <row r="31" spans="1:5" s="421" customFormat="1" x14ac:dyDescent="0.2">
      <c r="A31" s="588">
        <v>7</v>
      </c>
      <c r="B31" s="587" t="s">
        <v>758</v>
      </c>
      <c r="C31" s="590">
        <v>3616941</v>
      </c>
      <c r="D31" s="594">
        <v>2743452</v>
      </c>
      <c r="E31" s="590">
        <f t="shared" si="1"/>
        <v>-873489</v>
      </c>
    </row>
    <row r="32" spans="1:5" s="421" customFormat="1" x14ac:dyDescent="0.2">
      <c r="A32" s="588"/>
      <c r="B32" s="592" t="s">
        <v>780</v>
      </c>
      <c r="C32" s="593">
        <f>SUM(C26+C27+C30)</f>
        <v>69694461</v>
      </c>
      <c r="D32" s="593">
        <f>SUM(D26+D27+D30)</f>
        <v>70017252</v>
      </c>
      <c r="E32" s="593">
        <f t="shared" si="1"/>
        <v>322791</v>
      </c>
    </row>
    <row r="33" spans="1:5" s="421" customFormat="1" x14ac:dyDescent="0.2">
      <c r="A33" s="588"/>
      <c r="B33" s="592" t="s">
        <v>467</v>
      </c>
      <c r="C33" s="593">
        <f>SUM(C25+C32)</f>
        <v>147272097</v>
      </c>
      <c r="D33" s="593">
        <f>SUM(D25+D32)</f>
        <v>136336748</v>
      </c>
      <c r="E33" s="593">
        <f t="shared" si="1"/>
        <v>-10935349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95705889</v>
      </c>
      <c r="D36" s="590">
        <f t="shared" si="2"/>
        <v>80360509</v>
      </c>
      <c r="E36" s="590">
        <f t="shared" ref="E36:E44" si="3">D36-C36</f>
        <v>-15345380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90412074</v>
      </c>
      <c r="D37" s="590">
        <f t="shared" si="2"/>
        <v>85511275</v>
      </c>
      <c r="E37" s="590">
        <f t="shared" si="3"/>
        <v>-4900799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17870603</v>
      </c>
      <c r="D38" s="590">
        <f t="shared" si="2"/>
        <v>18028103</v>
      </c>
      <c r="E38" s="590">
        <f t="shared" si="3"/>
        <v>157500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17409883</v>
      </c>
      <c r="D39" s="590">
        <f t="shared" si="2"/>
        <v>17571217</v>
      </c>
      <c r="E39" s="590">
        <f t="shared" si="3"/>
        <v>161334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460720</v>
      </c>
      <c r="D40" s="590">
        <f t="shared" si="2"/>
        <v>456886</v>
      </c>
      <c r="E40" s="590">
        <f t="shared" si="3"/>
        <v>-3834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393061</v>
      </c>
      <c r="D41" s="590">
        <f t="shared" si="2"/>
        <v>261442</v>
      </c>
      <c r="E41" s="590">
        <f t="shared" si="3"/>
        <v>-131619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4470510</v>
      </c>
      <c r="D42" s="590">
        <f t="shared" si="2"/>
        <v>3365874</v>
      </c>
      <c r="E42" s="590">
        <f t="shared" si="3"/>
        <v>-1104636</v>
      </c>
    </row>
    <row r="43" spans="1:5" s="421" customFormat="1" x14ac:dyDescent="0.2">
      <c r="A43" s="588"/>
      <c r="B43" s="592" t="s">
        <v>788</v>
      </c>
      <c r="C43" s="593">
        <f>SUM(C37+C38+C41)</f>
        <v>108675738</v>
      </c>
      <c r="D43" s="593">
        <f>SUM(D37+D38+D41)</f>
        <v>103800820</v>
      </c>
      <c r="E43" s="593">
        <f t="shared" si="3"/>
        <v>-4874918</v>
      </c>
    </row>
    <row r="44" spans="1:5" s="421" customFormat="1" x14ac:dyDescent="0.2">
      <c r="A44" s="588"/>
      <c r="B44" s="592" t="s">
        <v>725</v>
      </c>
      <c r="C44" s="593">
        <f>SUM(C36+C43)</f>
        <v>204381627</v>
      </c>
      <c r="D44" s="593">
        <f>SUM(D36+D43)</f>
        <v>184161329</v>
      </c>
      <c r="E44" s="593">
        <f t="shared" si="3"/>
        <v>-20220298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7957745</v>
      </c>
      <c r="D47" s="589">
        <v>6784348</v>
      </c>
      <c r="E47" s="590">
        <f t="shared" ref="E47:E55" si="4">D47-C47</f>
        <v>-1173397</v>
      </c>
    </row>
    <row r="48" spans="1:5" s="421" customFormat="1" x14ac:dyDescent="0.2">
      <c r="A48" s="588">
        <v>2</v>
      </c>
      <c r="B48" s="587" t="s">
        <v>635</v>
      </c>
      <c r="C48" s="589">
        <v>11308714</v>
      </c>
      <c r="D48" s="591">
        <v>11036175</v>
      </c>
      <c r="E48" s="590">
        <f t="shared" si="4"/>
        <v>-272539</v>
      </c>
    </row>
    <row r="49" spans="1:5" s="421" customFormat="1" x14ac:dyDescent="0.2">
      <c r="A49" s="588">
        <v>3</v>
      </c>
      <c r="B49" s="587" t="s">
        <v>777</v>
      </c>
      <c r="C49" s="589">
        <v>1777890</v>
      </c>
      <c r="D49" s="591">
        <v>1467658</v>
      </c>
      <c r="E49" s="590">
        <f t="shared" si="4"/>
        <v>-310232</v>
      </c>
    </row>
    <row r="50" spans="1:5" s="421" customFormat="1" x14ac:dyDescent="0.2">
      <c r="A50" s="588">
        <v>4</v>
      </c>
      <c r="B50" s="587" t="s">
        <v>115</v>
      </c>
      <c r="C50" s="589">
        <v>1749046</v>
      </c>
      <c r="D50" s="591">
        <v>1425738</v>
      </c>
      <c r="E50" s="590">
        <f t="shared" si="4"/>
        <v>-323308</v>
      </c>
    </row>
    <row r="51" spans="1:5" s="421" customFormat="1" x14ac:dyDescent="0.2">
      <c r="A51" s="588">
        <v>5</v>
      </c>
      <c r="B51" s="587" t="s">
        <v>743</v>
      </c>
      <c r="C51" s="589">
        <v>28844</v>
      </c>
      <c r="D51" s="591">
        <v>41920</v>
      </c>
      <c r="E51" s="590">
        <f t="shared" si="4"/>
        <v>13076</v>
      </c>
    </row>
    <row r="52" spans="1:5" s="421" customFormat="1" x14ac:dyDescent="0.2">
      <c r="A52" s="588">
        <v>6</v>
      </c>
      <c r="B52" s="587" t="s">
        <v>424</v>
      </c>
      <c r="C52" s="589">
        <v>35808</v>
      </c>
      <c r="D52" s="591">
        <v>37373</v>
      </c>
      <c r="E52" s="590">
        <f t="shared" si="4"/>
        <v>1565</v>
      </c>
    </row>
    <row r="53" spans="1:5" s="421" customFormat="1" x14ac:dyDescent="0.2">
      <c r="A53" s="588">
        <v>7</v>
      </c>
      <c r="B53" s="587" t="s">
        <v>758</v>
      </c>
      <c r="C53" s="589">
        <v>33482</v>
      </c>
      <c r="D53" s="591">
        <v>41073</v>
      </c>
      <c r="E53" s="590">
        <f t="shared" si="4"/>
        <v>7591</v>
      </c>
    </row>
    <row r="54" spans="1:5" s="421" customFormat="1" x14ac:dyDescent="0.2">
      <c r="A54" s="588"/>
      <c r="B54" s="592" t="s">
        <v>790</v>
      </c>
      <c r="C54" s="593">
        <f>SUM(C48+C49+C52)</f>
        <v>13122412</v>
      </c>
      <c r="D54" s="593">
        <f>SUM(D48+D49+D52)</f>
        <v>12541206</v>
      </c>
      <c r="E54" s="593">
        <f t="shared" si="4"/>
        <v>-581206</v>
      </c>
    </row>
    <row r="55" spans="1:5" s="421" customFormat="1" x14ac:dyDescent="0.2">
      <c r="A55" s="588"/>
      <c r="B55" s="592" t="s">
        <v>466</v>
      </c>
      <c r="C55" s="593">
        <f>SUM(C47+C54)</f>
        <v>21080157</v>
      </c>
      <c r="D55" s="593">
        <f>SUM(D47+D54)</f>
        <v>19325554</v>
      </c>
      <c r="E55" s="593">
        <f t="shared" si="4"/>
        <v>-1754603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40219243</v>
      </c>
      <c r="D58" s="589">
        <v>35342631</v>
      </c>
      <c r="E58" s="590">
        <f t="shared" ref="E58:E66" si="5">D58-C58</f>
        <v>-4876612</v>
      </c>
    </row>
    <row r="59" spans="1:5" s="421" customFormat="1" x14ac:dyDescent="0.2">
      <c r="A59" s="588">
        <v>2</v>
      </c>
      <c r="B59" s="587" t="s">
        <v>635</v>
      </c>
      <c r="C59" s="589">
        <v>12933357</v>
      </c>
      <c r="D59" s="591">
        <v>12056329</v>
      </c>
      <c r="E59" s="590">
        <f t="shared" si="5"/>
        <v>-877028</v>
      </c>
    </row>
    <row r="60" spans="1:5" s="421" customFormat="1" x14ac:dyDescent="0.2">
      <c r="A60" s="588">
        <v>3</v>
      </c>
      <c r="B60" s="587" t="s">
        <v>777</v>
      </c>
      <c r="C60" s="589">
        <f>C61+C62</f>
        <v>3368196</v>
      </c>
      <c r="D60" s="591">
        <f>D61+D62</f>
        <v>3165781</v>
      </c>
      <c r="E60" s="590">
        <f t="shared" si="5"/>
        <v>-202415</v>
      </c>
    </row>
    <row r="61" spans="1:5" s="421" customFormat="1" x14ac:dyDescent="0.2">
      <c r="A61" s="588">
        <v>4</v>
      </c>
      <c r="B61" s="587" t="s">
        <v>115</v>
      </c>
      <c r="C61" s="589">
        <v>3269852</v>
      </c>
      <c r="D61" s="591">
        <v>3088780</v>
      </c>
      <c r="E61" s="590">
        <f t="shared" si="5"/>
        <v>-181072</v>
      </c>
    </row>
    <row r="62" spans="1:5" s="421" customFormat="1" x14ac:dyDescent="0.2">
      <c r="A62" s="588">
        <v>5</v>
      </c>
      <c r="B62" s="587" t="s">
        <v>743</v>
      </c>
      <c r="C62" s="589">
        <v>98344</v>
      </c>
      <c r="D62" s="591">
        <v>77001</v>
      </c>
      <c r="E62" s="590">
        <f t="shared" si="5"/>
        <v>-21343</v>
      </c>
    </row>
    <row r="63" spans="1:5" s="421" customFormat="1" x14ac:dyDescent="0.2">
      <c r="A63" s="588">
        <v>6</v>
      </c>
      <c r="B63" s="587" t="s">
        <v>424</v>
      </c>
      <c r="C63" s="589">
        <v>65299</v>
      </c>
      <c r="D63" s="591">
        <v>49868</v>
      </c>
      <c r="E63" s="590">
        <f t="shared" si="5"/>
        <v>-15431</v>
      </c>
    </row>
    <row r="64" spans="1:5" s="421" customFormat="1" x14ac:dyDescent="0.2">
      <c r="A64" s="588">
        <v>7</v>
      </c>
      <c r="B64" s="587" t="s">
        <v>758</v>
      </c>
      <c r="C64" s="589">
        <v>141878</v>
      </c>
      <c r="D64" s="591">
        <v>181039</v>
      </c>
      <c r="E64" s="590">
        <f t="shared" si="5"/>
        <v>39161</v>
      </c>
    </row>
    <row r="65" spans="1:5" s="421" customFormat="1" x14ac:dyDescent="0.2">
      <c r="A65" s="588"/>
      <c r="B65" s="592" t="s">
        <v>792</v>
      </c>
      <c r="C65" s="593">
        <f>SUM(C59+C60+C63)</f>
        <v>16366852</v>
      </c>
      <c r="D65" s="593">
        <f>SUM(D59+D60+D63)</f>
        <v>15271978</v>
      </c>
      <c r="E65" s="593">
        <f t="shared" si="5"/>
        <v>-1094874</v>
      </c>
    </row>
    <row r="66" spans="1:5" s="421" customFormat="1" x14ac:dyDescent="0.2">
      <c r="A66" s="588"/>
      <c r="B66" s="592" t="s">
        <v>468</v>
      </c>
      <c r="C66" s="593">
        <f>SUM(C58+C65)</f>
        <v>56586095</v>
      </c>
      <c r="D66" s="593">
        <f>SUM(D58+D65)</f>
        <v>50614609</v>
      </c>
      <c r="E66" s="593">
        <f t="shared" si="5"/>
        <v>-5971486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48176988</v>
      </c>
      <c r="D69" s="590">
        <f t="shared" si="6"/>
        <v>42126979</v>
      </c>
      <c r="E69" s="590">
        <f t="shared" ref="E69:E77" si="7">D69-C69</f>
        <v>-6050009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24242071</v>
      </c>
      <c r="D70" s="590">
        <f t="shared" si="6"/>
        <v>23092504</v>
      </c>
      <c r="E70" s="590">
        <f t="shared" si="7"/>
        <v>-1149567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5146086</v>
      </c>
      <c r="D71" s="590">
        <f t="shared" si="6"/>
        <v>4633439</v>
      </c>
      <c r="E71" s="590">
        <f t="shared" si="7"/>
        <v>-512647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5018898</v>
      </c>
      <c r="D72" s="590">
        <f t="shared" si="6"/>
        <v>4514518</v>
      </c>
      <c r="E72" s="590">
        <f t="shared" si="7"/>
        <v>-504380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127188</v>
      </c>
      <c r="D73" s="590">
        <f t="shared" si="6"/>
        <v>118921</v>
      </c>
      <c r="E73" s="590">
        <f t="shared" si="7"/>
        <v>-8267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101107</v>
      </c>
      <c r="D74" s="590">
        <f t="shared" si="6"/>
        <v>87241</v>
      </c>
      <c r="E74" s="590">
        <f t="shared" si="7"/>
        <v>-13866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175360</v>
      </c>
      <c r="D75" s="590">
        <f t="shared" si="6"/>
        <v>222112</v>
      </c>
      <c r="E75" s="590">
        <f t="shared" si="7"/>
        <v>46752</v>
      </c>
    </row>
    <row r="76" spans="1:5" s="421" customFormat="1" x14ac:dyDescent="0.2">
      <c r="A76" s="588"/>
      <c r="B76" s="592" t="s">
        <v>793</v>
      </c>
      <c r="C76" s="593">
        <f>SUM(C70+C71+C74)</f>
        <v>29489264</v>
      </c>
      <c r="D76" s="593">
        <f>SUM(D70+D71+D74)</f>
        <v>27813184</v>
      </c>
      <c r="E76" s="593">
        <f t="shared" si="7"/>
        <v>-1676080</v>
      </c>
    </row>
    <row r="77" spans="1:5" s="421" customFormat="1" x14ac:dyDescent="0.2">
      <c r="A77" s="588"/>
      <c r="B77" s="592" t="s">
        <v>726</v>
      </c>
      <c r="C77" s="593">
        <f>SUM(C69+C76)</f>
        <v>77666252</v>
      </c>
      <c r="D77" s="593">
        <f>SUM(D69+D76)</f>
        <v>69940163</v>
      </c>
      <c r="E77" s="593">
        <f t="shared" si="7"/>
        <v>-7726089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8.8698056014594698E-2</v>
      </c>
      <c r="D83" s="599">
        <f t="shared" si="8"/>
        <v>7.6243004306294951E-2</v>
      </c>
      <c r="E83" s="599">
        <f t="shared" ref="E83:E91" si="9">D83-C83</f>
        <v>-1.2455051708299747E-2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0.16822552743451838</v>
      </c>
      <c r="D84" s="599">
        <f t="shared" si="8"/>
        <v>0.15967646497598853</v>
      </c>
      <c r="E84" s="599">
        <f t="shared" si="9"/>
        <v>-8.5490624585298491E-3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2.1971309583517503E-2</v>
      </c>
      <c r="D85" s="599">
        <f t="shared" si="8"/>
        <v>2.3551111536559338E-2</v>
      </c>
      <c r="E85" s="599">
        <f t="shared" si="9"/>
        <v>1.5798019530418352E-3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2.1616277670595117E-2</v>
      </c>
      <c r="D86" s="599">
        <f t="shared" si="8"/>
        <v>2.2878429596910652E-2</v>
      </c>
      <c r="E86" s="599">
        <f t="shared" si="9"/>
        <v>1.2621519263155342E-3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3.5503191292238809E-4</v>
      </c>
      <c r="D87" s="599">
        <f t="shared" si="8"/>
        <v>6.7268193964868704E-4</v>
      </c>
      <c r="E87" s="599">
        <f t="shared" si="9"/>
        <v>3.1765002672629896E-4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5.3105556303258117E-4</v>
      </c>
      <c r="D88" s="599">
        <f t="shared" si="8"/>
        <v>2.1792848812467029E-4</v>
      </c>
      <c r="E88" s="599">
        <f t="shared" si="9"/>
        <v>-3.1312707490791089E-4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4.1763489826803267E-3</v>
      </c>
      <c r="D89" s="599">
        <f t="shared" si="8"/>
        <v>3.3797649233949655E-3</v>
      </c>
      <c r="E89" s="599">
        <f t="shared" si="9"/>
        <v>-7.9658405928536126E-4</v>
      </c>
    </row>
    <row r="90" spans="1:5" s="421" customFormat="1" x14ac:dyDescent="0.2">
      <c r="A90" s="588"/>
      <c r="B90" s="592" t="s">
        <v>796</v>
      </c>
      <c r="C90" s="600">
        <f>SUM(C84+C85+C88)</f>
        <v>0.19072789258106845</v>
      </c>
      <c r="D90" s="600">
        <f>SUM(D84+D85+D88)</f>
        <v>0.18344550500067253</v>
      </c>
      <c r="E90" s="601">
        <f t="shared" si="9"/>
        <v>-7.282387580395927E-3</v>
      </c>
    </row>
    <row r="91" spans="1:5" s="421" customFormat="1" x14ac:dyDescent="0.2">
      <c r="A91" s="588"/>
      <c r="B91" s="592" t="s">
        <v>797</v>
      </c>
      <c r="C91" s="600">
        <f>SUM(C83+C90)</f>
        <v>0.27942594859566317</v>
      </c>
      <c r="D91" s="600">
        <f>SUM(D83+D90)</f>
        <v>0.25968850930696746</v>
      </c>
      <c r="E91" s="601">
        <f t="shared" si="9"/>
        <v>-1.9737439288695702E-2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0.37957245540471207</v>
      </c>
      <c r="D95" s="599">
        <f t="shared" si="10"/>
        <v>0.36011629781407584</v>
      </c>
      <c r="E95" s="599">
        <f t="shared" ref="E95:E103" si="11">D95-C95</f>
        <v>-1.9456157590636236E-2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0.2741433651470051</v>
      </c>
      <c r="D96" s="599">
        <f t="shared" si="10"/>
        <v>0.30465160793881979</v>
      </c>
      <c r="E96" s="599">
        <f t="shared" si="11"/>
        <v>3.0508242791814688E-2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6.5466114525059529E-2</v>
      </c>
      <c r="D97" s="599">
        <f t="shared" si="10"/>
        <v>7.4341877713100121E-2</v>
      </c>
      <c r="E97" s="599">
        <f t="shared" si="11"/>
        <v>8.8757631880405918E-3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6.3566932070660151E-2</v>
      </c>
      <c r="D98" s="599">
        <f t="shared" si="10"/>
        <v>7.2533658790005798E-2</v>
      </c>
      <c r="E98" s="599">
        <f t="shared" si="11"/>
        <v>8.9667267193456468E-3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1.899182454399387E-3</v>
      </c>
      <c r="D99" s="599">
        <f t="shared" si="10"/>
        <v>1.8082189230943268E-3</v>
      </c>
      <c r="E99" s="599">
        <f t="shared" si="11"/>
        <v>-9.0963531305060172E-5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1.3921163275601089E-3</v>
      </c>
      <c r="D100" s="599">
        <f t="shared" si="10"/>
        <v>1.2017072270367902E-3</v>
      </c>
      <c r="E100" s="599">
        <f t="shared" si="11"/>
        <v>-1.9040910052331873E-4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1.7696996804903602E-2</v>
      </c>
      <c r="D101" s="599">
        <f t="shared" si="10"/>
        <v>1.4897003702661159E-2</v>
      </c>
      <c r="E101" s="599">
        <f t="shared" si="11"/>
        <v>-2.7999931022424426E-3</v>
      </c>
    </row>
    <row r="102" spans="1:5" s="421" customFormat="1" x14ac:dyDescent="0.2">
      <c r="A102" s="588"/>
      <c r="B102" s="592" t="s">
        <v>799</v>
      </c>
      <c r="C102" s="600">
        <f>SUM(C96+C97+C100)</f>
        <v>0.34100159599962471</v>
      </c>
      <c r="D102" s="600">
        <f>SUM(D96+D97+D100)</f>
        <v>0.3801951928789567</v>
      </c>
      <c r="E102" s="601">
        <f t="shared" si="11"/>
        <v>3.9193596879331993E-2</v>
      </c>
    </row>
    <row r="103" spans="1:5" s="421" customFormat="1" x14ac:dyDescent="0.2">
      <c r="A103" s="588"/>
      <c r="B103" s="592" t="s">
        <v>800</v>
      </c>
      <c r="C103" s="600">
        <f>SUM(C95+C102)</f>
        <v>0.72057405140433683</v>
      </c>
      <c r="D103" s="600">
        <f>SUM(D95+D102)</f>
        <v>0.74031149069303259</v>
      </c>
      <c r="E103" s="601">
        <f t="shared" si="11"/>
        <v>1.9737439288695757E-2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0.10246078309533979</v>
      </c>
      <c r="D109" s="599">
        <f t="shared" si="12"/>
        <v>9.7002175988637598E-2</v>
      </c>
      <c r="E109" s="599">
        <f t="shared" ref="E109:E117" si="13">D109-C109</f>
        <v>-5.458607106702193E-3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0.14560653705807769</v>
      </c>
      <c r="D110" s="599">
        <f t="shared" si="12"/>
        <v>0.1577945278737769</v>
      </c>
      <c r="E110" s="599">
        <f t="shared" si="13"/>
        <v>1.2187990815699212E-2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2.2891409772162044E-2</v>
      </c>
      <c r="D111" s="599">
        <f t="shared" si="12"/>
        <v>2.0984480691015835E-2</v>
      </c>
      <c r="E111" s="599">
        <f t="shared" si="13"/>
        <v>-1.9069290811462095E-3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2.2520025815073449E-2</v>
      </c>
      <c r="D112" s="599">
        <f t="shared" si="12"/>
        <v>2.0385111198554112E-2</v>
      </c>
      <c r="E112" s="599">
        <f t="shared" si="13"/>
        <v>-2.1349146165193372E-3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3.7138395708859493E-4</v>
      </c>
      <c r="D113" s="599">
        <f t="shared" si="12"/>
        <v>5.9936949246172048E-4</v>
      </c>
      <c r="E113" s="599">
        <f t="shared" si="13"/>
        <v>2.2798553537312555E-4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4.6104967187035113E-4</v>
      </c>
      <c r="D114" s="599">
        <f t="shared" si="12"/>
        <v>5.3435677580562693E-4</v>
      </c>
      <c r="E114" s="599">
        <f t="shared" si="13"/>
        <v>7.3307103935275799E-5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4.3110101411871914E-4</v>
      </c>
      <c r="D115" s="599">
        <f t="shared" si="12"/>
        <v>5.8725914035973861E-4</v>
      </c>
      <c r="E115" s="599">
        <f t="shared" si="13"/>
        <v>1.5615812624101947E-4</v>
      </c>
    </row>
    <row r="116" spans="1:5" s="421" customFormat="1" x14ac:dyDescent="0.2">
      <c r="A116" s="588"/>
      <c r="B116" s="592" t="s">
        <v>796</v>
      </c>
      <c r="C116" s="600">
        <f>SUM(C110+C111+C114)</f>
        <v>0.16895899650211008</v>
      </c>
      <c r="D116" s="600">
        <f>SUM(D110+D111+D114)</f>
        <v>0.17931336534059836</v>
      </c>
      <c r="E116" s="601">
        <f t="shared" si="13"/>
        <v>1.0354368838488281E-2</v>
      </c>
    </row>
    <row r="117" spans="1:5" s="421" customFormat="1" x14ac:dyDescent="0.2">
      <c r="A117" s="588"/>
      <c r="B117" s="592" t="s">
        <v>797</v>
      </c>
      <c r="C117" s="600">
        <f>SUM(C109+C116)</f>
        <v>0.2714197795974499</v>
      </c>
      <c r="D117" s="600">
        <f>SUM(D109+D116)</f>
        <v>0.27631554132923597</v>
      </c>
      <c r="E117" s="601">
        <f t="shared" si="13"/>
        <v>4.8957617317860747E-3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0.51784709528663753</v>
      </c>
      <c r="D121" s="599">
        <f t="shared" si="14"/>
        <v>0.50532668904417621</v>
      </c>
      <c r="E121" s="599">
        <f t="shared" ref="E121:E129" si="15">D121-C121</f>
        <v>-1.2520406242461313E-2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0.16652479895643735</v>
      </c>
      <c r="D122" s="599">
        <f t="shared" si="14"/>
        <v>0.17238062484927294</v>
      </c>
      <c r="E122" s="599">
        <f t="shared" si="15"/>
        <v>5.8558258928355922E-3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4.3367562013936246E-2</v>
      </c>
      <c r="D123" s="599">
        <f t="shared" si="14"/>
        <v>4.526413528661636E-2</v>
      </c>
      <c r="E123" s="599">
        <f t="shared" si="15"/>
        <v>1.8965732726801132E-3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4.2101323493761486E-2</v>
      </c>
      <c r="D124" s="599">
        <f t="shared" si="14"/>
        <v>4.4163179888499833E-2</v>
      </c>
      <c r="E124" s="599">
        <f t="shared" si="15"/>
        <v>2.061856394738347E-3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1.2662385201747601E-3</v>
      </c>
      <c r="D125" s="599">
        <f t="shared" si="14"/>
        <v>1.10095539811653E-3</v>
      </c>
      <c r="E125" s="599">
        <f t="shared" si="15"/>
        <v>-1.6528312205823007E-4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8.4076414553904309E-4</v>
      </c>
      <c r="D126" s="599">
        <f t="shared" si="14"/>
        <v>7.1300949069849899E-4</v>
      </c>
      <c r="E126" s="599">
        <f t="shared" si="15"/>
        <v>-1.2775465484054409E-4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1.8267651180077546E-3</v>
      </c>
      <c r="D127" s="599">
        <f t="shared" si="14"/>
        <v>2.5884841017599575E-3</v>
      </c>
      <c r="E127" s="599">
        <f t="shared" si="15"/>
        <v>7.6171898375220295E-4</v>
      </c>
    </row>
    <row r="128" spans="1:5" s="421" customFormat="1" x14ac:dyDescent="0.2">
      <c r="A128" s="588"/>
      <c r="B128" s="592" t="s">
        <v>799</v>
      </c>
      <c r="C128" s="600">
        <f>SUM(C122+C123+C126)</f>
        <v>0.21073312511591263</v>
      </c>
      <c r="D128" s="600">
        <f>SUM(D122+D123+D126)</f>
        <v>0.21835776962658779</v>
      </c>
      <c r="E128" s="601">
        <f t="shared" si="15"/>
        <v>7.6246445106751548E-3</v>
      </c>
    </row>
    <row r="129" spans="1:5" s="421" customFormat="1" x14ac:dyDescent="0.2">
      <c r="A129" s="588"/>
      <c r="B129" s="592" t="s">
        <v>800</v>
      </c>
      <c r="C129" s="600">
        <f>SUM(C121+C128)</f>
        <v>0.72858022040255022</v>
      </c>
      <c r="D129" s="600">
        <f>SUM(D121+D128)</f>
        <v>0.72368445867076403</v>
      </c>
      <c r="E129" s="601">
        <f t="shared" si="15"/>
        <v>-4.8957617317861857E-3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888</v>
      </c>
      <c r="D137" s="606">
        <v>545</v>
      </c>
      <c r="E137" s="607">
        <f t="shared" ref="E137:E145" si="16">D137-C137</f>
        <v>-343</v>
      </c>
    </row>
    <row r="138" spans="1:5" s="421" customFormat="1" x14ac:dyDescent="0.2">
      <c r="A138" s="588">
        <v>2</v>
      </c>
      <c r="B138" s="587" t="s">
        <v>635</v>
      </c>
      <c r="C138" s="606">
        <v>1118</v>
      </c>
      <c r="D138" s="606">
        <v>1083</v>
      </c>
      <c r="E138" s="607">
        <f t="shared" si="16"/>
        <v>-35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273</v>
      </c>
      <c r="D139" s="606">
        <f>D140+D141</f>
        <v>194</v>
      </c>
      <c r="E139" s="607">
        <f t="shared" si="16"/>
        <v>-79</v>
      </c>
    </row>
    <row r="140" spans="1:5" s="421" customFormat="1" x14ac:dyDescent="0.2">
      <c r="A140" s="588">
        <v>4</v>
      </c>
      <c r="B140" s="587" t="s">
        <v>115</v>
      </c>
      <c r="C140" s="606">
        <v>265</v>
      </c>
      <c r="D140" s="606">
        <v>188</v>
      </c>
      <c r="E140" s="607">
        <f t="shared" si="16"/>
        <v>-77</v>
      </c>
    </row>
    <row r="141" spans="1:5" s="421" customFormat="1" x14ac:dyDescent="0.2">
      <c r="A141" s="588">
        <v>5</v>
      </c>
      <c r="B141" s="587" t="s">
        <v>743</v>
      </c>
      <c r="C141" s="606">
        <v>8</v>
      </c>
      <c r="D141" s="606">
        <v>6</v>
      </c>
      <c r="E141" s="607">
        <f t="shared" si="16"/>
        <v>-2</v>
      </c>
    </row>
    <row r="142" spans="1:5" s="421" customFormat="1" x14ac:dyDescent="0.2">
      <c r="A142" s="588">
        <v>6</v>
      </c>
      <c r="B142" s="587" t="s">
        <v>424</v>
      </c>
      <c r="C142" s="606">
        <v>9</v>
      </c>
      <c r="D142" s="606">
        <v>2</v>
      </c>
      <c r="E142" s="607">
        <f t="shared" si="16"/>
        <v>-7</v>
      </c>
    </row>
    <row r="143" spans="1:5" s="421" customFormat="1" x14ac:dyDescent="0.2">
      <c r="A143" s="588">
        <v>7</v>
      </c>
      <c r="B143" s="587" t="s">
        <v>758</v>
      </c>
      <c r="C143" s="606">
        <v>54</v>
      </c>
      <c r="D143" s="606">
        <v>38</v>
      </c>
      <c r="E143" s="607">
        <f t="shared" si="16"/>
        <v>-16</v>
      </c>
    </row>
    <row r="144" spans="1:5" s="421" customFormat="1" x14ac:dyDescent="0.2">
      <c r="A144" s="588"/>
      <c r="B144" s="592" t="s">
        <v>807</v>
      </c>
      <c r="C144" s="608">
        <f>SUM(C138+C139+C142)</f>
        <v>1400</v>
      </c>
      <c r="D144" s="608">
        <f>SUM(D138+D139+D142)</f>
        <v>1279</v>
      </c>
      <c r="E144" s="609">
        <f t="shared" si="16"/>
        <v>-121</v>
      </c>
    </row>
    <row r="145" spans="1:5" s="421" customFormat="1" x14ac:dyDescent="0.2">
      <c r="A145" s="588"/>
      <c r="B145" s="592" t="s">
        <v>138</v>
      </c>
      <c r="C145" s="608">
        <f>SUM(C137+C144)</f>
        <v>2288</v>
      </c>
      <c r="D145" s="608">
        <f>SUM(D137+D144)</f>
        <v>1824</v>
      </c>
      <c r="E145" s="609">
        <f t="shared" si="16"/>
        <v>-464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2625</v>
      </c>
      <c r="D149" s="610">
        <v>1705</v>
      </c>
      <c r="E149" s="607">
        <f t="shared" ref="E149:E157" si="17">D149-C149</f>
        <v>-920</v>
      </c>
    </row>
    <row r="150" spans="1:5" s="421" customFormat="1" x14ac:dyDescent="0.2">
      <c r="A150" s="588">
        <v>2</v>
      </c>
      <c r="B150" s="587" t="s">
        <v>635</v>
      </c>
      <c r="C150" s="610">
        <v>4985</v>
      </c>
      <c r="D150" s="610">
        <v>4593</v>
      </c>
      <c r="E150" s="607">
        <f t="shared" si="17"/>
        <v>-392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900</v>
      </c>
      <c r="D151" s="610">
        <f>D152+D153</f>
        <v>716</v>
      </c>
      <c r="E151" s="607">
        <f t="shared" si="17"/>
        <v>-184</v>
      </c>
    </row>
    <row r="152" spans="1:5" s="421" customFormat="1" x14ac:dyDescent="0.2">
      <c r="A152" s="588">
        <v>4</v>
      </c>
      <c r="B152" s="587" t="s">
        <v>115</v>
      </c>
      <c r="C152" s="610">
        <v>889</v>
      </c>
      <c r="D152" s="610">
        <v>703</v>
      </c>
      <c r="E152" s="607">
        <f t="shared" si="17"/>
        <v>-186</v>
      </c>
    </row>
    <row r="153" spans="1:5" s="421" customFormat="1" x14ac:dyDescent="0.2">
      <c r="A153" s="588">
        <v>5</v>
      </c>
      <c r="B153" s="587" t="s">
        <v>743</v>
      </c>
      <c r="C153" s="611">
        <v>11</v>
      </c>
      <c r="D153" s="610">
        <v>13</v>
      </c>
      <c r="E153" s="607">
        <f t="shared" si="17"/>
        <v>2</v>
      </c>
    </row>
    <row r="154" spans="1:5" s="421" customFormat="1" x14ac:dyDescent="0.2">
      <c r="A154" s="588">
        <v>6</v>
      </c>
      <c r="B154" s="587" t="s">
        <v>424</v>
      </c>
      <c r="C154" s="610">
        <v>27</v>
      </c>
      <c r="D154" s="610">
        <v>3</v>
      </c>
      <c r="E154" s="607">
        <f t="shared" si="17"/>
        <v>-24</v>
      </c>
    </row>
    <row r="155" spans="1:5" s="421" customFormat="1" x14ac:dyDescent="0.2">
      <c r="A155" s="588">
        <v>7</v>
      </c>
      <c r="B155" s="587" t="s">
        <v>758</v>
      </c>
      <c r="C155" s="610">
        <v>165</v>
      </c>
      <c r="D155" s="610">
        <v>111</v>
      </c>
      <c r="E155" s="607">
        <f t="shared" si="17"/>
        <v>-54</v>
      </c>
    </row>
    <row r="156" spans="1:5" s="421" customFormat="1" x14ac:dyDescent="0.2">
      <c r="A156" s="588"/>
      <c r="B156" s="592" t="s">
        <v>808</v>
      </c>
      <c r="C156" s="608">
        <f>SUM(C150+C151+C154)</f>
        <v>5912</v>
      </c>
      <c r="D156" s="608">
        <f>SUM(D150+D151+D154)</f>
        <v>5312</v>
      </c>
      <c r="E156" s="609">
        <f t="shared" si="17"/>
        <v>-600</v>
      </c>
    </row>
    <row r="157" spans="1:5" s="421" customFormat="1" x14ac:dyDescent="0.2">
      <c r="A157" s="588"/>
      <c r="B157" s="592" t="s">
        <v>140</v>
      </c>
      <c r="C157" s="608">
        <f>SUM(C149+C156)</f>
        <v>8537</v>
      </c>
      <c r="D157" s="608">
        <f>SUM(D149+D156)</f>
        <v>7017</v>
      </c>
      <c r="E157" s="609">
        <f t="shared" si="17"/>
        <v>-1520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2.9560810810810811</v>
      </c>
      <c r="D161" s="612">
        <f t="shared" si="18"/>
        <v>3.1284403669724772</v>
      </c>
      <c r="E161" s="613">
        <f t="shared" ref="E161:E169" si="19">D161-C161</f>
        <v>0.17235928589139604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4.4588550983899822</v>
      </c>
      <c r="D162" s="612">
        <f t="shared" si="18"/>
        <v>4.2409972299168972</v>
      </c>
      <c r="E162" s="613">
        <f t="shared" si="19"/>
        <v>-0.21785786847308497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3.2967032967032965</v>
      </c>
      <c r="D163" s="612">
        <f t="shared" si="18"/>
        <v>3.6907216494845363</v>
      </c>
      <c r="E163" s="613">
        <f t="shared" si="19"/>
        <v>0.39401835278123976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3.3547169811320754</v>
      </c>
      <c r="D164" s="612">
        <f t="shared" si="18"/>
        <v>3.7393617021276597</v>
      </c>
      <c r="E164" s="613">
        <f t="shared" si="19"/>
        <v>0.38464472099558433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1.375</v>
      </c>
      <c r="D165" s="612">
        <f t="shared" si="18"/>
        <v>2.1666666666666665</v>
      </c>
      <c r="E165" s="613">
        <f t="shared" si="19"/>
        <v>0.79166666666666652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</v>
      </c>
      <c r="D166" s="612">
        <f t="shared" si="18"/>
        <v>1.5</v>
      </c>
      <c r="E166" s="613">
        <f t="shared" si="19"/>
        <v>-1.5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3.0555555555555554</v>
      </c>
      <c r="D167" s="612">
        <f t="shared" si="18"/>
        <v>2.9210526315789473</v>
      </c>
      <c r="E167" s="613">
        <f t="shared" si="19"/>
        <v>-0.13450292397660801</v>
      </c>
    </row>
    <row r="168" spans="1:5" s="421" customFormat="1" x14ac:dyDescent="0.2">
      <c r="A168" s="588"/>
      <c r="B168" s="592" t="s">
        <v>810</v>
      </c>
      <c r="C168" s="614">
        <f t="shared" si="18"/>
        <v>4.2228571428571424</v>
      </c>
      <c r="D168" s="614">
        <f t="shared" si="18"/>
        <v>4.153244722439406</v>
      </c>
      <c r="E168" s="615">
        <f t="shared" si="19"/>
        <v>-6.9612420417736409E-2</v>
      </c>
    </row>
    <row r="169" spans="1:5" s="421" customFormat="1" x14ac:dyDescent="0.2">
      <c r="A169" s="588"/>
      <c r="B169" s="592" t="s">
        <v>744</v>
      </c>
      <c r="C169" s="614">
        <f t="shared" si="18"/>
        <v>3.7312062937062938</v>
      </c>
      <c r="D169" s="614">
        <f t="shared" si="18"/>
        <v>3.8470394736842106</v>
      </c>
      <c r="E169" s="615">
        <f t="shared" si="19"/>
        <v>0.11583317997791687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1.0384</v>
      </c>
      <c r="D173" s="617">
        <f t="shared" si="20"/>
        <v>1.3024</v>
      </c>
      <c r="E173" s="618">
        <f t="shared" ref="E173:E181" si="21">D173-C173</f>
        <v>0.26400000000000001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1.339</v>
      </c>
      <c r="D174" s="617">
        <f t="shared" si="20"/>
        <v>1.3311999999999999</v>
      </c>
      <c r="E174" s="618">
        <f t="shared" si="21"/>
        <v>-7.8000000000000291E-3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0.77646153846153843</v>
      </c>
      <c r="D175" s="617">
        <f t="shared" si="20"/>
        <v>0.99577731958762894</v>
      </c>
      <c r="E175" s="618">
        <f t="shared" si="21"/>
        <v>0.21931578112609051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0.7772</v>
      </c>
      <c r="D176" s="617">
        <f t="shared" si="20"/>
        <v>0.99210000000000009</v>
      </c>
      <c r="E176" s="618">
        <f t="shared" si="21"/>
        <v>0.21490000000000009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0.752</v>
      </c>
      <c r="D177" s="617">
        <f t="shared" si="20"/>
        <v>1.111</v>
      </c>
      <c r="E177" s="618">
        <f t="shared" si="21"/>
        <v>0.35899999999999999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0.77890000000000004</v>
      </c>
      <c r="D178" s="617">
        <f t="shared" si="20"/>
        <v>1.1599999999999999</v>
      </c>
      <c r="E178" s="618">
        <f t="shared" si="21"/>
        <v>0.38109999999999988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0.87460000000000004</v>
      </c>
      <c r="D179" s="617">
        <f t="shared" si="20"/>
        <v>1.0138</v>
      </c>
      <c r="E179" s="618">
        <f t="shared" si="21"/>
        <v>0.13919999999999999</v>
      </c>
    </row>
    <row r="180" spans="1:5" s="421" customFormat="1" x14ac:dyDescent="0.2">
      <c r="A180" s="588"/>
      <c r="B180" s="592" t="s">
        <v>812</v>
      </c>
      <c r="C180" s="619">
        <f t="shared" si="20"/>
        <v>1.225704357142857</v>
      </c>
      <c r="D180" s="619">
        <f t="shared" si="20"/>
        <v>1.2800550430023456</v>
      </c>
      <c r="E180" s="620">
        <f t="shared" si="21"/>
        <v>5.4350685859488657E-2</v>
      </c>
    </row>
    <row r="181" spans="1:5" s="421" customFormat="1" x14ac:dyDescent="0.2">
      <c r="A181" s="588"/>
      <c r="B181" s="592" t="s">
        <v>723</v>
      </c>
      <c r="C181" s="619">
        <f t="shared" si="20"/>
        <v>1.1530093094405593</v>
      </c>
      <c r="D181" s="619">
        <f t="shared" si="20"/>
        <v>1.2867315789473683</v>
      </c>
      <c r="E181" s="620">
        <f t="shared" si="21"/>
        <v>0.13372226950680899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91235379</v>
      </c>
      <c r="D185" s="589">
        <v>76994635</v>
      </c>
      <c r="E185" s="590">
        <f>D185-C185</f>
        <v>-14240744</v>
      </c>
    </row>
    <row r="186" spans="1:5" s="421" customFormat="1" ht="25.5" x14ac:dyDescent="0.2">
      <c r="A186" s="588">
        <v>2</v>
      </c>
      <c r="B186" s="587" t="s">
        <v>815</v>
      </c>
      <c r="C186" s="589">
        <v>48013405</v>
      </c>
      <c r="D186" s="589">
        <v>41945973</v>
      </c>
      <c r="E186" s="590">
        <f>D186-C186</f>
        <v>-6067432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43221974</v>
      </c>
      <c r="D188" s="622">
        <f>+D185-D186</f>
        <v>35048662</v>
      </c>
      <c r="E188" s="590">
        <f t="shared" ref="E188:E197" si="22">D188-C188</f>
        <v>-8173312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0.47374137613874545</v>
      </c>
      <c r="D189" s="623">
        <f>IF(D185=0,0,+D188/D185)</f>
        <v>0.45520914541643065</v>
      </c>
      <c r="E189" s="599">
        <f t="shared" si="22"/>
        <v>-1.8532230722314802E-2</v>
      </c>
    </row>
    <row r="190" spans="1:5" s="421" customFormat="1" x14ac:dyDescent="0.2">
      <c r="A190" s="588">
        <v>5</v>
      </c>
      <c r="B190" s="587" t="s">
        <v>762</v>
      </c>
      <c r="C190" s="589">
        <v>2704607</v>
      </c>
      <c r="D190" s="589">
        <v>2876575</v>
      </c>
      <c r="E190" s="622">
        <f t="shared" si="22"/>
        <v>171968</v>
      </c>
    </row>
    <row r="191" spans="1:5" s="421" customFormat="1" x14ac:dyDescent="0.2">
      <c r="A191" s="588">
        <v>6</v>
      </c>
      <c r="B191" s="587" t="s">
        <v>748</v>
      </c>
      <c r="C191" s="589">
        <v>1585231</v>
      </c>
      <c r="D191" s="589">
        <v>1750572</v>
      </c>
      <c r="E191" s="622">
        <f t="shared" si="22"/>
        <v>165341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1181756</v>
      </c>
      <c r="D193" s="589">
        <v>624534</v>
      </c>
      <c r="E193" s="622">
        <f t="shared" si="22"/>
        <v>-557222</v>
      </c>
    </row>
    <row r="194" spans="1:5" s="421" customFormat="1" x14ac:dyDescent="0.2">
      <c r="A194" s="588">
        <v>9</v>
      </c>
      <c r="B194" s="587" t="s">
        <v>818</v>
      </c>
      <c r="C194" s="589">
        <v>3125172</v>
      </c>
      <c r="D194" s="589">
        <v>2560334</v>
      </c>
      <c r="E194" s="622">
        <f t="shared" si="22"/>
        <v>-564838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4306928</v>
      </c>
      <c r="D195" s="589">
        <f>+D193+D194</f>
        <v>3184868</v>
      </c>
      <c r="E195" s="625">
        <f t="shared" si="22"/>
        <v>-1122060</v>
      </c>
    </row>
    <row r="196" spans="1:5" s="421" customFormat="1" x14ac:dyDescent="0.2">
      <c r="A196" s="588">
        <v>11</v>
      </c>
      <c r="B196" s="587" t="s">
        <v>820</v>
      </c>
      <c r="C196" s="589">
        <v>1244665</v>
      </c>
      <c r="D196" s="589">
        <v>874400</v>
      </c>
      <c r="E196" s="622">
        <f t="shared" si="22"/>
        <v>-370265</v>
      </c>
    </row>
    <row r="197" spans="1:5" s="421" customFormat="1" x14ac:dyDescent="0.2">
      <c r="A197" s="588">
        <v>12</v>
      </c>
      <c r="B197" s="587" t="s">
        <v>710</v>
      </c>
      <c r="C197" s="589">
        <v>88958809</v>
      </c>
      <c r="D197" s="589">
        <v>72962299</v>
      </c>
      <c r="E197" s="622">
        <f t="shared" si="22"/>
        <v>-15996510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922.0992</v>
      </c>
      <c r="D203" s="629">
        <v>709.80799999999999</v>
      </c>
      <c r="E203" s="630">
        <f t="shared" ref="E203:E211" si="23">D203-C203</f>
        <v>-212.2912</v>
      </c>
    </row>
    <row r="204" spans="1:5" s="421" customFormat="1" x14ac:dyDescent="0.2">
      <c r="A204" s="588">
        <v>2</v>
      </c>
      <c r="B204" s="587" t="s">
        <v>635</v>
      </c>
      <c r="C204" s="629">
        <v>1497.002</v>
      </c>
      <c r="D204" s="629">
        <v>1441.6895999999999</v>
      </c>
      <c r="E204" s="630">
        <f t="shared" si="23"/>
        <v>-55.312400000000025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211.97399999999999</v>
      </c>
      <c r="D205" s="629">
        <f>D206+D207</f>
        <v>193.1808</v>
      </c>
      <c r="E205" s="630">
        <f t="shared" si="23"/>
        <v>-18.793199999999985</v>
      </c>
    </row>
    <row r="206" spans="1:5" s="421" customFormat="1" x14ac:dyDescent="0.2">
      <c r="A206" s="588">
        <v>4</v>
      </c>
      <c r="B206" s="587" t="s">
        <v>115</v>
      </c>
      <c r="C206" s="629">
        <v>205.958</v>
      </c>
      <c r="D206" s="629">
        <v>186.51480000000001</v>
      </c>
      <c r="E206" s="630">
        <f t="shared" si="23"/>
        <v>-19.44319999999999</v>
      </c>
    </row>
    <row r="207" spans="1:5" s="421" customFormat="1" x14ac:dyDescent="0.2">
      <c r="A207" s="588">
        <v>5</v>
      </c>
      <c r="B207" s="587" t="s">
        <v>743</v>
      </c>
      <c r="C207" s="629">
        <v>6.016</v>
      </c>
      <c r="D207" s="629">
        <v>6.6660000000000004</v>
      </c>
      <c r="E207" s="630">
        <f t="shared" si="23"/>
        <v>0.65000000000000036</v>
      </c>
    </row>
    <row r="208" spans="1:5" s="421" customFormat="1" x14ac:dyDescent="0.2">
      <c r="A208" s="588">
        <v>6</v>
      </c>
      <c r="B208" s="587" t="s">
        <v>424</v>
      </c>
      <c r="C208" s="629">
        <v>7.0101000000000004</v>
      </c>
      <c r="D208" s="629">
        <v>2.3199999999999998</v>
      </c>
      <c r="E208" s="630">
        <f t="shared" si="23"/>
        <v>-4.690100000000001</v>
      </c>
    </row>
    <row r="209" spans="1:5" s="421" customFormat="1" x14ac:dyDescent="0.2">
      <c r="A209" s="588">
        <v>7</v>
      </c>
      <c r="B209" s="587" t="s">
        <v>758</v>
      </c>
      <c r="C209" s="629">
        <v>47.228400000000001</v>
      </c>
      <c r="D209" s="629">
        <v>38.5244</v>
      </c>
      <c r="E209" s="630">
        <f t="shared" si="23"/>
        <v>-8.7040000000000006</v>
      </c>
    </row>
    <row r="210" spans="1:5" s="421" customFormat="1" x14ac:dyDescent="0.2">
      <c r="A210" s="588"/>
      <c r="B210" s="592" t="s">
        <v>823</v>
      </c>
      <c r="C210" s="631">
        <f>C204+C205+C208</f>
        <v>1715.9860999999999</v>
      </c>
      <c r="D210" s="631">
        <f>D204+D205+D208</f>
        <v>1637.1904</v>
      </c>
      <c r="E210" s="632">
        <f t="shared" si="23"/>
        <v>-78.795699999999897</v>
      </c>
    </row>
    <row r="211" spans="1:5" s="421" customFormat="1" x14ac:dyDescent="0.2">
      <c r="A211" s="588"/>
      <c r="B211" s="592" t="s">
        <v>724</v>
      </c>
      <c r="C211" s="631">
        <f>C210+C203</f>
        <v>2638.0852999999997</v>
      </c>
      <c r="D211" s="631">
        <f>D210+D203</f>
        <v>2346.9983999999999</v>
      </c>
      <c r="E211" s="632">
        <f t="shared" si="23"/>
        <v>-291.08689999999979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3800.0871219085479</v>
      </c>
      <c r="D215" s="633">
        <f>IF(D14*D137=0,0,D25/D14*D137)</f>
        <v>2574.1821704744525</v>
      </c>
      <c r="E215" s="633">
        <f t="shared" ref="E215:E223" si="24">D215-C215</f>
        <v>-1225.9049514340954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1821.9130408353367</v>
      </c>
      <c r="D216" s="633">
        <f>IF(D15*D138=0,0,D26/D15*D138)</f>
        <v>2066.2888012166127</v>
      </c>
      <c r="E216" s="633">
        <f t="shared" si="24"/>
        <v>244.375760381276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822.07944825990296</v>
      </c>
      <c r="D217" s="633">
        <f>D218+D219</f>
        <v>612.16270471266546</v>
      </c>
      <c r="E217" s="633">
        <f t="shared" si="24"/>
        <v>-209.9167435472375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779.28481746141335</v>
      </c>
      <c r="D218" s="633">
        <f t="shared" si="25"/>
        <v>596.03425990228141</v>
      </c>
      <c r="E218" s="633">
        <f t="shared" si="24"/>
        <v>-183.25055755913195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42.794630798489571</v>
      </c>
      <c r="D219" s="633">
        <f t="shared" si="25"/>
        <v>16.128444810384075</v>
      </c>
      <c r="E219" s="633">
        <f t="shared" si="24"/>
        <v>-26.666185988105497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23.592723285853801</v>
      </c>
      <c r="D220" s="633">
        <f t="shared" si="25"/>
        <v>11.028454676832611</v>
      </c>
      <c r="E220" s="633">
        <f t="shared" si="24"/>
        <v>-12.564268609021189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228.82135363397686</v>
      </c>
      <c r="D221" s="633">
        <f t="shared" si="25"/>
        <v>167.49275571878886</v>
      </c>
      <c r="E221" s="633">
        <f t="shared" si="24"/>
        <v>-61.328597915187999</v>
      </c>
    </row>
    <row r="222" spans="1:5" s="421" customFormat="1" x14ac:dyDescent="0.2">
      <c r="A222" s="588"/>
      <c r="B222" s="592" t="s">
        <v>825</v>
      </c>
      <c r="C222" s="634">
        <f>C216+C218+C219+C220</f>
        <v>2667.5852123810932</v>
      </c>
      <c r="D222" s="634">
        <f>D216+D218+D219+D220</f>
        <v>2689.479960606111</v>
      </c>
      <c r="E222" s="634">
        <f t="shared" si="24"/>
        <v>21.894748225017793</v>
      </c>
    </row>
    <row r="223" spans="1:5" s="421" customFormat="1" x14ac:dyDescent="0.2">
      <c r="A223" s="588"/>
      <c r="B223" s="592" t="s">
        <v>826</v>
      </c>
      <c r="C223" s="634">
        <f>C215+C222</f>
        <v>6467.6723342896412</v>
      </c>
      <c r="D223" s="634">
        <f>D215+D222</f>
        <v>5263.662131080564</v>
      </c>
      <c r="E223" s="634">
        <f t="shared" si="24"/>
        <v>-1204.0102032090772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8630.0313458682103</v>
      </c>
      <c r="D227" s="636">
        <f t="shared" si="26"/>
        <v>9558.0044180961613</v>
      </c>
      <c r="E227" s="636">
        <f t="shared" ref="E227:E235" si="27">D227-C227</f>
        <v>927.97307222795098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7554.2410764982278</v>
      </c>
      <c r="D228" s="636">
        <f t="shared" si="26"/>
        <v>7655.028516540593</v>
      </c>
      <c r="E228" s="636">
        <f t="shared" si="27"/>
        <v>100.78744004236523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8387.3022163095484</v>
      </c>
      <c r="D229" s="636">
        <f t="shared" si="26"/>
        <v>7597.3285129785154</v>
      </c>
      <c r="E229" s="636">
        <f t="shared" si="27"/>
        <v>-789.97370333103299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8492.2459919012617</v>
      </c>
      <c r="D230" s="636">
        <f t="shared" si="26"/>
        <v>7644.1011651622284</v>
      </c>
      <c r="E230" s="636">
        <f t="shared" si="27"/>
        <v>-848.14482673903331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4794.5478723404258</v>
      </c>
      <c r="D231" s="636">
        <f t="shared" si="26"/>
        <v>6288.6288628862885</v>
      </c>
      <c r="E231" s="636">
        <f t="shared" si="27"/>
        <v>1494.0809905458627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5108.0583729190739</v>
      </c>
      <c r="D232" s="636">
        <f t="shared" si="26"/>
        <v>16109.051724137933</v>
      </c>
      <c r="E232" s="636">
        <f t="shared" si="27"/>
        <v>11000.993351218858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708.93784248460668</v>
      </c>
      <c r="D233" s="636">
        <f t="shared" si="26"/>
        <v>1066.1554754908577</v>
      </c>
      <c r="E233" s="636">
        <f t="shared" si="27"/>
        <v>357.21763300625105</v>
      </c>
    </row>
    <row r="234" spans="1:5" x14ac:dyDescent="0.2">
      <c r="A234" s="588"/>
      <c r="B234" s="592" t="s">
        <v>828</v>
      </c>
      <c r="C234" s="637">
        <f t="shared" si="26"/>
        <v>7647.1551838327832</v>
      </c>
      <c r="D234" s="637">
        <f t="shared" si="26"/>
        <v>7660.200059809782</v>
      </c>
      <c r="E234" s="637">
        <f t="shared" si="27"/>
        <v>13.04487597699881</v>
      </c>
    </row>
    <row r="235" spans="1:5" s="421" customFormat="1" x14ac:dyDescent="0.2">
      <c r="A235" s="588"/>
      <c r="B235" s="592" t="s">
        <v>829</v>
      </c>
      <c r="C235" s="637">
        <f t="shared" si="26"/>
        <v>7990.7033332091278</v>
      </c>
      <c r="D235" s="637">
        <f t="shared" si="26"/>
        <v>8234.1572964003735</v>
      </c>
      <c r="E235" s="637">
        <f t="shared" si="27"/>
        <v>243.45396319124575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10583.768663651155</v>
      </c>
      <c r="D239" s="636">
        <f t="shared" si="28"/>
        <v>13729.654181190266</v>
      </c>
      <c r="E239" s="638">
        <f t="shared" ref="E239:E247" si="29">D239-C239</f>
        <v>3145.8855175391109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7098.7784324053855</v>
      </c>
      <c r="D240" s="636">
        <f t="shared" si="28"/>
        <v>5834.7743998328497</v>
      </c>
      <c r="E240" s="638">
        <f t="shared" si="29"/>
        <v>-1264.0040325725358</v>
      </c>
    </row>
    <row r="241" spans="1:5" x14ac:dyDescent="0.2">
      <c r="A241" s="588">
        <v>3</v>
      </c>
      <c r="B241" s="587" t="s">
        <v>777</v>
      </c>
      <c r="C241" s="636">
        <f t="shared" si="28"/>
        <v>4097.1660429286567</v>
      </c>
      <c r="D241" s="636">
        <f t="shared" si="28"/>
        <v>5171.4698978369515</v>
      </c>
      <c r="E241" s="638">
        <f t="shared" si="29"/>
        <v>1074.3038549082949</v>
      </c>
    </row>
    <row r="242" spans="1:5" x14ac:dyDescent="0.2">
      <c r="A242" s="588">
        <v>4</v>
      </c>
      <c r="B242" s="587" t="s">
        <v>115</v>
      </c>
      <c r="C242" s="636">
        <f t="shared" si="28"/>
        <v>4195.9652321365911</v>
      </c>
      <c r="D242" s="636">
        <f t="shared" si="28"/>
        <v>5182.2188887370321</v>
      </c>
      <c r="E242" s="638">
        <f t="shared" si="29"/>
        <v>986.25365660044099</v>
      </c>
    </row>
    <row r="243" spans="1:5" x14ac:dyDescent="0.2">
      <c r="A243" s="588">
        <v>5</v>
      </c>
      <c r="B243" s="587" t="s">
        <v>743</v>
      </c>
      <c r="C243" s="636">
        <f t="shared" si="28"/>
        <v>2298.0452959877161</v>
      </c>
      <c r="D243" s="636">
        <f t="shared" si="28"/>
        <v>4774.2358860554232</v>
      </c>
      <c r="E243" s="638">
        <f t="shared" si="29"/>
        <v>2476.190590067707</v>
      </c>
    </row>
    <row r="244" spans="1:5" x14ac:dyDescent="0.2">
      <c r="A244" s="588">
        <v>6</v>
      </c>
      <c r="B244" s="587" t="s">
        <v>424</v>
      </c>
      <c r="C244" s="636">
        <f t="shared" si="28"/>
        <v>2767.760177950855</v>
      </c>
      <c r="D244" s="636">
        <f t="shared" si="28"/>
        <v>4521.7577132322376</v>
      </c>
      <c r="E244" s="638">
        <f t="shared" si="29"/>
        <v>1753.9975352813826</v>
      </c>
    </row>
    <row r="245" spans="1:5" x14ac:dyDescent="0.2">
      <c r="A245" s="588">
        <v>7</v>
      </c>
      <c r="B245" s="587" t="s">
        <v>758</v>
      </c>
      <c r="C245" s="636">
        <f t="shared" si="28"/>
        <v>620.03828640463496</v>
      </c>
      <c r="D245" s="636">
        <f t="shared" si="28"/>
        <v>1080.8765980539156</v>
      </c>
      <c r="E245" s="638">
        <f t="shared" si="29"/>
        <v>460.83831164928063</v>
      </c>
    </row>
    <row r="246" spans="1:5" ht="25.5" x14ac:dyDescent="0.2">
      <c r="A246" s="588"/>
      <c r="B246" s="592" t="s">
        <v>831</v>
      </c>
      <c r="C246" s="637">
        <f t="shared" si="28"/>
        <v>6135.4561136552811</v>
      </c>
      <c r="D246" s="637">
        <f t="shared" si="28"/>
        <v>5678.4130105800268</v>
      </c>
      <c r="E246" s="639">
        <f t="shared" si="29"/>
        <v>-457.04310307525429</v>
      </c>
    </row>
    <row r="247" spans="1:5" x14ac:dyDescent="0.2">
      <c r="A247" s="588"/>
      <c r="B247" s="592" t="s">
        <v>832</v>
      </c>
      <c r="C247" s="637">
        <f t="shared" si="28"/>
        <v>8749.0664454347279</v>
      </c>
      <c r="D247" s="637">
        <f t="shared" si="28"/>
        <v>9615.8544639736319</v>
      </c>
      <c r="E247" s="639">
        <f t="shared" si="29"/>
        <v>866.788018538904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2262118.2548960485</v>
      </c>
      <c r="D251" s="622">
        <f>((IF((IF(D15=0,0,D26/D15)*D138)=0,0,D59/(IF(D15=0,0,D26/D15)*D138)))-(IF((IF(D17=0,0,D28/D17)*D140)=0,0,D61/(IF(D17=0,0,D28/D17)*D140))))*(IF(D17=0,0,D28/D17)*D140)</f>
        <v>388945.44110115059</v>
      </c>
      <c r="E251" s="622">
        <f>D251-C251</f>
        <v>-1873172.8137948979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222047.91645128239</v>
      </c>
      <c r="D252" s="622">
        <f>IF(D231=0,0,(D228-D231)*D207)+IF(D243=0,0,(D240-D243)*D219)</f>
        <v>26213.256980005568</v>
      </c>
      <c r="E252" s="622">
        <f>D252-C252</f>
        <v>-195834.65947127683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1805766.8093079694</v>
      </c>
      <c r="D253" s="622">
        <f>IF(D233=0,0,(D228-D233)*D209+IF(D221=0,0,(D240-D245)*D221))</f>
        <v>1050075.8238080628</v>
      </c>
      <c r="E253" s="622">
        <f>D253-C253</f>
        <v>-755690.98549990659</v>
      </c>
    </row>
    <row r="254" spans="1:5" ht="15" customHeight="1" x14ac:dyDescent="0.2">
      <c r="A254" s="588"/>
      <c r="B254" s="592" t="s">
        <v>759</v>
      </c>
      <c r="C254" s="640">
        <f>+C251+C252+C253</f>
        <v>4289932.9806553004</v>
      </c>
      <c r="D254" s="640">
        <f>+D251+D252+D253</f>
        <v>1465234.5218892191</v>
      </c>
      <c r="E254" s="640">
        <f>D254-C254</f>
        <v>-2824698.4587660814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204381627</v>
      </c>
      <c r="D258" s="625">
        <f>+D44</f>
        <v>184161329</v>
      </c>
      <c r="E258" s="622">
        <f t="shared" ref="E258:E271" si="30">D258-C258</f>
        <v>-20220298</v>
      </c>
    </row>
    <row r="259" spans="1:5" x14ac:dyDescent="0.2">
      <c r="A259" s="588">
        <v>2</v>
      </c>
      <c r="B259" s="587" t="s">
        <v>742</v>
      </c>
      <c r="C259" s="622">
        <f>+(C43-C76)</f>
        <v>79186474</v>
      </c>
      <c r="D259" s="625">
        <f>+(D43-D76)</f>
        <v>75987636</v>
      </c>
      <c r="E259" s="622">
        <f t="shared" si="30"/>
        <v>-3198838</v>
      </c>
    </row>
    <row r="260" spans="1:5" x14ac:dyDescent="0.2">
      <c r="A260" s="588">
        <v>3</v>
      </c>
      <c r="B260" s="587" t="s">
        <v>746</v>
      </c>
      <c r="C260" s="622">
        <f>C195</f>
        <v>4306928</v>
      </c>
      <c r="D260" s="622">
        <f>D195</f>
        <v>3184868</v>
      </c>
      <c r="E260" s="622">
        <f t="shared" si="30"/>
        <v>-1122060</v>
      </c>
    </row>
    <row r="261" spans="1:5" x14ac:dyDescent="0.2">
      <c r="A261" s="588">
        <v>4</v>
      </c>
      <c r="B261" s="587" t="s">
        <v>747</v>
      </c>
      <c r="C261" s="622">
        <f>C188</f>
        <v>43221974</v>
      </c>
      <c r="D261" s="622">
        <f>D188</f>
        <v>35048662</v>
      </c>
      <c r="E261" s="622">
        <f t="shared" si="30"/>
        <v>-8173312</v>
      </c>
    </row>
    <row r="262" spans="1:5" x14ac:dyDescent="0.2">
      <c r="A262" s="588">
        <v>5</v>
      </c>
      <c r="B262" s="587" t="s">
        <v>748</v>
      </c>
      <c r="C262" s="622">
        <f>C191</f>
        <v>1585231</v>
      </c>
      <c r="D262" s="622">
        <f>D191</f>
        <v>1750572</v>
      </c>
      <c r="E262" s="622">
        <f t="shared" si="30"/>
        <v>165341</v>
      </c>
    </row>
    <row r="263" spans="1:5" x14ac:dyDescent="0.2">
      <c r="A263" s="588">
        <v>6</v>
      </c>
      <c r="B263" s="587" t="s">
        <v>749</v>
      </c>
      <c r="C263" s="622">
        <f>+C259+C260+C261+C262</f>
        <v>128300607</v>
      </c>
      <c r="D263" s="622">
        <f>+D259+D260+D261+D262</f>
        <v>115971738</v>
      </c>
      <c r="E263" s="622">
        <f t="shared" si="30"/>
        <v>-12328869</v>
      </c>
    </row>
    <row r="264" spans="1:5" x14ac:dyDescent="0.2">
      <c r="A264" s="588">
        <v>7</v>
      </c>
      <c r="B264" s="587" t="s">
        <v>654</v>
      </c>
      <c r="C264" s="622">
        <f>+C258-C263</f>
        <v>76081020</v>
      </c>
      <c r="D264" s="622">
        <f>+D258-D263</f>
        <v>68189591</v>
      </c>
      <c r="E264" s="622">
        <f t="shared" si="30"/>
        <v>-7891429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76081020</v>
      </c>
      <c r="D266" s="622">
        <f>+D264+D265</f>
        <v>68189591</v>
      </c>
      <c r="E266" s="641">
        <f t="shared" si="30"/>
        <v>-7891429</v>
      </c>
    </row>
    <row r="267" spans="1:5" x14ac:dyDescent="0.2">
      <c r="A267" s="588">
        <v>10</v>
      </c>
      <c r="B267" s="587" t="s">
        <v>837</v>
      </c>
      <c r="C267" s="642">
        <f>IF(C258=0,0,C266/C258)</f>
        <v>0.37224980110369704</v>
      </c>
      <c r="D267" s="642">
        <f>IF(D258=0,0,D266/D258)</f>
        <v>0.37027095411545385</v>
      </c>
      <c r="E267" s="643">
        <f t="shared" si="30"/>
        <v>-1.9788469882431881E-3</v>
      </c>
    </row>
    <row r="268" spans="1:5" x14ac:dyDescent="0.2">
      <c r="A268" s="588">
        <v>11</v>
      </c>
      <c r="B268" s="587" t="s">
        <v>716</v>
      </c>
      <c r="C268" s="622">
        <f>+C260*C267</f>
        <v>1603253.0913679437</v>
      </c>
      <c r="D268" s="644">
        <f>+D260*D267</f>
        <v>1179264.1130917773</v>
      </c>
      <c r="E268" s="622">
        <f t="shared" si="30"/>
        <v>-423988.97827616637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1506242.4123531319</v>
      </c>
      <c r="D269" s="644">
        <f>((D17+D18+D28+D29)*D267)-(D50+D51+D61+D62)</f>
        <v>2041843.8987016762</v>
      </c>
      <c r="E269" s="622">
        <f t="shared" si="30"/>
        <v>535601.48634854425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3109495.5037210756</v>
      </c>
      <c r="D271" s="622">
        <f>+D268+D269+D270</f>
        <v>3221108.0117934532</v>
      </c>
      <c r="E271" s="625">
        <f t="shared" si="30"/>
        <v>111612.50807237765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0.43896921562160457</v>
      </c>
      <c r="D276" s="623">
        <f t="shared" si="31"/>
        <v>0.48318080753860138</v>
      </c>
      <c r="E276" s="650">
        <f t="shared" ref="E276:E284" si="32">D276-C276</f>
        <v>4.4211591916996806E-2</v>
      </c>
    </row>
    <row r="277" spans="1:5" x14ac:dyDescent="0.2">
      <c r="A277" s="588">
        <v>2</v>
      </c>
      <c r="B277" s="587" t="s">
        <v>635</v>
      </c>
      <c r="C277" s="623">
        <f t="shared" si="31"/>
        <v>0.32891181185663854</v>
      </c>
      <c r="D277" s="623">
        <f t="shared" si="31"/>
        <v>0.37530057406202699</v>
      </c>
      <c r="E277" s="650">
        <f t="shared" si="32"/>
        <v>4.6388762205388456E-2</v>
      </c>
    </row>
    <row r="278" spans="1:5" x14ac:dyDescent="0.2">
      <c r="A278" s="588">
        <v>3</v>
      </c>
      <c r="B278" s="587" t="s">
        <v>777</v>
      </c>
      <c r="C278" s="623">
        <f t="shared" si="31"/>
        <v>0.39591968167691488</v>
      </c>
      <c r="D278" s="623">
        <f t="shared" si="31"/>
        <v>0.33838804907493397</v>
      </c>
      <c r="E278" s="650">
        <f t="shared" si="32"/>
        <v>-5.7531632601980909E-2</v>
      </c>
    </row>
    <row r="279" spans="1:5" x14ac:dyDescent="0.2">
      <c r="A279" s="588">
        <v>4</v>
      </c>
      <c r="B279" s="587" t="s">
        <v>115</v>
      </c>
      <c r="C279" s="623">
        <f t="shared" si="31"/>
        <v>0.39589358913709238</v>
      </c>
      <c r="D279" s="623">
        <f t="shared" si="31"/>
        <v>0.3383880937654421</v>
      </c>
      <c r="E279" s="650">
        <f t="shared" si="32"/>
        <v>-5.7505495371650284E-2</v>
      </c>
    </row>
    <row r="280" spans="1:5" x14ac:dyDescent="0.2">
      <c r="A280" s="588">
        <v>5</v>
      </c>
      <c r="B280" s="587" t="s">
        <v>743</v>
      </c>
      <c r="C280" s="623">
        <f t="shared" si="31"/>
        <v>0.39750833769741739</v>
      </c>
      <c r="D280" s="623">
        <f t="shared" si="31"/>
        <v>0.33838652911641726</v>
      </c>
      <c r="E280" s="650">
        <f t="shared" si="32"/>
        <v>-5.9121808581000135E-2</v>
      </c>
    </row>
    <row r="281" spans="1:5" x14ac:dyDescent="0.2">
      <c r="A281" s="588">
        <v>6</v>
      </c>
      <c r="B281" s="587" t="s">
        <v>424</v>
      </c>
      <c r="C281" s="623">
        <f t="shared" si="31"/>
        <v>0.32991210451639058</v>
      </c>
      <c r="D281" s="623">
        <f t="shared" si="31"/>
        <v>0.93120546170329399</v>
      </c>
      <c r="E281" s="650">
        <f t="shared" si="32"/>
        <v>0.60129335718690347</v>
      </c>
    </row>
    <row r="282" spans="1:5" x14ac:dyDescent="0.2">
      <c r="A282" s="588">
        <v>7</v>
      </c>
      <c r="B282" s="587" t="s">
        <v>758</v>
      </c>
      <c r="C282" s="623">
        <f t="shared" si="31"/>
        <v>3.9225885663607747E-2</v>
      </c>
      <c r="D282" s="623">
        <f t="shared" si="31"/>
        <v>6.5988991391692453E-2</v>
      </c>
      <c r="E282" s="650">
        <f t="shared" si="32"/>
        <v>2.6763105728084706E-2</v>
      </c>
    </row>
    <row r="283" spans="1:5" ht="29.25" customHeight="1" x14ac:dyDescent="0.2">
      <c r="A283" s="588"/>
      <c r="B283" s="592" t="s">
        <v>844</v>
      </c>
      <c r="C283" s="651">
        <f t="shared" si="31"/>
        <v>0.33663371264107123</v>
      </c>
      <c r="D283" s="651">
        <f t="shared" si="31"/>
        <v>0.37122206866959701</v>
      </c>
      <c r="E283" s="652">
        <f t="shared" si="32"/>
        <v>3.458835602852578E-2</v>
      </c>
    </row>
    <row r="284" spans="1:5" x14ac:dyDescent="0.2">
      <c r="A284" s="588"/>
      <c r="B284" s="592" t="s">
        <v>845</v>
      </c>
      <c r="C284" s="651">
        <f t="shared" si="31"/>
        <v>0.36911802636092433</v>
      </c>
      <c r="D284" s="651">
        <f t="shared" si="31"/>
        <v>0.40409248959232907</v>
      </c>
      <c r="E284" s="652">
        <f t="shared" si="32"/>
        <v>3.497446323140474E-2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0.51843862579158762</v>
      </c>
      <c r="D287" s="623">
        <f t="shared" si="33"/>
        <v>0.53291465001483118</v>
      </c>
      <c r="E287" s="650">
        <f t="shared" ref="E287:E295" si="34">D287-C287</f>
        <v>1.4476024223243567E-2</v>
      </c>
    </row>
    <row r="288" spans="1:5" x14ac:dyDescent="0.2">
      <c r="A288" s="588">
        <v>2</v>
      </c>
      <c r="B288" s="587" t="s">
        <v>635</v>
      </c>
      <c r="C288" s="623">
        <f t="shared" si="33"/>
        <v>0.23082969302782747</v>
      </c>
      <c r="D288" s="623">
        <f t="shared" si="33"/>
        <v>0.21488850066870099</v>
      </c>
      <c r="E288" s="650">
        <f t="shared" si="34"/>
        <v>-1.5941192359126471E-2</v>
      </c>
    </row>
    <row r="289" spans="1:5" x14ac:dyDescent="0.2">
      <c r="A289" s="588">
        <v>3</v>
      </c>
      <c r="B289" s="587" t="s">
        <v>777</v>
      </c>
      <c r="C289" s="623">
        <f t="shared" si="33"/>
        <v>0.25173229648781387</v>
      </c>
      <c r="D289" s="623">
        <f t="shared" si="33"/>
        <v>0.23123251438784262</v>
      </c>
      <c r="E289" s="650">
        <f t="shared" si="34"/>
        <v>-2.0499782099971248E-2</v>
      </c>
    </row>
    <row r="290" spans="1:5" x14ac:dyDescent="0.2">
      <c r="A290" s="588">
        <v>4</v>
      </c>
      <c r="B290" s="587" t="s">
        <v>115</v>
      </c>
      <c r="C290" s="623">
        <f t="shared" si="33"/>
        <v>0.25168364350962019</v>
      </c>
      <c r="D290" s="623">
        <f t="shared" si="33"/>
        <v>0.23123254075586011</v>
      </c>
      <c r="E290" s="650">
        <f t="shared" si="34"/>
        <v>-2.0451102753760081E-2</v>
      </c>
    </row>
    <row r="291" spans="1:5" x14ac:dyDescent="0.2">
      <c r="A291" s="588">
        <v>5</v>
      </c>
      <c r="B291" s="587" t="s">
        <v>743</v>
      </c>
      <c r="C291" s="623">
        <f t="shared" si="33"/>
        <v>0.25336074485132343</v>
      </c>
      <c r="D291" s="623">
        <f t="shared" si="33"/>
        <v>0.23123145667919906</v>
      </c>
      <c r="E291" s="650">
        <f t="shared" si="34"/>
        <v>-2.2129288172124367E-2</v>
      </c>
    </row>
    <row r="292" spans="1:5" x14ac:dyDescent="0.2">
      <c r="A292" s="588">
        <v>6</v>
      </c>
      <c r="B292" s="587" t="s">
        <v>424</v>
      </c>
      <c r="C292" s="623">
        <f t="shared" si="33"/>
        <v>0.22950341448670231</v>
      </c>
      <c r="D292" s="623">
        <f t="shared" si="33"/>
        <v>0.22533302004446293</v>
      </c>
      <c r="E292" s="650">
        <f t="shared" si="34"/>
        <v>-4.1703944422393779E-3</v>
      </c>
    </row>
    <row r="293" spans="1:5" x14ac:dyDescent="0.2">
      <c r="A293" s="588">
        <v>7</v>
      </c>
      <c r="B293" s="587" t="s">
        <v>758</v>
      </c>
      <c r="C293" s="623">
        <f t="shared" si="33"/>
        <v>3.9225964703322506E-2</v>
      </c>
      <c r="D293" s="623">
        <f t="shared" si="33"/>
        <v>6.5989490612556739E-2</v>
      </c>
      <c r="E293" s="650">
        <f t="shared" si="34"/>
        <v>2.6763525909234233E-2</v>
      </c>
    </row>
    <row r="294" spans="1:5" ht="29.25" customHeight="1" x14ac:dyDescent="0.2">
      <c r="A294" s="588"/>
      <c r="B294" s="592" t="s">
        <v>847</v>
      </c>
      <c r="C294" s="651">
        <f t="shared" si="33"/>
        <v>0.23483719889877619</v>
      </c>
      <c r="D294" s="651">
        <f t="shared" si="33"/>
        <v>0.21811735770492677</v>
      </c>
      <c r="E294" s="652">
        <f t="shared" si="34"/>
        <v>-1.6719841193849422E-2</v>
      </c>
    </row>
    <row r="295" spans="1:5" x14ac:dyDescent="0.2">
      <c r="A295" s="588"/>
      <c r="B295" s="592" t="s">
        <v>848</v>
      </c>
      <c r="C295" s="651">
        <f t="shared" si="33"/>
        <v>0.38422821534210921</v>
      </c>
      <c r="D295" s="651">
        <f t="shared" si="33"/>
        <v>0.37124700231224528</v>
      </c>
      <c r="E295" s="652">
        <f t="shared" si="34"/>
        <v>-1.2981213029863936E-2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77666252</v>
      </c>
      <c r="D301" s="590">
        <f>+D48+D47+D50+D51+D52+D59+D58+D61+D62+D63</f>
        <v>69940163</v>
      </c>
      <c r="E301" s="590">
        <f>D301-C301</f>
        <v>-7726089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77666252</v>
      </c>
      <c r="D303" s="593">
        <f>+D301+D302</f>
        <v>69940163</v>
      </c>
      <c r="E303" s="593">
        <f>D303-C303</f>
        <v>-7726089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3569821</v>
      </c>
      <c r="D305" s="654">
        <v>-218542</v>
      </c>
      <c r="E305" s="655">
        <f>D305-C305</f>
        <v>-3788363</v>
      </c>
    </row>
    <row r="306" spans="1:5" x14ac:dyDescent="0.2">
      <c r="A306" s="588">
        <v>4</v>
      </c>
      <c r="B306" s="592" t="s">
        <v>855</v>
      </c>
      <c r="C306" s="593">
        <f>+C303+C305+C194+C190-C191</f>
        <v>85480621</v>
      </c>
      <c r="D306" s="593">
        <f>+D303+D305</f>
        <v>69721621</v>
      </c>
      <c r="E306" s="656">
        <f>D306-C306</f>
        <v>-15759000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81236073</v>
      </c>
      <c r="D308" s="589">
        <v>69721620</v>
      </c>
      <c r="E308" s="590">
        <f>D308-C308</f>
        <v>-11514453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4244548</v>
      </c>
      <c r="D310" s="658">
        <f>D306-D308</f>
        <v>1</v>
      </c>
      <c r="E310" s="656">
        <f>D310-C310</f>
        <v>-4244547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204381627</v>
      </c>
      <c r="D314" s="590">
        <f>+D14+D15+D16+D19+D25+D26+D27+D30</f>
        <v>184161329</v>
      </c>
      <c r="E314" s="590">
        <f>D314-C314</f>
        <v>-20220298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204381627</v>
      </c>
      <c r="D316" s="657">
        <f>D314+D315</f>
        <v>184161329</v>
      </c>
      <c r="E316" s="593">
        <f>D316-C316</f>
        <v>-20220298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204381627</v>
      </c>
      <c r="D318" s="589">
        <v>184161328</v>
      </c>
      <c r="E318" s="590">
        <f>D318-C318</f>
        <v>-20220299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4306928</v>
      </c>
      <c r="D324" s="589">
        <f>+D193+D194</f>
        <v>3184868</v>
      </c>
      <c r="E324" s="590">
        <f>D324-C324</f>
        <v>-1122060</v>
      </c>
    </row>
    <row r="325" spans="1:5" x14ac:dyDescent="0.2">
      <c r="A325" s="588">
        <v>2</v>
      </c>
      <c r="B325" s="587" t="s">
        <v>865</v>
      </c>
      <c r="C325" s="589">
        <v>428820</v>
      </c>
      <c r="D325" s="589">
        <v>424398</v>
      </c>
      <c r="E325" s="590">
        <f>D325-C325</f>
        <v>-4422</v>
      </c>
    </row>
    <row r="326" spans="1:5" x14ac:dyDescent="0.2">
      <c r="A326" s="588"/>
      <c r="B326" s="592" t="s">
        <v>866</v>
      </c>
      <c r="C326" s="657">
        <f>C324+C325</f>
        <v>4735748</v>
      </c>
      <c r="D326" s="657">
        <f>D324+D325</f>
        <v>3609266</v>
      </c>
      <c r="E326" s="593">
        <f>D326-C326</f>
        <v>-1126482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4735748</v>
      </c>
      <c r="D328" s="589">
        <v>3609267</v>
      </c>
      <c r="E328" s="590">
        <f>D328-C328</f>
        <v>-1126481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-1</v>
      </c>
      <c r="E330" s="593">
        <f>D330-C330</f>
        <v>-1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14041013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29406230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4337204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4213322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123882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40134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622422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33783568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47824581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66319496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56105045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13690899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13357895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333004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221308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2743452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70017252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136336748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80360509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103800820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184161329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6784348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11036175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1467658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1425738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41920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37373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41073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12541206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19325554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35342631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12056329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3165781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3088780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77001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49868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181039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15271978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50614609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42126979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27813184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69940163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545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1083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194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188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38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1279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1824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1.3024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1.3311999999999999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0.99577731958762894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0.99209999999999998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1.111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1.1599999999999999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1.0138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1.2800550430023454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1.2867315789473683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76994635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41945973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35048662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0.45520914541643065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2876575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1750572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624534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2560334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3184868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874400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72962299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69940163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69940163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-218542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69721621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69721620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184161329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184161329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184161328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3184868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424398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3609266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3609267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-1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127</v>
      </c>
      <c r="D12" s="185">
        <v>109</v>
      </c>
      <c r="E12" s="185">
        <f>+D12-C12</f>
        <v>-18</v>
      </c>
      <c r="F12" s="77">
        <f>IF(C12=0,0,+E12/C12)</f>
        <v>-0.14173228346456693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115</v>
      </c>
      <c r="D13" s="185">
        <v>108</v>
      </c>
      <c r="E13" s="185">
        <f>+D13-C13</f>
        <v>-7</v>
      </c>
      <c r="F13" s="77">
        <f>IF(C13=0,0,+E13/C13)</f>
        <v>-6.0869565217391307E-2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1181756</v>
      </c>
      <c r="D15" s="76">
        <v>624534</v>
      </c>
      <c r="E15" s="76">
        <f>+D15-C15</f>
        <v>-557222</v>
      </c>
      <c r="F15" s="77">
        <f>IF(C15=0,0,+E15/C15)</f>
        <v>-0.47152034768598594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10276.139130434784</v>
      </c>
      <c r="D16" s="79">
        <f>IF(D13=0,0,+D15/+D13)</f>
        <v>5782.7222222222226</v>
      </c>
      <c r="E16" s="79">
        <f>+D16-C16</f>
        <v>-4493.4169082125609</v>
      </c>
      <c r="F16" s="80">
        <f>IF(C16=0,0,+E16/C16)</f>
        <v>-0.4372670368878554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0.388548</v>
      </c>
      <c r="D18" s="704">
        <v>0.43262400000000001</v>
      </c>
      <c r="E18" s="704">
        <f>+D18-C18</f>
        <v>4.4076000000000004E-2</v>
      </c>
      <c r="F18" s="77">
        <f>IF(C18=0,0,+E18/C18)</f>
        <v>0.11343772198029588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459168.93028800003</v>
      </c>
      <c r="D19" s="79">
        <f>+D15*D18</f>
        <v>270188.39721600001</v>
      </c>
      <c r="E19" s="79">
        <f>+D19-C19</f>
        <v>-188980.53307200002</v>
      </c>
      <c r="F19" s="80">
        <f>IF(C19=0,0,+E19/C19)</f>
        <v>-0.41157081981454541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3992.7733068521743</v>
      </c>
      <c r="D20" s="79">
        <f>IF(D13=0,0,+D19/D13)</f>
        <v>2501.7444186666667</v>
      </c>
      <c r="E20" s="79">
        <f>+D20-C20</f>
        <v>-1491.0288881855076</v>
      </c>
      <c r="F20" s="80">
        <f>IF(C20=0,0,+E20/C20)</f>
        <v>-0.37343189146919192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354009</v>
      </c>
      <c r="D22" s="76">
        <v>85653</v>
      </c>
      <c r="E22" s="76">
        <f>+D22-C22</f>
        <v>-268356</v>
      </c>
      <c r="F22" s="77">
        <f>IF(C22=0,0,+E22/C22)</f>
        <v>-0.75804852419006297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608592</v>
      </c>
      <c r="D23" s="185">
        <v>390707</v>
      </c>
      <c r="E23" s="185">
        <f>+D23-C23</f>
        <v>-217885</v>
      </c>
      <c r="F23" s="77">
        <f>IF(C23=0,0,+E23/C23)</f>
        <v>-0.35801489339327497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219155</v>
      </c>
      <c r="D24" s="185">
        <v>148174</v>
      </c>
      <c r="E24" s="185">
        <f>+D24-C24</f>
        <v>-70981</v>
      </c>
      <c r="F24" s="77">
        <f>IF(C24=0,0,+E24/C24)</f>
        <v>-0.32388492163080923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1181756</v>
      </c>
      <c r="D25" s="79">
        <f>+D22+D23+D24</f>
        <v>624534</v>
      </c>
      <c r="E25" s="79">
        <f>+E22+E23+E24</f>
        <v>-557222</v>
      </c>
      <c r="F25" s="80">
        <f>IF(C25=0,0,+E25/C25)</f>
        <v>-0.47152034768598594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219</v>
      </c>
      <c r="D27" s="185">
        <v>16</v>
      </c>
      <c r="E27" s="185">
        <f>+D27-C27</f>
        <v>-203</v>
      </c>
      <c r="F27" s="77">
        <f>IF(C27=0,0,+E27/C27)</f>
        <v>-0.9269406392694064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70</v>
      </c>
      <c r="D28" s="185">
        <v>5</v>
      </c>
      <c r="E28" s="185">
        <f>+D28-C28</f>
        <v>-65</v>
      </c>
      <c r="F28" s="77">
        <f>IF(C28=0,0,+E28/C28)</f>
        <v>-0.9285714285714286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503</v>
      </c>
      <c r="D29" s="185">
        <v>247</v>
      </c>
      <c r="E29" s="185">
        <f>+D29-C29</f>
        <v>-256</v>
      </c>
      <c r="F29" s="77">
        <f>IF(C29=0,0,+E29/C29)</f>
        <v>-0.50894632206759438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1056</v>
      </c>
      <c r="D30" s="185">
        <v>545</v>
      </c>
      <c r="E30" s="185">
        <f>+D30-C30</f>
        <v>-511</v>
      </c>
      <c r="F30" s="77">
        <f>IF(C30=0,0,+E30/C30)</f>
        <v>-0.48390151515151514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873254</v>
      </c>
      <c r="D33" s="76">
        <v>664889</v>
      </c>
      <c r="E33" s="76">
        <f>+D33-C33</f>
        <v>-208365</v>
      </c>
      <c r="F33" s="77">
        <f>IF(C33=0,0,+E33/C33)</f>
        <v>-0.23860755289984356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2158382</v>
      </c>
      <c r="D34" s="185">
        <v>1811941</v>
      </c>
      <c r="E34" s="185">
        <f>+D34-C34</f>
        <v>-346441</v>
      </c>
      <c r="F34" s="77">
        <f>IF(C34=0,0,+E34/C34)</f>
        <v>-0.16050958542093105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93536</v>
      </c>
      <c r="D35" s="185">
        <v>83504</v>
      </c>
      <c r="E35" s="185">
        <f>+D35-C35</f>
        <v>-10032</v>
      </c>
      <c r="F35" s="77">
        <f>IF(C35=0,0,+E35/C35)</f>
        <v>-0.10725282244269586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3125172</v>
      </c>
      <c r="D36" s="79">
        <f>+D33+D34+D35</f>
        <v>2560334</v>
      </c>
      <c r="E36" s="79">
        <f>+E33+E34+E35</f>
        <v>-564838</v>
      </c>
      <c r="F36" s="80">
        <f>IF(C36=0,0,+E36/C36)</f>
        <v>-0.18073821216880223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1181756</v>
      </c>
      <c r="D39" s="76">
        <f>+D25</f>
        <v>624534</v>
      </c>
      <c r="E39" s="76">
        <f>+D39-C39</f>
        <v>-557222</v>
      </c>
      <c r="F39" s="77">
        <f>IF(C39=0,0,+E39/C39)</f>
        <v>-0.47152034768598594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3125172</v>
      </c>
      <c r="D40" s="185">
        <f>+D36</f>
        <v>2560334</v>
      </c>
      <c r="E40" s="185">
        <f>+D40-C40</f>
        <v>-564838</v>
      </c>
      <c r="F40" s="77">
        <f>IF(C40=0,0,+E40/C40)</f>
        <v>-0.18073821216880223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4306928</v>
      </c>
      <c r="D41" s="79">
        <f>+D39+D40</f>
        <v>3184868</v>
      </c>
      <c r="E41" s="79">
        <f>+E39+E40</f>
        <v>-1122060</v>
      </c>
      <c r="F41" s="80">
        <f>IF(C41=0,0,+E41/C41)</f>
        <v>-0.26052443876470655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1227263</v>
      </c>
      <c r="D43" s="76">
        <f t="shared" si="0"/>
        <v>750542</v>
      </c>
      <c r="E43" s="76">
        <f>+D43-C43</f>
        <v>-476721</v>
      </c>
      <c r="F43" s="77">
        <f>IF(C43=0,0,+E43/C43)</f>
        <v>-0.38844241209911812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2766974</v>
      </c>
      <c r="D44" s="185">
        <f t="shared" si="0"/>
        <v>2202648</v>
      </c>
      <c r="E44" s="185">
        <f>+D44-C44</f>
        <v>-564326</v>
      </c>
      <c r="F44" s="77">
        <f>IF(C44=0,0,+E44/C44)</f>
        <v>-0.20395059729509565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312691</v>
      </c>
      <c r="D45" s="185">
        <f t="shared" si="0"/>
        <v>231678</v>
      </c>
      <c r="E45" s="185">
        <f>+D45-C45</f>
        <v>-81013</v>
      </c>
      <c r="F45" s="77">
        <f>IF(C45=0,0,+E45/C45)</f>
        <v>-0.25908324831862767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4306928</v>
      </c>
      <c r="D46" s="79">
        <f>+D43+D44+D45</f>
        <v>3184868</v>
      </c>
      <c r="E46" s="79">
        <f>+E43+E44+E45</f>
        <v>-1122060</v>
      </c>
      <c r="F46" s="80">
        <f>IF(C46=0,0,+E46/C46)</f>
        <v>-0.26052443876470655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91235379</v>
      </c>
      <c r="D15" s="76">
        <v>76994635</v>
      </c>
      <c r="E15" s="76">
        <f>+D15-C15</f>
        <v>-14240744</v>
      </c>
      <c r="F15" s="77">
        <f>IF(C15=0,0,E15/C15)</f>
        <v>-0.15608795794008815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43221974</v>
      </c>
      <c r="D17" s="76">
        <v>35048662</v>
      </c>
      <c r="E17" s="76">
        <f>+D17-C17</f>
        <v>-8173312</v>
      </c>
      <c r="F17" s="77">
        <f>IF(C17=0,0,E17/C17)</f>
        <v>-0.18910084948919734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48013405</v>
      </c>
      <c r="D19" s="79">
        <f>+D15-D17</f>
        <v>41945973</v>
      </c>
      <c r="E19" s="79">
        <f>+D19-C19</f>
        <v>-6067432</v>
      </c>
      <c r="F19" s="80">
        <f>IF(C19=0,0,E19/C19)</f>
        <v>-0.12636954200602935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0.47374137613874545</v>
      </c>
      <c r="D21" s="720">
        <f>IF(D15=0,0,D17/D15)</f>
        <v>0.45520914541643065</v>
      </c>
      <c r="E21" s="720">
        <f>+D21-C21</f>
        <v>-1.8532230722314802E-2</v>
      </c>
      <c r="F21" s="80">
        <f>IF(C21=0,0,E21/C21)</f>
        <v>-3.9118877209676606E-2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67481950</v>
      </c>
      <c r="D10" s="744">
        <v>57109530</v>
      </c>
      <c r="E10" s="744">
        <v>47824581</v>
      </c>
    </row>
    <row r="11" spans="1:6" ht="26.1" customHeight="1" x14ac:dyDescent="0.25">
      <c r="A11" s="742">
        <v>2</v>
      </c>
      <c r="B11" s="743" t="s">
        <v>932</v>
      </c>
      <c r="C11" s="744">
        <v>171003946</v>
      </c>
      <c r="D11" s="744">
        <v>147272097</v>
      </c>
      <c r="E11" s="744">
        <v>136336748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238485896</v>
      </c>
      <c r="D12" s="744">
        <f>+D11+D10</f>
        <v>204381627</v>
      </c>
      <c r="E12" s="744">
        <f>+E11+E10</f>
        <v>184161329</v>
      </c>
    </row>
    <row r="13" spans="1:6" ht="26.1" customHeight="1" x14ac:dyDescent="0.25">
      <c r="A13" s="742">
        <v>4</v>
      </c>
      <c r="B13" s="743" t="s">
        <v>507</v>
      </c>
      <c r="C13" s="744">
        <v>90588107</v>
      </c>
      <c r="D13" s="744">
        <v>81236073</v>
      </c>
      <c r="E13" s="744">
        <v>69721620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93915766</v>
      </c>
      <c r="D16" s="744">
        <v>88958809</v>
      </c>
      <c r="E16" s="744">
        <v>72962299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9347</v>
      </c>
      <c r="D19" s="747">
        <v>8537</v>
      </c>
      <c r="E19" s="747">
        <v>7017</v>
      </c>
    </row>
    <row r="20" spans="1:5" ht="26.1" customHeight="1" x14ac:dyDescent="0.25">
      <c r="A20" s="742">
        <v>2</v>
      </c>
      <c r="B20" s="743" t="s">
        <v>381</v>
      </c>
      <c r="C20" s="748">
        <v>2516</v>
      </c>
      <c r="D20" s="748">
        <v>2288</v>
      </c>
      <c r="E20" s="748">
        <v>1824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3.7150238473767887</v>
      </c>
      <c r="D21" s="749">
        <f>IF(D20=0,0,+D19/D20)</f>
        <v>3.7312062937062938</v>
      </c>
      <c r="E21" s="749">
        <f>IF(E20=0,0,+E19/E20)</f>
        <v>3.8470394736842106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33032.94688301094</v>
      </c>
      <c r="D22" s="748">
        <f>IF(D10=0,0,D19*(D12/D10))</f>
        <v>30551.922764887051</v>
      </c>
      <c r="E22" s="748">
        <f>IF(E10=0,0,E19*(E12/E10))</f>
        <v>27020.833608411544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8891.7186645614129</v>
      </c>
      <c r="D23" s="748">
        <f>IF(D10=0,0,D20*(D12/D10))</f>
        <v>8188.2159173083719</v>
      </c>
      <c r="E23" s="748">
        <f>IF(E10=0,0,E20*(E12/E10))</f>
        <v>7023.7994159530645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1.2217593402225755</v>
      </c>
      <c r="D26" s="750">
        <v>1.1530093094405596</v>
      </c>
      <c r="E26" s="750">
        <v>1.2867315789473683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11419.784553060414</v>
      </c>
      <c r="D27" s="748">
        <f>D19*D26</f>
        <v>9843.2404746940574</v>
      </c>
      <c r="E27" s="748">
        <f>E19*E26</f>
        <v>9028.9954894736838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3073.9465</v>
      </c>
      <c r="D28" s="748">
        <f>D20*D26</f>
        <v>2638.0853000000002</v>
      </c>
      <c r="E28" s="748">
        <f>E20*E26</f>
        <v>2346.9983999999999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40358.311389394825</v>
      </c>
      <c r="D29" s="748">
        <f>D22*D26</f>
        <v>35226.651369223728</v>
      </c>
      <c r="E29" s="748">
        <f>E22*E26</f>
        <v>34768.559893425503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10863.540329059311</v>
      </c>
      <c r="D30" s="748">
        <f>D23*D26</f>
        <v>9441.0891803659233</v>
      </c>
      <c r="E30" s="748">
        <f>E23*E26</f>
        <v>9037.7445126988896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25514.699475767626</v>
      </c>
      <c r="D33" s="744">
        <f>IF(D19=0,0,D12/D19)</f>
        <v>23940.684901019093</v>
      </c>
      <c r="E33" s="744">
        <f>IF(E19=0,0,E12/E19)</f>
        <v>26245.023371811316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94787.717011128771</v>
      </c>
      <c r="D34" s="744">
        <f>IF(D20=0,0,D12/D20)</f>
        <v>89327.634178321678</v>
      </c>
      <c r="E34" s="744">
        <f>IF(E20=0,0,E12/E20)</f>
        <v>100965.64089912281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7219.6373167861339</v>
      </c>
      <c r="D35" s="744">
        <f>IF(D22=0,0,D12/D22)</f>
        <v>6689.6485884971298</v>
      </c>
      <c r="E35" s="744">
        <f>IF(E22=0,0,E12/E22)</f>
        <v>6815.5309961522007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26821.124801271857</v>
      </c>
      <c r="D36" s="744">
        <f>IF(D23=0,0,D12/D23)</f>
        <v>24960.458916083917</v>
      </c>
      <c r="E36" s="744">
        <f>IF(E23=0,0,E12/E23)</f>
        <v>26219.616776315786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5909.2139336302425</v>
      </c>
      <c r="D37" s="744">
        <f>IF(D29=0,0,D12/D29)</f>
        <v>5801.9033616848683</v>
      </c>
      <c r="E37" s="744">
        <f>IF(E29=0,0,E12/E29)</f>
        <v>5296.7775934494093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21952.87068268755</v>
      </c>
      <c r="D38" s="744">
        <f>IF(D30=0,0,D12/D30)</f>
        <v>21648.098338594282</v>
      </c>
      <c r="E38" s="744">
        <f>IF(E30=0,0,E12/E30)</f>
        <v>20376.912485325938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2042.8679959736323</v>
      </c>
      <c r="D39" s="744">
        <f>IF(D22=0,0,D10/D22)</f>
        <v>1869.2614026124497</v>
      </c>
      <c r="E39" s="744">
        <f>IF(E22=0,0,E10/E22)</f>
        <v>1769.9150845261961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7589.3033220848729</v>
      </c>
      <c r="D40" s="744">
        <f>IF(D23=0,0,D10/D23)</f>
        <v>6974.599910009827</v>
      </c>
      <c r="E40" s="744">
        <f>IF(E23=0,0,E10/E23)</f>
        <v>6808.9331952414032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9691.67722263828</v>
      </c>
      <c r="D43" s="744">
        <f>IF(D19=0,0,D13/D19)</f>
        <v>9515.7635000585688</v>
      </c>
      <c r="E43" s="744">
        <f>IF(E19=0,0,E13/E19)</f>
        <v>9936.1008978195805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36004.81200317965</v>
      </c>
      <c r="D44" s="744">
        <f>IF(D20=0,0,D13/D20)</f>
        <v>35505.276660839161</v>
      </c>
      <c r="E44" s="744">
        <f>IF(E20=0,0,E13/E20)</f>
        <v>38224.572368421053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2742.3562094179993</v>
      </c>
      <c r="D45" s="744">
        <f>IF(D22=0,0,D13/D22)</f>
        <v>2658.9512426158531</v>
      </c>
      <c r="E45" s="744">
        <f>IF(E22=0,0,E13/E22)</f>
        <v>2580.2912304783881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10187.918715989683</v>
      </c>
      <c r="D46" s="744">
        <f>IF(D23=0,0,D13/D23)</f>
        <v>9921.0956111064424</v>
      </c>
      <c r="E46" s="744">
        <f>IF(E23=0,0,E13/E23)</f>
        <v>9926.4822172515615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2244.5960666184942</v>
      </c>
      <c r="D47" s="744">
        <f>IF(D29=0,0,D13/D29)</f>
        <v>2306.0969420151318</v>
      </c>
      <c r="E47" s="744">
        <f>IF(E29=0,0,E13/E29)</f>
        <v>2005.3065244495181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8338.7279152158444</v>
      </c>
      <c r="D48" s="744">
        <f>IF(D30=0,0,D13/D30)</f>
        <v>8604.5234239436977</v>
      </c>
      <c r="E48" s="744">
        <f>IF(E30=0,0,E13/E30)</f>
        <v>7714.4933563937884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10047.690809885526</v>
      </c>
      <c r="D51" s="744">
        <f>IF(D19=0,0,D16/D19)</f>
        <v>10420.38292140096</v>
      </c>
      <c r="E51" s="744">
        <f>IF(E19=0,0,E16/E19)</f>
        <v>10397.93344734217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37327.410969793324</v>
      </c>
      <c r="D52" s="744">
        <f>IF(D20=0,0,D16/D20)</f>
        <v>38880.598339160839</v>
      </c>
      <c r="E52" s="744">
        <f>IF(E20=0,0,E16/E20)</f>
        <v>40001.260416666664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2843.0937855048437</v>
      </c>
      <c r="D53" s="744">
        <f>IF(D22=0,0,D16/D22)</f>
        <v>2911.7253825425109</v>
      </c>
      <c r="E53" s="744">
        <f>IF(E22=0,0,E16/E22)</f>
        <v>2700.2238368133449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10562.161213479243</v>
      </c>
      <c r="D54" s="744">
        <f>IF(D23=0,0,D16/D23)</f>
        <v>10864.248072886983</v>
      </c>
      <c r="E54" s="744">
        <f>IF(E23=0,0,E16/E23)</f>
        <v>10387.867688003971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2327.048946470014</v>
      </c>
      <c r="D55" s="744">
        <f>IF(D29=0,0,D16/D29)</f>
        <v>2525.326863106839</v>
      </c>
      <c r="E55" s="744">
        <f>IF(E29=0,0,E16/E29)</f>
        <v>2098.5136923602254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8645.0423301491337</v>
      </c>
      <c r="D56" s="744">
        <f>IF(D30=0,0,D16/D30)</f>
        <v>9422.5154852898104</v>
      </c>
      <c r="E56" s="744">
        <f>IF(E30=0,0,E16/E30)</f>
        <v>8073.0650105765926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12450131</v>
      </c>
      <c r="D59" s="752">
        <v>12057764</v>
      </c>
      <c r="E59" s="752">
        <v>10411751</v>
      </c>
    </row>
    <row r="60" spans="1:6" ht="26.1" customHeight="1" x14ac:dyDescent="0.25">
      <c r="A60" s="742">
        <v>2</v>
      </c>
      <c r="B60" s="743" t="s">
        <v>968</v>
      </c>
      <c r="C60" s="752">
        <v>4295295</v>
      </c>
      <c r="D60" s="752">
        <v>4328737</v>
      </c>
      <c r="E60" s="752">
        <v>3102852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16745426</v>
      </c>
      <c r="D61" s="755">
        <f>D59+D60</f>
        <v>16386501</v>
      </c>
      <c r="E61" s="755">
        <f>E59+E60</f>
        <v>13514603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5155740</v>
      </c>
      <c r="D64" s="744">
        <v>1009436</v>
      </c>
      <c r="E64" s="752">
        <v>352875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1778730</v>
      </c>
      <c r="D65" s="752">
        <v>362388</v>
      </c>
      <c r="E65" s="752">
        <v>105162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6934470</v>
      </c>
      <c r="D66" s="757">
        <f>D64+D65</f>
        <v>1371824</v>
      </c>
      <c r="E66" s="757">
        <f>E64+E65</f>
        <v>458037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21255462</v>
      </c>
      <c r="D69" s="752">
        <v>20222169</v>
      </c>
      <c r="E69" s="752">
        <v>18201638</v>
      </c>
    </row>
    <row r="70" spans="1:6" ht="26.1" customHeight="1" x14ac:dyDescent="0.25">
      <c r="A70" s="742">
        <v>2</v>
      </c>
      <c r="B70" s="743" t="s">
        <v>976</v>
      </c>
      <c r="C70" s="752">
        <v>7317723</v>
      </c>
      <c r="D70" s="752">
        <v>7254980</v>
      </c>
      <c r="E70" s="752">
        <v>5424351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28573185</v>
      </c>
      <c r="D71" s="755">
        <f>D69+D70</f>
        <v>27477149</v>
      </c>
      <c r="E71" s="755">
        <f>E69+E70</f>
        <v>23625989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38861333</v>
      </c>
      <c r="D75" s="744">
        <f t="shared" si="0"/>
        <v>33289369</v>
      </c>
      <c r="E75" s="744">
        <f t="shared" si="0"/>
        <v>28966264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13391748</v>
      </c>
      <c r="D76" s="744">
        <f t="shared" si="0"/>
        <v>11946105</v>
      </c>
      <c r="E76" s="744">
        <f t="shared" si="0"/>
        <v>8632365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52253081</v>
      </c>
      <c r="D77" s="757">
        <f>D75+D76</f>
        <v>45235474</v>
      </c>
      <c r="E77" s="757">
        <f>E75+E76</f>
        <v>37598629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137.19999999999999</v>
      </c>
      <c r="D80" s="749">
        <v>129.1</v>
      </c>
      <c r="E80" s="749">
        <v>109.4</v>
      </c>
    </row>
    <row r="81" spans="1:5" ht="26.1" customHeight="1" x14ac:dyDescent="0.25">
      <c r="A81" s="742">
        <v>2</v>
      </c>
      <c r="B81" s="743" t="s">
        <v>617</v>
      </c>
      <c r="C81" s="749">
        <v>19</v>
      </c>
      <c r="D81" s="749">
        <v>3.8</v>
      </c>
      <c r="E81" s="749">
        <v>2.4</v>
      </c>
    </row>
    <row r="82" spans="1:5" ht="26.1" customHeight="1" x14ac:dyDescent="0.25">
      <c r="A82" s="742">
        <v>3</v>
      </c>
      <c r="B82" s="743" t="s">
        <v>982</v>
      </c>
      <c r="C82" s="749">
        <v>305.39999999999998</v>
      </c>
      <c r="D82" s="749">
        <v>287.39999999999998</v>
      </c>
      <c r="E82" s="749">
        <v>250.4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461.59999999999997</v>
      </c>
      <c r="D83" s="759">
        <f>D80+D81+D82</f>
        <v>420.29999999999995</v>
      </c>
      <c r="E83" s="759">
        <f>E80+E81+E82</f>
        <v>362.20000000000005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90744.395043731784</v>
      </c>
      <c r="D86" s="752">
        <f>IF(D80=0,0,D59/D80)</f>
        <v>93398.636715724249</v>
      </c>
      <c r="E86" s="752">
        <f>IF(E80=0,0,E59/E80)</f>
        <v>95171.398537477144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31306.814868804668</v>
      </c>
      <c r="D87" s="752">
        <f>IF(D80=0,0,D60/D80)</f>
        <v>33530.108443067395</v>
      </c>
      <c r="E87" s="752">
        <f>IF(E80=0,0,E60/E80)</f>
        <v>28362.449725776965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122051.20991253645</v>
      </c>
      <c r="D88" s="755">
        <f>+D86+D87</f>
        <v>126928.74515879164</v>
      </c>
      <c r="E88" s="755">
        <f>+E86+E87</f>
        <v>123533.84826325411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271354.73684210528</v>
      </c>
      <c r="D91" s="744">
        <f>IF(D81=0,0,D64/D81)</f>
        <v>265641.05263157893</v>
      </c>
      <c r="E91" s="744">
        <f>IF(E81=0,0,E64/E81)</f>
        <v>147031.25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93617.368421052626</v>
      </c>
      <c r="D92" s="744">
        <f>IF(D81=0,0,D65/D81)</f>
        <v>95365.263157894748</v>
      </c>
      <c r="E92" s="744">
        <f>IF(E81=0,0,E65/E81)</f>
        <v>43817.5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364972.10526315792</v>
      </c>
      <c r="D93" s="757">
        <f>+D91+D92</f>
        <v>361006.31578947371</v>
      </c>
      <c r="E93" s="757">
        <f>+E91+E92</f>
        <v>190848.75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69598.762278978393</v>
      </c>
      <c r="D96" s="752">
        <f>IF(D82=0,0,D69/D82)</f>
        <v>70362.453027139883</v>
      </c>
      <c r="E96" s="752">
        <f>IF(E82=0,0,E69/E82)</f>
        <v>72690.247603833865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23961.110019646367</v>
      </c>
      <c r="D97" s="752">
        <f>IF(D82=0,0,D70/D82)</f>
        <v>25243.493389004874</v>
      </c>
      <c r="E97" s="752">
        <f>IF(E82=0,0,E70/E82)</f>
        <v>21662.743610223642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93559.872298624759</v>
      </c>
      <c r="D98" s="757">
        <f>+D96+D97</f>
        <v>95605.946416144754</v>
      </c>
      <c r="E98" s="757">
        <f>+E96+E97</f>
        <v>94352.991214057503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84188.329722703653</v>
      </c>
      <c r="D101" s="744">
        <f>IF(D83=0,0,D75/D83)</f>
        <v>79203.828217939576</v>
      </c>
      <c r="E101" s="744">
        <f>IF(E83=0,0,E75/E83)</f>
        <v>79973.119823302026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29011.585788561526</v>
      </c>
      <c r="D102" s="761">
        <f>IF(D83=0,0,D76/D83)</f>
        <v>28422.805139186297</v>
      </c>
      <c r="E102" s="761">
        <f>IF(E83=0,0,E76/E83)</f>
        <v>23833.144671452232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113199.91551126518</v>
      </c>
      <c r="D103" s="757">
        <f>+D101+D102</f>
        <v>107626.63335712587</v>
      </c>
      <c r="E103" s="757">
        <f>+E101+E102</f>
        <v>103806.26449475426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5590.358510752113</v>
      </c>
      <c r="D108" s="744">
        <f>IF(D19=0,0,D77/D19)</f>
        <v>5298.7553004568354</v>
      </c>
      <c r="E108" s="744">
        <f>IF(E19=0,0,E77/E19)</f>
        <v>5358.2198945418268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20768.315182829887</v>
      </c>
      <c r="D109" s="744">
        <f>IF(D20=0,0,D77/D20)</f>
        <v>19770.749125874125</v>
      </c>
      <c r="E109" s="744">
        <f>IF(E20=0,0,E77/E20)</f>
        <v>20613.283442982458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1581.8473957246031</v>
      </c>
      <c r="D110" s="744">
        <f>IF(D22=0,0,D77/D22)</f>
        <v>1480.6097262064493</v>
      </c>
      <c r="E110" s="744">
        <f>IF(E22=0,0,E77/E22)</f>
        <v>1391.4681369525033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5876.6007980277682</v>
      </c>
      <c r="D111" s="744">
        <f>IF(D23=0,0,D77/D23)</f>
        <v>5524.4603289442557</v>
      </c>
      <c r="E111" s="744">
        <f>IF(E23=0,0,E77/E23)</f>
        <v>5353.0328492301078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1294.7291202508247</v>
      </c>
      <c r="D112" s="744">
        <f>IF(D29=0,0,D77/D29)</f>
        <v>1284.126428194098</v>
      </c>
      <c r="E112" s="744">
        <f>IF(E29=0,0,E77/E29)</f>
        <v>1081.3973634585207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4809.9495576249838</v>
      </c>
      <c r="D113" s="744">
        <f>IF(D30=0,0,D77/D30)</f>
        <v>4791.340610792402</v>
      </c>
      <c r="E113" s="744">
        <f>IF(E30=0,0,E77/E30)</f>
        <v>4160.1783439629608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204381627</v>
      </c>
      <c r="D12" s="76">
        <v>184161328</v>
      </c>
      <c r="E12" s="76">
        <f t="shared" ref="E12:E21" si="0">D12-C12</f>
        <v>-20220299</v>
      </c>
      <c r="F12" s="77">
        <f t="shared" ref="F12:F21" si="1">IF(C12=0,0,E12/C12)</f>
        <v>-9.8934034809303087E-2</v>
      </c>
    </row>
    <row r="13" spans="1:8" ht="23.1" customHeight="1" x14ac:dyDescent="0.2">
      <c r="A13" s="74">
        <v>2</v>
      </c>
      <c r="B13" s="75" t="s">
        <v>72</v>
      </c>
      <c r="C13" s="76">
        <v>121534978</v>
      </c>
      <c r="D13" s="76">
        <v>110830443</v>
      </c>
      <c r="E13" s="76">
        <f t="shared" si="0"/>
        <v>-10704535</v>
      </c>
      <c r="F13" s="77">
        <f t="shared" si="1"/>
        <v>-8.8077812463174185E-2</v>
      </c>
    </row>
    <row r="14" spans="1:8" ht="23.1" customHeight="1" x14ac:dyDescent="0.2">
      <c r="A14" s="74">
        <v>3</v>
      </c>
      <c r="B14" s="75" t="s">
        <v>73</v>
      </c>
      <c r="C14" s="76">
        <v>1610576</v>
      </c>
      <c r="D14" s="76">
        <v>1048931</v>
      </c>
      <c r="E14" s="76">
        <f t="shared" si="0"/>
        <v>-561645</v>
      </c>
      <c r="F14" s="77">
        <f t="shared" si="1"/>
        <v>-0.34872306553680171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81236073</v>
      </c>
      <c r="D16" s="79">
        <f>D12-D13-D14-D15</f>
        <v>72281954</v>
      </c>
      <c r="E16" s="79">
        <f t="shared" si="0"/>
        <v>-8954119</v>
      </c>
      <c r="F16" s="80">
        <f t="shared" si="1"/>
        <v>-0.11022343485264237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2560334</v>
      </c>
      <c r="E17" s="76">
        <f t="shared" si="0"/>
        <v>2560334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81236073</v>
      </c>
      <c r="D18" s="79">
        <f>D16-D17</f>
        <v>69721620</v>
      </c>
      <c r="E18" s="79">
        <f t="shared" si="0"/>
        <v>-11514453</v>
      </c>
      <c r="F18" s="80">
        <f t="shared" si="1"/>
        <v>-0.14174064026950195</v>
      </c>
    </row>
    <row r="19" spans="1:7" ht="23.1" customHeight="1" x14ac:dyDescent="0.2">
      <c r="A19" s="74">
        <v>6</v>
      </c>
      <c r="B19" s="75" t="s">
        <v>78</v>
      </c>
      <c r="C19" s="76">
        <v>1177822</v>
      </c>
      <c r="D19" s="76">
        <v>1026861</v>
      </c>
      <c r="E19" s="76">
        <f t="shared" si="0"/>
        <v>-150961</v>
      </c>
      <c r="F19" s="77">
        <f t="shared" si="1"/>
        <v>-0.12816962155571895</v>
      </c>
      <c r="G19" s="65"/>
    </row>
    <row r="20" spans="1:7" ht="33" customHeight="1" x14ac:dyDescent="0.2">
      <c r="A20" s="74">
        <v>7</v>
      </c>
      <c r="B20" s="82" t="s">
        <v>79</v>
      </c>
      <c r="C20" s="76">
        <v>66843</v>
      </c>
      <c r="D20" s="76">
        <v>130298</v>
      </c>
      <c r="E20" s="76">
        <f t="shared" si="0"/>
        <v>63455</v>
      </c>
      <c r="F20" s="77">
        <f t="shared" si="1"/>
        <v>0.94931406429992671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82480738</v>
      </c>
      <c r="D21" s="79">
        <f>SUM(D18:D20)</f>
        <v>70878779</v>
      </c>
      <c r="E21" s="79">
        <f t="shared" si="0"/>
        <v>-11601959</v>
      </c>
      <c r="F21" s="80">
        <f t="shared" si="1"/>
        <v>-0.14066264780511542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33289369</v>
      </c>
      <c r="D24" s="76">
        <v>28966264</v>
      </c>
      <c r="E24" s="76">
        <f t="shared" ref="E24:E33" si="2">D24-C24</f>
        <v>-4323105</v>
      </c>
      <c r="F24" s="77">
        <f t="shared" ref="F24:F33" si="3">IF(C24=0,0,E24/C24)</f>
        <v>-0.12986443209542362</v>
      </c>
    </row>
    <row r="25" spans="1:7" ht="23.1" customHeight="1" x14ac:dyDescent="0.2">
      <c r="A25" s="74">
        <v>2</v>
      </c>
      <c r="B25" s="75" t="s">
        <v>83</v>
      </c>
      <c r="C25" s="76">
        <v>11946105</v>
      </c>
      <c r="D25" s="76">
        <v>8632365</v>
      </c>
      <c r="E25" s="76">
        <f t="shared" si="2"/>
        <v>-3313740</v>
      </c>
      <c r="F25" s="77">
        <f t="shared" si="3"/>
        <v>-0.2773908315722991</v>
      </c>
    </row>
    <row r="26" spans="1:7" ht="23.1" customHeight="1" x14ac:dyDescent="0.2">
      <c r="A26" s="74">
        <v>3</v>
      </c>
      <c r="B26" s="75" t="s">
        <v>84</v>
      </c>
      <c r="C26" s="76">
        <v>7904111</v>
      </c>
      <c r="D26" s="76">
        <v>6420799</v>
      </c>
      <c r="E26" s="76">
        <f t="shared" si="2"/>
        <v>-1483312</v>
      </c>
      <c r="F26" s="77">
        <f t="shared" si="3"/>
        <v>-0.18766335644830898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10418459</v>
      </c>
      <c r="D27" s="76">
        <v>9771389</v>
      </c>
      <c r="E27" s="76">
        <f t="shared" si="2"/>
        <v>-647070</v>
      </c>
      <c r="F27" s="77">
        <f t="shared" si="3"/>
        <v>-6.2108033443333606E-2</v>
      </c>
    </row>
    <row r="28" spans="1:7" ht="23.1" customHeight="1" x14ac:dyDescent="0.2">
      <c r="A28" s="74">
        <v>5</v>
      </c>
      <c r="B28" s="75" t="s">
        <v>86</v>
      </c>
      <c r="C28" s="76">
        <v>5511455</v>
      </c>
      <c r="D28" s="76">
        <v>5443180</v>
      </c>
      <c r="E28" s="76">
        <f t="shared" si="2"/>
        <v>-68275</v>
      </c>
      <c r="F28" s="77">
        <f t="shared" si="3"/>
        <v>-1.238783587999902E-2</v>
      </c>
    </row>
    <row r="29" spans="1:7" ht="23.1" customHeight="1" x14ac:dyDescent="0.2">
      <c r="A29" s="74">
        <v>6</v>
      </c>
      <c r="B29" s="75" t="s">
        <v>87</v>
      </c>
      <c r="C29" s="76">
        <v>3125172</v>
      </c>
      <c r="D29" s="76">
        <v>0</v>
      </c>
      <c r="E29" s="76">
        <f t="shared" si="2"/>
        <v>-3125172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391263</v>
      </c>
      <c r="D30" s="76">
        <v>263572</v>
      </c>
      <c r="E30" s="76">
        <f t="shared" si="2"/>
        <v>-127691</v>
      </c>
      <c r="F30" s="77">
        <f t="shared" si="3"/>
        <v>-0.32635592938764973</v>
      </c>
    </row>
    <row r="31" spans="1:7" ht="23.1" customHeight="1" x14ac:dyDescent="0.2">
      <c r="A31" s="74">
        <v>8</v>
      </c>
      <c r="B31" s="75" t="s">
        <v>89</v>
      </c>
      <c r="C31" s="76">
        <v>1643424</v>
      </c>
      <c r="D31" s="76">
        <v>2065738</v>
      </c>
      <c r="E31" s="76">
        <f t="shared" si="2"/>
        <v>422314</v>
      </c>
      <c r="F31" s="77">
        <f t="shared" si="3"/>
        <v>0.25697202912942735</v>
      </c>
    </row>
    <row r="32" spans="1:7" ht="23.1" customHeight="1" x14ac:dyDescent="0.2">
      <c r="A32" s="74">
        <v>9</v>
      </c>
      <c r="B32" s="75" t="s">
        <v>90</v>
      </c>
      <c r="C32" s="76">
        <v>14729451</v>
      </c>
      <c r="D32" s="76">
        <v>11398992</v>
      </c>
      <c r="E32" s="76">
        <f t="shared" si="2"/>
        <v>-3330459</v>
      </c>
      <c r="F32" s="77">
        <f t="shared" si="3"/>
        <v>-0.22610883460625925</v>
      </c>
    </row>
    <row r="33" spans="1:6" ht="23.1" customHeight="1" x14ac:dyDescent="0.25">
      <c r="A33" s="71"/>
      <c r="B33" s="78" t="s">
        <v>91</v>
      </c>
      <c r="C33" s="79">
        <f>SUM(C24:C32)</f>
        <v>88958809</v>
      </c>
      <c r="D33" s="79">
        <f>SUM(D24:D32)</f>
        <v>72962299</v>
      </c>
      <c r="E33" s="79">
        <f t="shared" si="2"/>
        <v>-15996510</v>
      </c>
      <c r="F33" s="80">
        <f t="shared" si="3"/>
        <v>-0.17981929142059444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-6478071</v>
      </c>
      <c r="D35" s="79">
        <f>+D21-D33</f>
        <v>-2083520</v>
      </c>
      <c r="E35" s="79">
        <f>D35-C35</f>
        <v>4394551</v>
      </c>
      <c r="F35" s="80">
        <f>IF(C35=0,0,E35/C35)</f>
        <v>-0.67837339232620331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27208</v>
      </c>
      <c r="D38" s="76">
        <v>0</v>
      </c>
      <c r="E38" s="76">
        <f>D38-C38</f>
        <v>-27208</v>
      </c>
      <c r="F38" s="77">
        <f>IF(C38=0,0,E38/C38)</f>
        <v>-1</v>
      </c>
    </row>
    <row r="39" spans="1:6" ht="23.1" customHeight="1" x14ac:dyDescent="0.2">
      <c r="A39" s="85">
        <v>2</v>
      </c>
      <c r="B39" s="75" t="s">
        <v>95</v>
      </c>
      <c r="C39" s="76">
        <v>-5250</v>
      </c>
      <c r="D39" s="76">
        <v>0</v>
      </c>
      <c r="E39" s="76">
        <f>D39-C39</f>
        <v>5250</v>
      </c>
      <c r="F39" s="77">
        <f>IF(C39=0,0,E39/C39)</f>
        <v>-1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21958</v>
      </c>
      <c r="D41" s="79">
        <f>SUM(D38:D40)</f>
        <v>0</v>
      </c>
      <c r="E41" s="79">
        <f>D41-C41</f>
        <v>-21958</v>
      </c>
      <c r="F41" s="80">
        <f>IF(C41=0,0,E41/C41)</f>
        <v>-1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-6456113</v>
      </c>
      <c r="D43" s="79">
        <f>D35+D41</f>
        <v>-2083520</v>
      </c>
      <c r="E43" s="79">
        <f>D43-C43</f>
        <v>4372593</v>
      </c>
      <c r="F43" s="80">
        <f>IF(C43=0,0,E43/C43)</f>
        <v>-0.67727950238789192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-6456113</v>
      </c>
      <c r="D50" s="79">
        <f>D43+D48</f>
        <v>-2083520</v>
      </c>
      <c r="E50" s="79">
        <f>D50-C50</f>
        <v>4372593</v>
      </c>
      <c r="F50" s="80">
        <f>IF(C50=0,0,E50/C50)</f>
        <v>-0.67727950238789192</v>
      </c>
    </row>
    <row r="51" spans="1:6" ht="23.1" customHeight="1" x14ac:dyDescent="0.2">
      <c r="A51" s="85"/>
      <c r="B51" s="75" t="s">
        <v>104</v>
      </c>
      <c r="C51" s="76">
        <v>415636</v>
      </c>
      <c r="D51" s="76">
        <v>1508855</v>
      </c>
      <c r="E51" s="76">
        <f>D51-C51</f>
        <v>1093219</v>
      </c>
      <c r="F51" s="77">
        <f>IF(C51=0,0,E51/C51)</f>
        <v>2.6302317412351193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30974582</v>
      </c>
      <c r="D14" s="113">
        <v>26131519</v>
      </c>
      <c r="E14" s="113">
        <f t="shared" ref="E14:E25" si="0">D14-C14</f>
        <v>-4843063</v>
      </c>
      <c r="F14" s="114">
        <f t="shared" ref="F14:F25" si="1">IF(C14=0,0,E14/C14)</f>
        <v>-0.15635604057546282</v>
      </c>
    </row>
    <row r="15" spans="1:6" x14ac:dyDescent="0.2">
      <c r="A15" s="115">
        <v>2</v>
      </c>
      <c r="B15" s="116" t="s">
        <v>114</v>
      </c>
      <c r="C15" s="113">
        <v>3407625</v>
      </c>
      <c r="D15" s="113">
        <v>3274711</v>
      </c>
      <c r="E15" s="113">
        <f t="shared" si="0"/>
        <v>-132914</v>
      </c>
      <c r="F15" s="114">
        <f t="shared" si="1"/>
        <v>-3.9004878764535414E-2</v>
      </c>
    </row>
    <row r="16" spans="1:6" x14ac:dyDescent="0.2">
      <c r="A16" s="115">
        <v>3</v>
      </c>
      <c r="B16" s="116" t="s">
        <v>115</v>
      </c>
      <c r="C16" s="113">
        <v>4037639</v>
      </c>
      <c r="D16" s="113">
        <v>4213322</v>
      </c>
      <c r="E16" s="113">
        <f t="shared" si="0"/>
        <v>175683</v>
      </c>
      <c r="F16" s="114">
        <f t="shared" si="1"/>
        <v>4.3511319362627518E-2</v>
      </c>
    </row>
    <row r="17" spans="1:6" x14ac:dyDescent="0.2">
      <c r="A17" s="115">
        <v>4</v>
      </c>
      <c r="B17" s="116" t="s">
        <v>116</v>
      </c>
      <c r="C17" s="113">
        <v>380331</v>
      </c>
      <c r="D17" s="113">
        <v>0</v>
      </c>
      <c r="E17" s="113">
        <f t="shared" si="0"/>
        <v>-380331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108538</v>
      </c>
      <c r="D18" s="113">
        <v>40134</v>
      </c>
      <c r="E18" s="113">
        <f t="shared" si="0"/>
        <v>-68404</v>
      </c>
      <c r="F18" s="114">
        <f t="shared" si="1"/>
        <v>-0.63023088687832829</v>
      </c>
    </row>
    <row r="19" spans="1:6" x14ac:dyDescent="0.2">
      <c r="A19" s="115">
        <v>6</v>
      </c>
      <c r="B19" s="116" t="s">
        <v>118</v>
      </c>
      <c r="C19" s="113">
        <v>1055112</v>
      </c>
      <c r="D19" s="113">
        <v>945553</v>
      </c>
      <c r="E19" s="113">
        <f t="shared" si="0"/>
        <v>-109559</v>
      </c>
      <c r="F19" s="114">
        <f t="shared" si="1"/>
        <v>-0.10383636997778435</v>
      </c>
    </row>
    <row r="20" spans="1:6" x14ac:dyDescent="0.2">
      <c r="A20" s="115">
        <v>7</v>
      </c>
      <c r="B20" s="116" t="s">
        <v>119</v>
      </c>
      <c r="C20" s="113">
        <v>15236859</v>
      </c>
      <c r="D20" s="113">
        <v>11713504</v>
      </c>
      <c r="E20" s="113">
        <f t="shared" si="0"/>
        <v>-3523355</v>
      </c>
      <c r="F20" s="114">
        <f t="shared" si="1"/>
        <v>-0.23123893185596847</v>
      </c>
    </row>
    <row r="21" spans="1:6" x14ac:dyDescent="0.2">
      <c r="A21" s="115">
        <v>8</v>
      </c>
      <c r="B21" s="116" t="s">
        <v>120</v>
      </c>
      <c r="C21" s="113">
        <v>982713</v>
      </c>
      <c r="D21" s="113">
        <v>759534</v>
      </c>
      <c r="E21" s="113">
        <f t="shared" si="0"/>
        <v>-223179</v>
      </c>
      <c r="F21" s="114">
        <f t="shared" si="1"/>
        <v>-0.22710496350409529</v>
      </c>
    </row>
    <row r="22" spans="1:6" x14ac:dyDescent="0.2">
      <c r="A22" s="115">
        <v>9</v>
      </c>
      <c r="B22" s="116" t="s">
        <v>121</v>
      </c>
      <c r="C22" s="113">
        <v>853569</v>
      </c>
      <c r="D22" s="113">
        <v>622422</v>
      </c>
      <c r="E22" s="113">
        <f t="shared" si="0"/>
        <v>-231147</v>
      </c>
      <c r="F22" s="114">
        <f t="shared" si="1"/>
        <v>-0.27080060311468668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72562</v>
      </c>
      <c r="D24" s="113">
        <v>123882</v>
      </c>
      <c r="E24" s="113">
        <f t="shared" si="0"/>
        <v>51320</v>
      </c>
      <c r="F24" s="114">
        <f t="shared" si="1"/>
        <v>0.70725724208263274</v>
      </c>
    </row>
    <row r="25" spans="1:6" ht="15.75" x14ac:dyDescent="0.25">
      <c r="A25" s="117"/>
      <c r="B25" s="118" t="s">
        <v>124</v>
      </c>
      <c r="C25" s="119">
        <f>SUM(C14:C24)</f>
        <v>57109530</v>
      </c>
      <c r="D25" s="119">
        <f>SUM(D14:D24)</f>
        <v>47824581</v>
      </c>
      <c r="E25" s="119">
        <f t="shared" si="0"/>
        <v>-9284949</v>
      </c>
      <c r="F25" s="120">
        <f t="shared" si="1"/>
        <v>-0.16258142905396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50358991</v>
      </c>
      <c r="D27" s="113">
        <v>49775839</v>
      </c>
      <c r="E27" s="113">
        <f t="shared" ref="E27:E38" si="2">D27-C27</f>
        <v>-583152</v>
      </c>
      <c r="F27" s="114">
        <f t="shared" ref="F27:F38" si="3">IF(C27=0,0,E27/C27)</f>
        <v>-1.157989841377084E-2</v>
      </c>
    </row>
    <row r="28" spans="1:6" x14ac:dyDescent="0.2">
      <c r="A28" s="115">
        <v>2</v>
      </c>
      <c r="B28" s="116" t="s">
        <v>114</v>
      </c>
      <c r="C28" s="113">
        <v>5670876</v>
      </c>
      <c r="D28" s="113">
        <v>6329206</v>
      </c>
      <c r="E28" s="113">
        <f t="shared" si="2"/>
        <v>658330</v>
      </c>
      <c r="F28" s="114">
        <f t="shared" si="3"/>
        <v>0.11608964823071427</v>
      </c>
    </row>
    <row r="29" spans="1:6" x14ac:dyDescent="0.2">
      <c r="A29" s="115">
        <v>3</v>
      </c>
      <c r="B29" s="116" t="s">
        <v>115</v>
      </c>
      <c r="C29" s="113">
        <v>11529718</v>
      </c>
      <c r="D29" s="113">
        <v>13357895</v>
      </c>
      <c r="E29" s="113">
        <f t="shared" si="2"/>
        <v>1828177</v>
      </c>
      <c r="F29" s="114">
        <f t="shared" si="3"/>
        <v>0.15856216084382982</v>
      </c>
    </row>
    <row r="30" spans="1:6" x14ac:dyDescent="0.2">
      <c r="A30" s="115">
        <v>4</v>
      </c>
      <c r="B30" s="116" t="s">
        <v>116</v>
      </c>
      <c r="C30" s="113">
        <v>1462195</v>
      </c>
      <c r="D30" s="113">
        <v>0</v>
      </c>
      <c r="E30" s="113">
        <f t="shared" si="2"/>
        <v>-1462195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284523</v>
      </c>
      <c r="D31" s="113">
        <v>221308</v>
      </c>
      <c r="E31" s="113">
        <f t="shared" si="2"/>
        <v>-63215</v>
      </c>
      <c r="F31" s="114">
        <f t="shared" si="3"/>
        <v>-0.22217887481855597</v>
      </c>
    </row>
    <row r="32" spans="1:6" x14ac:dyDescent="0.2">
      <c r="A32" s="115">
        <v>6</v>
      </c>
      <c r="B32" s="116" t="s">
        <v>118</v>
      </c>
      <c r="C32" s="113">
        <v>5068767</v>
      </c>
      <c r="D32" s="113">
        <v>5025832</v>
      </c>
      <c r="E32" s="113">
        <f t="shared" si="2"/>
        <v>-42935</v>
      </c>
      <c r="F32" s="114">
        <f t="shared" si="3"/>
        <v>-8.4705018005365017E-3</v>
      </c>
    </row>
    <row r="33" spans="1:6" x14ac:dyDescent="0.2">
      <c r="A33" s="115">
        <v>7</v>
      </c>
      <c r="B33" s="116" t="s">
        <v>119</v>
      </c>
      <c r="C33" s="113">
        <v>67293177</v>
      </c>
      <c r="D33" s="113">
        <v>56978993</v>
      </c>
      <c r="E33" s="113">
        <f t="shared" si="2"/>
        <v>-10314184</v>
      </c>
      <c r="F33" s="114">
        <f t="shared" si="3"/>
        <v>-0.15327235924676286</v>
      </c>
    </row>
    <row r="34" spans="1:6" x14ac:dyDescent="0.2">
      <c r="A34" s="115">
        <v>8</v>
      </c>
      <c r="B34" s="116" t="s">
        <v>120</v>
      </c>
      <c r="C34" s="113">
        <v>1598751</v>
      </c>
      <c r="D34" s="113">
        <v>1571219</v>
      </c>
      <c r="E34" s="113">
        <f t="shared" si="2"/>
        <v>-27532</v>
      </c>
      <c r="F34" s="114">
        <f t="shared" si="3"/>
        <v>-1.7220943098706427E-2</v>
      </c>
    </row>
    <row r="35" spans="1:6" x14ac:dyDescent="0.2">
      <c r="A35" s="115">
        <v>9</v>
      </c>
      <c r="B35" s="116" t="s">
        <v>121</v>
      </c>
      <c r="C35" s="113">
        <v>3616941</v>
      </c>
      <c r="D35" s="113">
        <v>2743452</v>
      </c>
      <c r="E35" s="113">
        <f t="shared" si="2"/>
        <v>-873489</v>
      </c>
      <c r="F35" s="114">
        <f t="shared" si="3"/>
        <v>-0.24149937751265504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388158</v>
      </c>
      <c r="D37" s="113">
        <v>333004</v>
      </c>
      <c r="E37" s="113">
        <f t="shared" si="2"/>
        <v>-55154</v>
      </c>
      <c r="F37" s="114">
        <f t="shared" si="3"/>
        <v>-0.14209162248362781</v>
      </c>
    </row>
    <row r="38" spans="1:6" ht="15.75" x14ac:dyDescent="0.25">
      <c r="A38" s="117"/>
      <c r="B38" s="118" t="s">
        <v>126</v>
      </c>
      <c r="C38" s="119">
        <f>SUM(C27:C37)</f>
        <v>147272097</v>
      </c>
      <c r="D38" s="119">
        <f>SUM(D27:D37)</f>
        <v>136336748</v>
      </c>
      <c r="E38" s="119">
        <f t="shared" si="2"/>
        <v>-10935349</v>
      </c>
      <c r="F38" s="120">
        <f t="shared" si="3"/>
        <v>-7.4252687527088038E-2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81333573</v>
      </c>
      <c r="D41" s="119">
        <f t="shared" si="4"/>
        <v>75907358</v>
      </c>
      <c r="E41" s="123">
        <f t="shared" ref="E41:E52" si="5">D41-C41</f>
        <v>-5426215</v>
      </c>
      <c r="F41" s="124">
        <f t="shared" ref="F41:F52" si="6">IF(C41=0,0,E41/C41)</f>
        <v>-6.6715561604554122E-2</v>
      </c>
    </row>
    <row r="42" spans="1:6" ht="15.75" x14ac:dyDescent="0.25">
      <c r="A42" s="121">
        <v>2</v>
      </c>
      <c r="B42" s="122" t="s">
        <v>114</v>
      </c>
      <c r="C42" s="119">
        <f t="shared" si="4"/>
        <v>9078501</v>
      </c>
      <c r="D42" s="119">
        <f t="shared" si="4"/>
        <v>9603917</v>
      </c>
      <c r="E42" s="123">
        <f t="shared" si="5"/>
        <v>525416</v>
      </c>
      <c r="F42" s="124">
        <f t="shared" si="6"/>
        <v>5.7874752671173355E-2</v>
      </c>
    </row>
    <row r="43" spans="1:6" ht="15.75" x14ac:dyDescent="0.25">
      <c r="A43" s="121">
        <v>3</v>
      </c>
      <c r="B43" s="122" t="s">
        <v>115</v>
      </c>
      <c r="C43" s="119">
        <f t="shared" si="4"/>
        <v>15567357</v>
      </c>
      <c r="D43" s="119">
        <f t="shared" si="4"/>
        <v>17571217</v>
      </c>
      <c r="E43" s="123">
        <f t="shared" si="5"/>
        <v>2003860</v>
      </c>
      <c r="F43" s="124">
        <f t="shared" si="6"/>
        <v>0.12872191470909289</v>
      </c>
    </row>
    <row r="44" spans="1:6" ht="15.75" x14ac:dyDescent="0.25">
      <c r="A44" s="121">
        <v>4</v>
      </c>
      <c r="B44" s="122" t="s">
        <v>116</v>
      </c>
      <c r="C44" s="119">
        <f t="shared" si="4"/>
        <v>1842526</v>
      </c>
      <c r="D44" s="119">
        <f t="shared" si="4"/>
        <v>0</v>
      </c>
      <c r="E44" s="123">
        <f t="shared" si="5"/>
        <v>-1842526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393061</v>
      </c>
      <c r="D45" s="119">
        <f t="shared" si="4"/>
        <v>261442</v>
      </c>
      <c r="E45" s="123">
        <f t="shared" si="5"/>
        <v>-131619</v>
      </c>
      <c r="F45" s="124">
        <f t="shared" si="6"/>
        <v>-0.33485642177677255</v>
      </c>
    </row>
    <row r="46" spans="1:6" ht="15.75" x14ac:dyDescent="0.25">
      <c r="A46" s="121">
        <v>6</v>
      </c>
      <c r="B46" s="122" t="s">
        <v>118</v>
      </c>
      <c r="C46" s="119">
        <f t="shared" si="4"/>
        <v>6123879</v>
      </c>
      <c r="D46" s="119">
        <f t="shared" si="4"/>
        <v>5971385</v>
      </c>
      <c r="E46" s="123">
        <f t="shared" si="5"/>
        <v>-152494</v>
      </c>
      <c r="F46" s="124">
        <f t="shared" si="6"/>
        <v>-2.4901537081317249E-2</v>
      </c>
    </row>
    <row r="47" spans="1:6" ht="15.75" x14ac:dyDescent="0.25">
      <c r="A47" s="121">
        <v>7</v>
      </c>
      <c r="B47" s="122" t="s">
        <v>119</v>
      </c>
      <c r="C47" s="119">
        <f t="shared" si="4"/>
        <v>82530036</v>
      </c>
      <c r="D47" s="119">
        <f t="shared" si="4"/>
        <v>68692497</v>
      </c>
      <c r="E47" s="123">
        <f t="shared" si="5"/>
        <v>-13837539</v>
      </c>
      <c r="F47" s="124">
        <f t="shared" si="6"/>
        <v>-0.16766670258086402</v>
      </c>
    </row>
    <row r="48" spans="1:6" ht="15.75" x14ac:dyDescent="0.25">
      <c r="A48" s="121">
        <v>8</v>
      </c>
      <c r="B48" s="122" t="s">
        <v>120</v>
      </c>
      <c r="C48" s="119">
        <f t="shared" si="4"/>
        <v>2581464</v>
      </c>
      <c r="D48" s="119">
        <f t="shared" si="4"/>
        <v>2330753</v>
      </c>
      <c r="E48" s="123">
        <f t="shared" si="5"/>
        <v>-250711</v>
      </c>
      <c r="F48" s="124">
        <f t="shared" si="6"/>
        <v>-9.7119696420325835E-2</v>
      </c>
    </row>
    <row r="49" spans="1:6" ht="15.75" x14ac:dyDescent="0.25">
      <c r="A49" s="121">
        <v>9</v>
      </c>
      <c r="B49" s="122" t="s">
        <v>121</v>
      </c>
      <c r="C49" s="119">
        <f t="shared" si="4"/>
        <v>4470510</v>
      </c>
      <c r="D49" s="119">
        <f t="shared" si="4"/>
        <v>3365874</v>
      </c>
      <c r="E49" s="123">
        <f t="shared" si="5"/>
        <v>-1104636</v>
      </c>
      <c r="F49" s="124">
        <f t="shared" si="6"/>
        <v>-0.24709395572317253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460720</v>
      </c>
      <c r="D51" s="119">
        <f t="shared" si="4"/>
        <v>456886</v>
      </c>
      <c r="E51" s="123">
        <f t="shared" si="5"/>
        <v>-3834</v>
      </c>
      <c r="F51" s="124">
        <f t="shared" si="6"/>
        <v>-8.3217572495224868E-3</v>
      </c>
    </row>
    <row r="52" spans="1:6" ht="18.75" customHeight="1" thickBot="1" x14ac:dyDescent="0.3">
      <c r="A52" s="125"/>
      <c r="B52" s="126" t="s">
        <v>128</v>
      </c>
      <c r="C52" s="127">
        <f>SUM(C41:C51)</f>
        <v>204381627</v>
      </c>
      <c r="D52" s="128">
        <f>SUM(D41:D51)</f>
        <v>184161329</v>
      </c>
      <c r="E52" s="127">
        <f t="shared" si="5"/>
        <v>-20220298</v>
      </c>
      <c r="F52" s="129">
        <f t="shared" si="6"/>
        <v>-9.8934029916495386E-2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10157385</v>
      </c>
      <c r="D57" s="113">
        <v>9895858</v>
      </c>
      <c r="E57" s="113">
        <f t="shared" ref="E57:E68" si="7">D57-C57</f>
        <v>-261527</v>
      </c>
      <c r="F57" s="114">
        <f t="shared" ref="F57:F68" si="8">IF(C57=0,0,E57/C57)</f>
        <v>-2.5747473390050686E-2</v>
      </c>
    </row>
    <row r="58" spans="1:6" x14ac:dyDescent="0.2">
      <c r="A58" s="115">
        <v>2</v>
      </c>
      <c r="B58" s="116" t="s">
        <v>114</v>
      </c>
      <c r="C58" s="113">
        <v>1151329</v>
      </c>
      <c r="D58" s="113">
        <v>1140317</v>
      </c>
      <c r="E58" s="113">
        <f t="shared" si="7"/>
        <v>-11012</v>
      </c>
      <c r="F58" s="114">
        <f t="shared" si="8"/>
        <v>-9.5645988244889169E-3</v>
      </c>
    </row>
    <row r="59" spans="1:6" x14ac:dyDescent="0.2">
      <c r="A59" s="115">
        <v>3</v>
      </c>
      <c r="B59" s="116" t="s">
        <v>115</v>
      </c>
      <c r="C59" s="113">
        <v>1605041</v>
      </c>
      <c r="D59" s="113">
        <v>1425738</v>
      </c>
      <c r="E59" s="113">
        <f t="shared" si="7"/>
        <v>-179303</v>
      </c>
      <c r="F59" s="114">
        <f t="shared" si="8"/>
        <v>-0.11171241108482587</v>
      </c>
    </row>
    <row r="60" spans="1:6" x14ac:dyDescent="0.2">
      <c r="A60" s="115">
        <v>4</v>
      </c>
      <c r="B60" s="116" t="s">
        <v>116</v>
      </c>
      <c r="C60" s="113">
        <v>144005</v>
      </c>
      <c r="D60" s="113">
        <v>0</v>
      </c>
      <c r="E60" s="113">
        <f t="shared" si="7"/>
        <v>-144005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35808</v>
      </c>
      <c r="D61" s="113">
        <v>37373</v>
      </c>
      <c r="E61" s="113">
        <f t="shared" si="7"/>
        <v>1565</v>
      </c>
      <c r="F61" s="114">
        <f t="shared" si="8"/>
        <v>4.3705317247542445E-2</v>
      </c>
    </row>
    <row r="62" spans="1:6" x14ac:dyDescent="0.2">
      <c r="A62" s="115">
        <v>6</v>
      </c>
      <c r="B62" s="116" t="s">
        <v>118</v>
      </c>
      <c r="C62" s="113">
        <v>382431</v>
      </c>
      <c r="D62" s="113">
        <v>420233</v>
      </c>
      <c r="E62" s="113">
        <f t="shared" si="7"/>
        <v>37802</v>
      </c>
      <c r="F62" s="114">
        <f t="shared" si="8"/>
        <v>9.8846589319380493E-2</v>
      </c>
    </row>
    <row r="63" spans="1:6" x14ac:dyDescent="0.2">
      <c r="A63" s="115">
        <v>7</v>
      </c>
      <c r="B63" s="116" t="s">
        <v>119</v>
      </c>
      <c r="C63" s="113">
        <v>6978254</v>
      </c>
      <c r="D63" s="113">
        <v>5953276</v>
      </c>
      <c r="E63" s="113">
        <f t="shared" si="7"/>
        <v>-1024978</v>
      </c>
      <c r="F63" s="114">
        <f t="shared" si="8"/>
        <v>-0.14688172714836692</v>
      </c>
    </row>
    <row r="64" spans="1:6" x14ac:dyDescent="0.2">
      <c r="A64" s="115">
        <v>8</v>
      </c>
      <c r="B64" s="116" t="s">
        <v>120</v>
      </c>
      <c r="C64" s="113">
        <v>563578</v>
      </c>
      <c r="D64" s="113">
        <v>369766</v>
      </c>
      <c r="E64" s="113">
        <f t="shared" si="7"/>
        <v>-193812</v>
      </c>
      <c r="F64" s="114">
        <f t="shared" si="8"/>
        <v>-0.34389560983572814</v>
      </c>
    </row>
    <row r="65" spans="1:6" x14ac:dyDescent="0.2">
      <c r="A65" s="115">
        <v>9</v>
      </c>
      <c r="B65" s="116" t="s">
        <v>121</v>
      </c>
      <c r="C65" s="113">
        <v>33482</v>
      </c>
      <c r="D65" s="113">
        <v>41073</v>
      </c>
      <c r="E65" s="113">
        <f t="shared" si="7"/>
        <v>7591</v>
      </c>
      <c r="F65" s="114">
        <f t="shared" si="8"/>
        <v>0.22671883400035839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28844</v>
      </c>
      <c r="D67" s="113">
        <v>41920</v>
      </c>
      <c r="E67" s="113">
        <f t="shared" si="7"/>
        <v>13076</v>
      </c>
      <c r="F67" s="114">
        <f t="shared" si="8"/>
        <v>0.45333518236028292</v>
      </c>
    </row>
    <row r="68" spans="1:6" ht="15.75" x14ac:dyDescent="0.25">
      <c r="A68" s="117"/>
      <c r="B68" s="118" t="s">
        <v>131</v>
      </c>
      <c r="C68" s="119">
        <f>SUM(C57:C67)</f>
        <v>21080157</v>
      </c>
      <c r="D68" s="119">
        <f>SUM(D57:D67)</f>
        <v>19325554</v>
      </c>
      <c r="E68" s="119">
        <f t="shared" si="7"/>
        <v>-1754603</v>
      </c>
      <c r="F68" s="120">
        <f t="shared" si="8"/>
        <v>-8.3234816514886484E-2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11744643</v>
      </c>
      <c r="D70" s="113">
        <v>10611477</v>
      </c>
      <c r="E70" s="113">
        <f t="shared" ref="E70:E81" si="9">D70-C70</f>
        <v>-1133166</v>
      </c>
      <c r="F70" s="114">
        <f t="shared" ref="F70:F81" si="10">IF(C70=0,0,E70/C70)</f>
        <v>-9.6483647906539183E-2</v>
      </c>
    </row>
    <row r="71" spans="1:6" x14ac:dyDescent="0.2">
      <c r="A71" s="115">
        <v>2</v>
      </c>
      <c r="B71" s="116" t="s">
        <v>114</v>
      </c>
      <c r="C71" s="113">
        <v>1188714</v>
      </c>
      <c r="D71" s="113">
        <v>1444852</v>
      </c>
      <c r="E71" s="113">
        <f t="shared" si="9"/>
        <v>256138</v>
      </c>
      <c r="F71" s="114">
        <f t="shared" si="10"/>
        <v>0.21547487452827174</v>
      </c>
    </row>
    <row r="72" spans="1:6" x14ac:dyDescent="0.2">
      <c r="A72" s="115">
        <v>3</v>
      </c>
      <c r="B72" s="116" t="s">
        <v>115</v>
      </c>
      <c r="C72" s="113">
        <v>2921192</v>
      </c>
      <c r="D72" s="113">
        <v>3088780</v>
      </c>
      <c r="E72" s="113">
        <f t="shared" si="9"/>
        <v>167588</v>
      </c>
      <c r="F72" s="114">
        <f t="shared" si="10"/>
        <v>5.7369731260389592E-2</v>
      </c>
    </row>
    <row r="73" spans="1:6" x14ac:dyDescent="0.2">
      <c r="A73" s="115">
        <v>4</v>
      </c>
      <c r="B73" s="116" t="s">
        <v>116</v>
      </c>
      <c r="C73" s="113">
        <v>348660</v>
      </c>
      <c r="D73" s="113">
        <v>0</v>
      </c>
      <c r="E73" s="113">
        <f t="shared" si="9"/>
        <v>-348660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65299</v>
      </c>
      <c r="D74" s="113">
        <v>49868</v>
      </c>
      <c r="E74" s="113">
        <f t="shared" si="9"/>
        <v>-15431</v>
      </c>
      <c r="F74" s="114">
        <f t="shared" si="10"/>
        <v>-0.2363129603822417</v>
      </c>
    </row>
    <row r="75" spans="1:6" x14ac:dyDescent="0.2">
      <c r="A75" s="115">
        <v>6</v>
      </c>
      <c r="B75" s="116" t="s">
        <v>118</v>
      </c>
      <c r="C75" s="113">
        <v>2567324</v>
      </c>
      <c r="D75" s="113">
        <v>2653060</v>
      </c>
      <c r="E75" s="113">
        <f t="shared" si="9"/>
        <v>85736</v>
      </c>
      <c r="F75" s="114">
        <f t="shared" si="10"/>
        <v>3.3395083752576611E-2</v>
      </c>
    </row>
    <row r="76" spans="1:6" x14ac:dyDescent="0.2">
      <c r="A76" s="115">
        <v>7</v>
      </c>
      <c r="B76" s="116" t="s">
        <v>119</v>
      </c>
      <c r="C76" s="113">
        <v>36470781</v>
      </c>
      <c r="D76" s="113">
        <v>31474845</v>
      </c>
      <c r="E76" s="113">
        <f t="shared" si="9"/>
        <v>-4995936</v>
      </c>
      <c r="F76" s="114">
        <f t="shared" si="10"/>
        <v>-0.13698461790549535</v>
      </c>
    </row>
    <row r="77" spans="1:6" x14ac:dyDescent="0.2">
      <c r="A77" s="115">
        <v>8</v>
      </c>
      <c r="B77" s="116" t="s">
        <v>120</v>
      </c>
      <c r="C77" s="113">
        <v>1039260</v>
      </c>
      <c r="D77" s="113">
        <v>1033687</v>
      </c>
      <c r="E77" s="113">
        <f t="shared" si="9"/>
        <v>-5573</v>
      </c>
      <c r="F77" s="114">
        <f t="shared" si="10"/>
        <v>-5.3624694494159306E-3</v>
      </c>
    </row>
    <row r="78" spans="1:6" x14ac:dyDescent="0.2">
      <c r="A78" s="115">
        <v>9</v>
      </c>
      <c r="B78" s="116" t="s">
        <v>121</v>
      </c>
      <c r="C78" s="113">
        <v>141878</v>
      </c>
      <c r="D78" s="113">
        <v>181039</v>
      </c>
      <c r="E78" s="113">
        <f t="shared" si="9"/>
        <v>39161</v>
      </c>
      <c r="F78" s="114">
        <f t="shared" si="10"/>
        <v>0.27601883308194364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98344</v>
      </c>
      <c r="D80" s="113">
        <v>77001</v>
      </c>
      <c r="E80" s="113">
        <f t="shared" si="9"/>
        <v>-21343</v>
      </c>
      <c r="F80" s="114">
        <f t="shared" si="10"/>
        <v>-0.21702391604978444</v>
      </c>
    </row>
    <row r="81" spans="1:6" ht="15.75" x14ac:dyDescent="0.25">
      <c r="A81" s="117"/>
      <c r="B81" s="118" t="s">
        <v>133</v>
      </c>
      <c r="C81" s="119">
        <f>SUM(C70:C80)</f>
        <v>56586095</v>
      </c>
      <c r="D81" s="119">
        <f>SUM(D70:D80)</f>
        <v>50614609</v>
      </c>
      <c r="E81" s="119">
        <f t="shared" si="9"/>
        <v>-5971486</v>
      </c>
      <c r="F81" s="120">
        <f t="shared" si="10"/>
        <v>-0.10552921172595493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21902028</v>
      </c>
      <c r="D84" s="119">
        <f t="shared" si="11"/>
        <v>20507335</v>
      </c>
      <c r="E84" s="119">
        <f t="shared" ref="E84:E95" si="12">D84-C84</f>
        <v>-1394693</v>
      </c>
      <c r="F84" s="120">
        <f t="shared" ref="F84:F95" si="13">IF(C84=0,0,E84/C84)</f>
        <v>-6.3678715048670384E-2</v>
      </c>
    </row>
    <row r="85" spans="1:6" ht="15.75" x14ac:dyDescent="0.25">
      <c r="A85" s="130">
        <v>2</v>
      </c>
      <c r="B85" s="122" t="s">
        <v>114</v>
      </c>
      <c r="C85" s="119">
        <f t="shared" si="11"/>
        <v>2340043</v>
      </c>
      <c r="D85" s="119">
        <f t="shared" si="11"/>
        <v>2585169</v>
      </c>
      <c r="E85" s="119">
        <f t="shared" si="12"/>
        <v>245126</v>
      </c>
      <c r="F85" s="120">
        <f t="shared" si="13"/>
        <v>0.10475277591052815</v>
      </c>
    </row>
    <row r="86" spans="1:6" ht="15.75" x14ac:dyDescent="0.25">
      <c r="A86" s="130">
        <v>3</v>
      </c>
      <c r="B86" s="122" t="s">
        <v>115</v>
      </c>
      <c r="C86" s="119">
        <f t="shared" si="11"/>
        <v>4526233</v>
      </c>
      <c r="D86" s="119">
        <f t="shared" si="11"/>
        <v>4514518</v>
      </c>
      <c r="E86" s="119">
        <f t="shared" si="12"/>
        <v>-11715</v>
      </c>
      <c r="F86" s="120">
        <f t="shared" si="13"/>
        <v>-2.5882450152256856E-3</v>
      </c>
    </row>
    <row r="87" spans="1:6" ht="15.75" x14ac:dyDescent="0.25">
      <c r="A87" s="130">
        <v>4</v>
      </c>
      <c r="B87" s="122" t="s">
        <v>116</v>
      </c>
      <c r="C87" s="119">
        <f t="shared" si="11"/>
        <v>492665</v>
      </c>
      <c r="D87" s="119">
        <f t="shared" si="11"/>
        <v>0</v>
      </c>
      <c r="E87" s="119">
        <f t="shared" si="12"/>
        <v>-492665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101107</v>
      </c>
      <c r="D88" s="119">
        <f t="shared" si="11"/>
        <v>87241</v>
      </c>
      <c r="E88" s="119">
        <f t="shared" si="12"/>
        <v>-13866</v>
      </c>
      <c r="F88" s="120">
        <f t="shared" si="13"/>
        <v>-0.13714183983304815</v>
      </c>
    </row>
    <row r="89" spans="1:6" ht="15.75" x14ac:dyDescent="0.25">
      <c r="A89" s="130">
        <v>6</v>
      </c>
      <c r="B89" s="122" t="s">
        <v>118</v>
      </c>
      <c r="C89" s="119">
        <f t="shared" si="11"/>
        <v>2949755</v>
      </c>
      <c r="D89" s="119">
        <f t="shared" si="11"/>
        <v>3073293</v>
      </c>
      <c r="E89" s="119">
        <f t="shared" si="12"/>
        <v>123538</v>
      </c>
      <c r="F89" s="120">
        <f t="shared" si="13"/>
        <v>4.1880766368732315E-2</v>
      </c>
    </row>
    <row r="90" spans="1:6" ht="15.75" x14ac:dyDescent="0.25">
      <c r="A90" s="130">
        <v>7</v>
      </c>
      <c r="B90" s="122" t="s">
        <v>119</v>
      </c>
      <c r="C90" s="119">
        <f t="shared" si="11"/>
        <v>43449035</v>
      </c>
      <c r="D90" s="119">
        <f t="shared" si="11"/>
        <v>37428121</v>
      </c>
      <c r="E90" s="119">
        <f t="shared" si="12"/>
        <v>-6020914</v>
      </c>
      <c r="F90" s="120">
        <f t="shared" si="13"/>
        <v>-0.13857417086478446</v>
      </c>
    </row>
    <row r="91" spans="1:6" ht="15.75" x14ac:dyDescent="0.25">
      <c r="A91" s="130">
        <v>8</v>
      </c>
      <c r="B91" s="122" t="s">
        <v>120</v>
      </c>
      <c r="C91" s="119">
        <f t="shared" si="11"/>
        <v>1602838</v>
      </c>
      <c r="D91" s="119">
        <f t="shared" si="11"/>
        <v>1403453</v>
      </c>
      <c r="E91" s="119">
        <f t="shared" si="12"/>
        <v>-199385</v>
      </c>
      <c r="F91" s="120">
        <f t="shared" si="13"/>
        <v>-0.12439497940527988</v>
      </c>
    </row>
    <row r="92" spans="1:6" ht="15.75" x14ac:dyDescent="0.25">
      <c r="A92" s="130">
        <v>9</v>
      </c>
      <c r="B92" s="122" t="s">
        <v>121</v>
      </c>
      <c r="C92" s="119">
        <f t="shared" si="11"/>
        <v>175360</v>
      </c>
      <c r="D92" s="119">
        <f t="shared" si="11"/>
        <v>222112</v>
      </c>
      <c r="E92" s="119">
        <f t="shared" si="12"/>
        <v>46752</v>
      </c>
      <c r="F92" s="120">
        <f t="shared" si="13"/>
        <v>0.26660583941605842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127188</v>
      </c>
      <c r="D94" s="119">
        <f t="shared" si="11"/>
        <v>118921</v>
      </c>
      <c r="E94" s="119">
        <f t="shared" si="12"/>
        <v>-8267</v>
      </c>
      <c r="F94" s="120">
        <f t="shared" si="13"/>
        <v>-6.4998270277070169E-2</v>
      </c>
    </row>
    <row r="95" spans="1:6" ht="18.75" customHeight="1" thickBot="1" x14ac:dyDescent="0.3">
      <c r="A95" s="131"/>
      <c r="B95" s="132" t="s">
        <v>134</v>
      </c>
      <c r="C95" s="128">
        <f>SUM(C84:C94)</f>
        <v>77666252</v>
      </c>
      <c r="D95" s="128">
        <f>SUM(D84:D94)</f>
        <v>69940163</v>
      </c>
      <c r="E95" s="128">
        <f t="shared" si="12"/>
        <v>-7726089</v>
      </c>
      <c r="F95" s="129">
        <f t="shared" si="13"/>
        <v>-9.9478071891508299E-2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1016</v>
      </c>
      <c r="D100" s="133">
        <v>958</v>
      </c>
      <c r="E100" s="133">
        <f t="shared" ref="E100:E111" si="14">D100-C100</f>
        <v>-58</v>
      </c>
      <c r="F100" s="114">
        <f t="shared" ref="F100:F111" si="15">IF(C100=0,0,E100/C100)</f>
        <v>-5.7086614173228349E-2</v>
      </c>
    </row>
    <row r="101" spans="1:6" x14ac:dyDescent="0.2">
      <c r="A101" s="115">
        <v>2</v>
      </c>
      <c r="B101" s="116" t="s">
        <v>114</v>
      </c>
      <c r="C101" s="133">
        <v>102</v>
      </c>
      <c r="D101" s="133">
        <v>125</v>
      </c>
      <c r="E101" s="133">
        <f t="shared" si="14"/>
        <v>23</v>
      </c>
      <c r="F101" s="114">
        <f t="shared" si="15"/>
        <v>0.22549019607843138</v>
      </c>
    </row>
    <row r="102" spans="1:6" x14ac:dyDescent="0.2">
      <c r="A102" s="115">
        <v>3</v>
      </c>
      <c r="B102" s="116" t="s">
        <v>115</v>
      </c>
      <c r="C102" s="133">
        <v>236</v>
      </c>
      <c r="D102" s="133">
        <v>188</v>
      </c>
      <c r="E102" s="133">
        <f t="shared" si="14"/>
        <v>-48</v>
      </c>
      <c r="F102" s="114">
        <f t="shared" si="15"/>
        <v>-0.20338983050847459</v>
      </c>
    </row>
    <row r="103" spans="1:6" x14ac:dyDescent="0.2">
      <c r="A103" s="115">
        <v>4</v>
      </c>
      <c r="B103" s="116" t="s">
        <v>116</v>
      </c>
      <c r="C103" s="133">
        <v>29</v>
      </c>
      <c r="D103" s="133">
        <v>0</v>
      </c>
      <c r="E103" s="133">
        <f t="shared" si="14"/>
        <v>-29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9</v>
      </c>
      <c r="D104" s="133">
        <v>2</v>
      </c>
      <c r="E104" s="133">
        <f t="shared" si="14"/>
        <v>-7</v>
      </c>
      <c r="F104" s="114">
        <f t="shared" si="15"/>
        <v>-0.77777777777777779</v>
      </c>
    </row>
    <row r="105" spans="1:6" x14ac:dyDescent="0.2">
      <c r="A105" s="115">
        <v>6</v>
      </c>
      <c r="B105" s="116" t="s">
        <v>118</v>
      </c>
      <c r="C105" s="133">
        <v>75</v>
      </c>
      <c r="D105" s="133">
        <v>40</v>
      </c>
      <c r="E105" s="133">
        <f t="shared" si="14"/>
        <v>-35</v>
      </c>
      <c r="F105" s="114">
        <f t="shared" si="15"/>
        <v>-0.46666666666666667</v>
      </c>
    </row>
    <row r="106" spans="1:6" x14ac:dyDescent="0.2">
      <c r="A106" s="115">
        <v>7</v>
      </c>
      <c r="B106" s="116" t="s">
        <v>119</v>
      </c>
      <c r="C106" s="133">
        <v>737</v>
      </c>
      <c r="D106" s="133">
        <v>454</v>
      </c>
      <c r="E106" s="133">
        <f t="shared" si="14"/>
        <v>-283</v>
      </c>
      <c r="F106" s="114">
        <f t="shared" si="15"/>
        <v>-0.38398914518317501</v>
      </c>
    </row>
    <row r="107" spans="1:6" x14ac:dyDescent="0.2">
      <c r="A107" s="115">
        <v>8</v>
      </c>
      <c r="B107" s="116" t="s">
        <v>120</v>
      </c>
      <c r="C107" s="133">
        <v>22</v>
      </c>
      <c r="D107" s="133">
        <v>13</v>
      </c>
      <c r="E107" s="133">
        <f t="shared" si="14"/>
        <v>-9</v>
      </c>
      <c r="F107" s="114">
        <f t="shared" si="15"/>
        <v>-0.40909090909090912</v>
      </c>
    </row>
    <row r="108" spans="1:6" x14ac:dyDescent="0.2">
      <c r="A108" s="115">
        <v>9</v>
      </c>
      <c r="B108" s="116" t="s">
        <v>121</v>
      </c>
      <c r="C108" s="133">
        <v>54</v>
      </c>
      <c r="D108" s="133">
        <v>38</v>
      </c>
      <c r="E108" s="133">
        <f t="shared" si="14"/>
        <v>-16</v>
      </c>
      <c r="F108" s="114">
        <f t="shared" si="15"/>
        <v>-0.29629629629629628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8</v>
      </c>
      <c r="D110" s="133">
        <v>6</v>
      </c>
      <c r="E110" s="133">
        <f t="shared" si="14"/>
        <v>-2</v>
      </c>
      <c r="F110" s="114">
        <f t="shared" si="15"/>
        <v>-0.25</v>
      </c>
    </row>
    <row r="111" spans="1:6" ht="15.75" x14ac:dyDescent="0.25">
      <c r="A111" s="117"/>
      <c r="B111" s="118" t="s">
        <v>138</v>
      </c>
      <c r="C111" s="134">
        <f>SUM(C100:C110)</f>
        <v>2288</v>
      </c>
      <c r="D111" s="134">
        <f>SUM(D100:D110)</f>
        <v>1824</v>
      </c>
      <c r="E111" s="134">
        <f t="shared" si="14"/>
        <v>-464</v>
      </c>
      <c r="F111" s="120">
        <f t="shared" si="15"/>
        <v>-0.20279720279720279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4553</v>
      </c>
      <c r="D113" s="133">
        <v>4069</v>
      </c>
      <c r="E113" s="133">
        <f t="shared" ref="E113:E124" si="16">D113-C113</f>
        <v>-484</v>
      </c>
      <c r="F113" s="114">
        <f t="shared" ref="F113:F124" si="17">IF(C113=0,0,E113/C113)</f>
        <v>-0.10630353613002416</v>
      </c>
    </row>
    <row r="114" spans="1:6" x14ac:dyDescent="0.2">
      <c r="A114" s="115">
        <v>2</v>
      </c>
      <c r="B114" s="116" t="s">
        <v>114</v>
      </c>
      <c r="C114" s="133">
        <v>432</v>
      </c>
      <c r="D114" s="133">
        <v>524</v>
      </c>
      <c r="E114" s="133">
        <f t="shared" si="16"/>
        <v>92</v>
      </c>
      <c r="F114" s="114">
        <f t="shared" si="17"/>
        <v>0.21296296296296297</v>
      </c>
    </row>
    <row r="115" spans="1:6" x14ac:dyDescent="0.2">
      <c r="A115" s="115">
        <v>3</v>
      </c>
      <c r="B115" s="116" t="s">
        <v>115</v>
      </c>
      <c r="C115" s="133">
        <v>811</v>
      </c>
      <c r="D115" s="133">
        <v>703</v>
      </c>
      <c r="E115" s="133">
        <f t="shared" si="16"/>
        <v>-108</v>
      </c>
      <c r="F115" s="114">
        <f t="shared" si="17"/>
        <v>-0.13316892725030827</v>
      </c>
    </row>
    <row r="116" spans="1:6" x14ac:dyDescent="0.2">
      <c r="A116" s="115">
        <v>4</v>
      </c>
      <c r="B116" s="116" t="s">
        <v>116</v>
      </c>
      <c r="C116" s="133">
        <v>78</v>
      </c>
      <c r="D116" s="133">
        <v>0</v>
      </c>
      <c r="E116" s="133">
        <f t="shared" si="16"/>
        <v>-78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27</v>
      </c>
      <c r="D117" s="133">
        <v>3</v>
      </c>
      <c r="E117" s="133">
        <f t="shared" si="16"/>
        <v>-24</v>
      </c>
      <c r="F117" s="114">
        <f t="shared" si="17"/>
        <v>-0.88888888888888884</v>
      </c>
    </row>
    <row r="118" spans="1:6" x14ac:dyDescent="0.2">
      <c r="A118" s="115">
        <v>6</v>
      </c>
      <c r="B118" s="116" t="s">
        <v>118</v>
      </c>
      <c r="C118" s="133">
        <v>247</v>
      </c>
      <c r="D118" s="133">
        <v>122</v>
      </c>
      <c r="E118" s="133">
        <f t="shared" si="16"/>
        <v>-125</v>
      </c>
      <c r="F118" s="114">
        <f t="shared" si="17"/>
        <v>-0.50607287449392713</v>
      </c>
    </row>
    <row r="119" spans="1:6" x14ac:dyDescent="0.2">
      <c r="A119" s="115">
        <v>7</v>
      </c>
      <c r="B119" s="116" t="s">
        <v>119</v>
      </c>
      <c r="C119" s="133">
        <v>2173</v>
      </c>
      <c r="D119" s="133">
        <v>1444</v>
      </c>
      <c r="E119" s="133">
        <f t="shared" si="16"/>
        <v>-729</v>
      </c>
      <c r="F119" s="114">
        <f t="shared" si="17"/>
        <v>-0.33548090197883113</v>
      </c>
    </row>
    <row r="120" spans="1:6" x14ac:dyDescent="0.2">
      <c r="A120" s="115">
        <v>8</v>
      </c>
      <c r="B120" s="116" t="s">
        <v>120</v>
      </c>
      <c r="C120" s="133">
        <v>40</v>
      </c>
      <c r="D120" s="133">
        <v>28</v>
      </c>
      <c r="E120" s="133">
        <f t="shared" si="16"/>
        <v>-12</v>
      </c>
      <c r="F120" s="114">
        <f t="shared" si="17"/>
        <v>-0.3</v>
      </c>
    </row>
    <row r="121" spans="1:6" x14ac:dyDescent="0.2">
      <c r="A121" s="115">
        <v>9</v>
      </c>
      <c r="B121" s="116" t="s">
        <v>121</v>
      </c>
      <c r="C121" s="133">
        <v>165</v>
      </c>
      <c r="D121" s="133">
        <v>111</v>
      </c>
      <c r="E121" s="133">
        <f t="shared" si="16"/>
        <v>-54</v>
      </c>
      <c r="F121" s="114">
        <f t="shared" si="17"/>
        <v>-0.32727272727272727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11</v>
      </c>
      <c r="D123" s="133">
        <v>13</v>
      </c>
      <c r="E123" s="133">
        <f t="shared" si="16"/>
        <v>2</v>
      </c>
      <c r="F123" s="114">
        <f t="shared" si="17"/>
        <v>0.18181818181818182</v>
      </c>
    </row>
    <row r="124" spans="1:6" ht="15.75" x14ac:dyDescent="0.25">
      <c r="A124" s="117"/>
      <c r="B124" s="118" t="s">
        <v>140</v>
      </c>
      <c r="C124" s="134">
        <f>SUM(C113:C123)</f>
        <v>8537</v>
      </c>
      <c r="D124" s="134">
        <f>SUM(D113:D123)</f>
        <v>7017</v>
      </c>
      <c r="E124" s="134">
        <f t="shared" si="16"/>
        <v>-1520</v>
      </c>
      <c r="F124" s="120">
        <f t="shared" si="17"/>
        <v>-0.17804849478739604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21317</v>
      </c>
      <c r="D126" s="133">
        <v>17995</v>
      </c>
      <c r="E126" s="133">
        <f t="shared" ref="E126:E137" si="18">D126-C126</f>
        <v>-3322</v>
      </c>
      <c r="F126" s="114">
        <f t="shared" ref="F126:F137" si="19">IF(C126=0,0,E126/C126)</f>
        <v>-0.1558380635173805</v>
      </c>
    </row>
    <row r="127" spans="1:6" x14ac:dyDescent="0.2">
      <c r="A127" s="115">
        <v>2</v>
      </c>
      <c r="B127" s="116" t="s">
        <v>114</v>
      </c>
      <c r="C127" s="133">
        <v>2585</v>
      </c>
      <c r="D127" s="133">
        <v>2091</v>
      </c>
      <c r="E127" s="133">
        <f t="shared" si="18"/>
        <v>-494</v>
      </c>
      <c r="F127" s="114">
        <f t="shared" si="19"/>
        <v>-0.19110251450676982</v>
      </c>
    </row>
    <row r="128" spans="1:6" x14ac:dyDescent="0.2">
      <c r="A128" s="115">
        <v>3</v>
      </c>
      <c r="B128" s="116" t="s">
        <v>115</v>
      </c>
      <c r="C128" s="133">
        <v>8304</v>
      </c>
      <c r="D128" s="133">
        <v>9291</v>
      </c>
      <c r="E128" s="133">
        <f t="shared" si="18"/>
        <v>987</v>
      </c>
      <c r="F128" s="114">
        <f t="shared" si="19"/>
        <v>0.11885838150289017</v>
      </c>
    </row>
    <row r="129" spans="1:6" x14ac:dyDescent="0.2">
      <c r="A129" s="115">
        <v>4</v>
      </c>
      <c r="B129" s="116" t="s">
        <v>116</v>
      </c>
      <c r="C129" s="133">
        <v>1456</v>
      </c>
      <c r="D129" s="133">
        <v>0</v>
      </c>
      <c r="E129" s="133">
        <f t="shared" si="18"/>
        <v>-1456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180</v>
      </c>
      <c r="D130" s="133">
        <v>123</v>
      </c>
      <c r="E130" s="133">
        <f t="shared" si="18"/>
        <v>-57</v>
      </c>
      <c r="F130" s="114">
        <f t="shared" si="19"/>
        <v>-0.31666666666666665</v>
      </c>
    </row>
    <row r="131" spans="1:6" x14ac:dyDescent="0.2">
      <c r="A131" s="115">
        <v>6</v>
      </c>
      <c r="B131" s="116" t="s">
        <v>118</v>
      </c>
      <c r="C131" s="133">
        <v>3592</v>
      </c>
      <c r="D131" s="133">
        <v>2341</v>
      </c>
      <c r="E131" s="133">
        <f t="shared" si="18"/>
        <v>-1251</v>
      </c>
      <c r="F131" s="114">
        <f t="shared" si="19"/>
        <v>-0.34827394209354118</v>
      </c>
    </row>
    <row r="132" spans="1:6" x14ac:dyDescent="0.2">
      <c r="A132" s="115">
        <v>7</v>
      </c>
      <c r="B132" s="116" t="s">
        <v>119</v>
      </c>
      <c r="C132" s="133">
        <v>29138</v>
      </c>
      <c r="D132" s="133">
        <v>23582</v>
      </c>
      <c r="E132" s="133">
        <f t="shared" si="18"/>
        <v>-5556</v>
      </c>
      <c r="F132" s="114">
        <f t="shared" si="19"/>
        <v>-0.19067883862996773</v>
      </c>
    </row>
    <row r="133" spans="1:6" x14ac:dyDescent="0.2">
      <c r="A133" s="115">
        <v>8</v>
      </c>
      <c r="B133" s="116" t="s">
        <v>120</v>
      </c>
      <c r="C133" s="133">
        <v>721</v>
      </c>
      <c r="D133" s="133">
        <v>672</v>
      </c>
      <c r="E133" s="133">
        <f t="shared" si="18"/>
        <v>-49</v>
      </c>
      <c r="F133" s="114">
        <f t="shared" si="19"/>
        <v>-6.7961165048543687E-2</v>
      </c>
    </row>
    <row r="134" spans="1:6" x14ac:dyDescent="0.2">
      <c r="A134" s="115">
        <v>9</v>
      </c>
      <c r="B134" s="116" t="s">
        <v>121</v>
      </c>
      <c r="C134" s="133">
        <v>3322</v>
      </c>
      <c r="D134" s="133">
        <v>1805</v>
      </c>
      <c r="E134" s="133">
        <f t="shared" si="18"/>
        <v>-1517</v>
      </c>
      <c r="F134" s="114">
        <f t="shared" si="19"/>
        <v>-0.45665261890427455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222</v>
      </c>
      <c r="D136" s="133">
        <v>238</v>
      </c>
      <c r="E136" s="133">
        <f t="shared" si="18"/>
        <v>16</v>
      </c>
      <c r="F136" s="114">
        <f t="shared" si="19"/>
        <v>7.2072072072072071E-2</v>
      </c>
    </row>
    <row r="137" spans="1:6" ht="15.75" x14ac:dyDescent="0.25">
      <c r="A137" s="117"/>
      <c r="B137" s="118" t="s">
        <v>142</v>
      </c>
      <c r="C137" s="134">
        <f>SUM(C126:C136)</f>
        <v>70837</v>
      </c>
      <c r="D137" s="134">
        <f>SUM(D126:D136)</f>
        <v>58138</v>
      </c>
      <c r="E137" s="134">
        <f t="shared" si="18"/>
        <v>-12699</v>
      </c>
      <c r="F137" s="120">
        <f t="shared" si="19"/>
        <v>-0.17927072010390049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5715450</v>
      </c>
      <c r="D142" s="113">
        <v>5596262</v>
      </c>
      <c r="E142" s="113">
        <f t="shared" ref="E142:E153" si="20">D142-C142</f>
        <v>-119188</v>
      </c>
      <c r="F142" s="114">
        <f t="shared" ref="F142:F153" si="21">IF(C142=0,0,E142/C142)</f>
        <v>-2.0853651068594773E-2</v>
      </c>
    </row>
    <row r="143" spans="1:6" x14ac:dyDescent="0.2">
      <c r="A143" s="115">
        <v>2</v>
      </c>
      <c r="B143" s="116" t="s">
        <v>114</v>
      </c>
      <c r="C143" s="113">
        <v>594576</v>
      </c>
      <c r="D143" s="113">
        <v>764282</v>
      </c>
      <c r="E143" s="113">
        <f t="shared" si="20"/>
        <v>169706</v>
      </c>
      <c r="F143" s="114">
        <f t="shared" si="21"/>
        <v>0.28542356233685856</v>
      </c>
    </row>
    <row r="144" spans="1:6" x14ac:dyDescent="0.2">
      <c r="A144" s="115">
        <v>3</v>
      </c>
      <c r="B144" s="116" t="s">
        <v>115</v>
      </c>
      <c r="C144" s="113">
        <v>3902537</v>
      </c>
      <c r="D144" s="113">
        <v>4743583</v>
      </c>
      <c r="E144" s="113">
        <f t="shared" si="20"/>
        <v>841046</v>
      </c>
      <c r="F144" s="114">
        <f t="shared" si="21"/>
        <v>0.21551262678611374</v>
      </c>
    </row>
    <row r="145" spans="1:6" x14ac:dyDescent="0.2">
      <c r="A145" s="115">
        <v>4</v>
      </c>
      <c r="B145" s="116" t="s">
        <v>116</v>
      </c>
      <c r="C145" s="113">
        <v>668678</v>
      </c>
      <c r="D145" s="113">
        <v>0</v>
      </c>
      <c r="E145" s="113">
        <f t="shared" si="20"/>
        <v>-668678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108606</v>
      </c>
      <c r="D146" s="113">
        <v>90541</v>
      </c>
      <c r="E146" s="113">
        <f t="shared" si="20"/>
        <v>-18065</v>
      </c>
      <c r="F146" s="114">
        <f t="shared" si="21"/>
        <v>-0.16633519326740695</v>
      </c>
    </row>
    <row r="147" spans="1:6" x14ac:dyDescent="0.2">
      <c r="A147" s="115">
        <v>6</v>
      </c>
      <c r="B147" s="116" t="s">
        <v>118</v>
      </c>
      <c r="C147" s="113">
        <v>1250726</v>
      </c>
      <c r="D147" s="113">
        <v>1214745</v>
      </c>
      <c r="E147" s="113">
        <f t="shared" si="20"/>
        <v>-35981</v>
      </c>
      <c r="F147" s="114">
        <f t="shared" si="21"/>
        <v>-2.8768091492461179E-2</v>
      </c>
    </row>
    <row r="148" spans="1:6" x14ac:dyDescent="0.2">
      <c r="A148" s="115">
        <v>7</v>
      </c>
      <c r="B148" s="116" t="s">
        <v>119</v>
      </c>
      <c r="C148" s="113">
        <v>11252820</v>
      </c>
      <c r="D148" s="113">
        <v>11133229</v>
      </c>
      <c r="E148" s="113">
        <f t="shared" si="20"/>
        <v>-119591</v>
      </c>
      <c r="F148" s="114">
        <f t="shared" si="21"/>
        <v>-1.0627647114234477E-2</v>
      </c>
    </row>
    <row r="149" spans="1:6" x14ac:dyDescent="0.2">
      <c r="A149" s="115">
        <v>8</v>
      </c>
      <c r="B149" s="116" t="s">
        <v>120</v>
      </c>
      <c r="C149" s="113">
        <v>609681</v>
      </c>
      <c r="D149" s="113">
        <v>618950</v>
      </c>
      <c r="E149" s="113">
        <f t="shared" si="20"/>
        <v>9269</v>
      </c>
      <c r="F149" s="114">
        <f t="shared" si="21"/>
        <v>1.5203032405471058E-2</v>
      </c>
    </row>
    <row r="150" spans="1:6" x14ac:dyDescent="0.2">
      <c r="A150" s="115">
        <v>9</v>
      </c>
      <c r="B150" s="116" t="s">
        <v>121</v>
      </c>
      <c r="C150" s="113">
        <v>1796054</v>
      </c>
      <c r="D150" s="113">
        <v>1457821</v>
      </c>
      <c r="E150" s="113">
        <f t="shared" si="20"/>
        <v>-338233</v>
      </c>
      <c r="F150" s="114">
        <f t="shared" si="21"/>
        <v>-0.18832006164625339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311822</v>
      </c>
      <c r="D152" s="113">
        <v>294433</v>
      </c>
      <c r="E152" s="113">
        <f t="shared" si="20"/>
        <v>-17389</v>
      </c>
      <c r="F152" s="114">
        <f t="shared" si="21"/>
        <v>-5.5765789456805485E-2</v>
      </c>
    </row>
    <row r="153" spans="1:6" ht="33.75" customHeight="1" x14ac:dyDescent="0.25">
      <c r="A153" s="117"/>
      <c r="B153" s="118" t="s">
        <v>146</v>
      </c>
      <c r="C153" s="119">
        <f>SUM(C142:C152)</f>
        <v>26210950</v>
      </c>
      <c r="D153" s="119">
        <f>SUM(D142:D152)</f>
        <v>25913846</v>
      </c>
      <c r="E153" s="119">
        <f t="shared" si="20"/>
        <v>-297104</v>
      </c>
      <c r="F153" s="120">
        <f t="shared" si="21"/>
        <v>-1.1335109944507924E-2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1213874</v>
      </c>
      <c r="D155" s="113">
        <v>1242389</v>
      </c>
      <c r="E155" s="113">
        <f t="shared" ref="E155:E166" si="22">D155-C155</f>
        <v>28515</v>
      </c>
      <c r="F155" s="114">
        <f t="shared" ref="F155:F166" si="23">IF(C155=0,0,E155/C155)</f>
        <v>2.3490905975414252E-2</v>
      </c>
    </row>
    <row r="156" spans="1:6" x14ac:dyDescent="0.2">
      <c r="A156" s="115">
        <v>2</v>
      </c>
      <c r="B156" s="116" t="s">
        <v>114</v>
      </c>
      <c r="C156" s="113">
        <v>125307</v>
      </c>
      <c r="D156" s="113">
        <v>169982</v>
      </c>
      <c r="E156" s="113">
        <f t="shared" si="22"/>
        <v>44675</v>
      </c>
      <c r="F156" s="114">
        <f t="shared" si="23"/>
        <v>0.35652437613221927</v>
      </c>
    </row>
    <row r="157" spans="1:6" x14ac:dyDescent="0.2">
      <c r="A157" s="115">
        <v>3</v>
      </c>
      <c r="B157" s="116" t="s">
        <v>115</v>
      </c>
      <c r="C157" s="113">
        <v>922665</v>
      </c>
      <c r="D157" s="113">
        <v>1032127</v>
      </c>
      <c r="E157" s="113">
        <f t="shared" si="22"/>
        <v>109462</v>
      </c>
      <c r="F157" s="114">
        <f t="shared" si="23"/>
        <v>0.11863677499417448</v>
      </c>
    </row>
    <row r="158" spans="1:6" x14ac:dyDescent="0.2">
      <c r="A158" s="115">
        <v>4</v>
      </c>
      <c r="B158" s="116" t="s">
        <v>116</v>
      </c>
      <c r="C158" s="113">
        <v>170214</v>
      </c>
      <c r="D158" s="113">
        <v>0</v>
      </c>
      <c r="E158" s="113">
        <f t="shared" si="22"/>
        <v>-170214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23955</v>
      </c>
      <c r="D159" s="113">
        <v>19896</v>
      </c>
      <c r="E159" s="113">
        <f t="shared" si="22"/>
        <v>-4059</v>
      </c>
      <c r="F159" s="114">
        <f t="shared" si="23"/>
        <v>-0.16944270507201001</v>
      </c>
    </row>
    <row r="160" spans="1:6" x14ac:dyDescent="0.2">
      <c r="A160" s="115">
        <v>6</v>
      </c>
      <c r="B160" s="116" t="s">
        <v>118</v>
      </c>
      <c r="C160" s="113">
        <v>702471</v>
      </c>
      <c r="D160" s="113">
        <v>694352</v>
      </c>
      <c r="E160" s="113">
        <f t="shared" si="22"/>
        <v>-8119</v>
      </c>
      <c r="F160" s="114">
        <f t="shared" si="23"/>
        <v>-1.1557772491675814E-2</v>
      </c>
    </row>
    <row r="161" spans="1:6" x14ac:dyDescent="0.2">
      <c r="A161" s="115">
        <v>7</v>
      </c>
      <c r="B161" s="116" t="s">
        <v>119</v>
      </c>
      <c r="C161" s="113">
        <v>5814310</v>
      </c>
      <c r="D161" s="113">
        <v>5980791</v>
      </c>
      <c r="E161" s="113">
        <f t="shared" si="22"/>
        <v>166481</v>
      </c>
      <c r="F161" s="114">
        <f t="shared" si="23"/>
        <v>2.8632976225897829E-2</v>
      </c>
    </row>
    <row r="162" spans="1:6" x14ac:dyDescent="0.2">
      <c r="A162" s="115">
        <v>8</v>
      </c>
      <c r="B162" s="116" t="s">
        <v>120</v>
      </c>
      <c r="C162" s="113">
        <v>401836</v>
      </c>
      <c r="D162" s="113">
        <v>377688</v>
      </c>
      <c r="E162" s="113">
        <f t="shared" si="22"/>
        <v>-24148</v>
      </c>
      <c r="F162" s="114">
        <f t="shared" si="23"/>
        <v>-6.0094167769935994E-2</v>
      </c>
    </row>
    <row r="163" spans="1:6" x14ac:dyDescent="0.2">
      <c r="A163" s="115">
        <v>9</v>
      </c>
      <c r="B163" s="116" t="s">
        <v>121</v>
      </c>
      <c r="C163" s="113">
        <v>108030</v>
      </c>
      <c r="D163" s="113">
        <v>129293</v>
      </c>
      <c r="E163" s="113">
        <f t="shared" si="22"/>
        <v>21263</v>
      </c>
      <c r="F163" s="114">
        <f t="shared" si="23"/>
        <v>0.19682495603073222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41229</v>
      </c>
      <c r="D165" s="113">
        <v>42659</v>
      </c>
      <c r="E165" s="113">
        <f t="shared" si="22"/>
        <v>1430</v>
      </c>
      <c r="F165" s="114">
        <f t="shared" si="23"/>
        <v>3.46843241407747E-2</v>
      </c>
    </row>
    <row r="166" spans="1:6" ht="33.75" customHeight="1" x14ac:dyDescent="0.25">
      <c r="A166" s="117"/>
      <c r="B166" s="118" t="s">
        <v>148</v>
      </c>
      <c r="C166" s="119">
        <f>SUM(C155:C165)</f>
        <v>9523891</v>
      </c>
      <c r="D166" s="119">
        <f>SUM(D155:D165)</f>
        <v>9689177</v>
      </c>
      <c r="E166" s="119">
        <f t="shared" si="22"/>
        <v>165286</v>
      </c>
      <c r="F166" s="120">
        <f t="shared" si="23"/>
        <v>1.7354881528988519E-2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2942</v>
      </c>
      <c r="D168" s="133">
        <v>2891</v>
      </c>
      <c r="E168" s="133">
        <f t="shared" ref="E168:E179" si="24">D168-C168</f>
        <v>-51</v>
      </c>
      <c r="F168" s="114">
        <f t="shared" ref="F168:F179" si="25">IF(C168=0,0,E168/C168)</f>
        <v>-1.733514615907546E-2</v>
      </c>
    </row>
    <row r="169" spans="1:6" x14ac:dyDescent="0.2">
      <c r="A169" s="115">
        <v>2</v>
      </c>
      <c r="B169" s="116" t="s">
        <v>114</v>
      </c>
      <c r="C169" s="133">
        <v>278</v>
      </c>
      <c r="D169" s="133">
        <v>382</v>
      </c>
      <c r="E169" s="133">
        <f t="shared" si="24"/>
        <v>104</v>
      </c>
      <c r="F169" s="114">
        <f t="shared" si="25"/>
        <v>0.37410071942446044</v>
      </c>
    </row>
    <row r="170" spans="1:6" x14ac:dyDescent="0.2">
      <c r="A170" s="115">
        <v>3</v>
      </c>
      <c r="B170" s="116" t="s">
        <v>115</v>
      </c>
      <c r="C170" s="133">
        <v>2880</v>
      </c>
      <c r="D170" s="133">
        <v>3402</v>
      </c>
      <c r="E170" s="133">
        <f t="shared" si="24"/>
        <v>522</v>
      </c>
      <c r="F170" s="114">
        <f t="shared" si="25"/>
        <v>0.18124999999999999</v>
      </c>
    </row>
    <row r="171" spans="1:6" x14ac:dyDescent="0.2">
      <c r="A171" s="115">
        <v>4</v>
      </c>
      <c r="B171" s="116" t="s">
        <v>116</v>
      </c>
      <c r="C171" s="133">
        <v>530</v>
      </c>
      <c r="D171" s="133">
        <v>0</v>
      </c>
      <c r="E171" s="133">
        <f t="shared" si="24"/>
        <v>-530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84</v>
      </c>
      <c r="D172" s="133">
        <v>52</v>
      </c>
      <c r="E172" s="133">
        <f t="shared" si="24"/>
        <v>-32</v>
      </c>
      <c r="F172" s="114">
        <f t="shared" si="25"/>
        <v>-0.38095238095238093</v>
      </c>
    </row>
    <row r="173" spans="1:6" x14ac:dyDescent="0.2">
      <c r="A173" s="115">
        <v>6</v>
      </c>
      <c r="B173" s="116" t="s">
        <v>118</v>
      </c>
      <c r="C173" s="133">
        <v>725</v>
      </c>
      <c r="D173" s="133">
        <v>773</v>
      </c>
      <c r="E173" s="133">
        <f t="shared" si="24"/>
        <v>48</v>
      </c>
      <c r="F173" s="114">
        <f t="shared" si="25"/>
        <v>6.620689655172414E-2</v>
      </c>
    </row>
    <row r="174" spans="1:6" x14ac:dyDescent="0.2">
      <c r="A174" s="115">
        <v>7</v>
      </c>
      <c r="B174" s="116" t="s">
        <v>119</v>
      </c>
      <c r="C174" s="133">
        <v>7039</v>
      </c>
      <c r="D174" s="133">
        <v>6487</v>
      </c>
      <c r="E174" s="133">
        <f t="shared" si="24"/>
        <v>-552</v>
      </c>
      <c r="F174" s="114">
        <f t="shared" si="25"/>
        <v>-7.842023014632761E-2</v>
      </c>
    </row>
    <row r="175" spans="1:6" x14ac:dyDescent="0.2">
      <c r="A175" s="115">
        <v>8</v>
      </c>
      <c r="B175" s="116" t="s">
        <v>120</v>
      </c>
      <c r="C175" s="133">
        <v>486</v>
      </c>
      <c r="D175" s="133">
        <v>480</v>
      </c>
      <c r="E175" s="133">
        <f t="shared" si="24"/>
        <v>-6</v>
      </c>
      <c r="F175" s="114">
        <f t="shared" si="25"/>
        <v>-1.2345679012345678E-2</v>
      </c>
    </row>
    <row r="176" spans="1:6" x14ac:dyDescent="0.2">
      <c r="A176" s="115">
        <v>9</v>
      </c>
      <c r="B176" s="116" t="s">
        <v>121</v>
      </c>
      <c r="C176" s="133">
        <v>1203</v>
      </c>
      <c r="D176" s="133">
        <v>1015</v>
      </c>
      <c r="E176" s="133">
        <f t="shared" si="24"/>
        <v>-188</v>
      </c>
      <c r="F176" s="114">
        <f t="shared" si="25"/>
        <v>-0.15627597672485452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199</v>
      </c>
      <c r="D178" s="133">
        <v>233</v>
      </c>
      <c r="E178" s="133">
        <f t="shared" si="24"/>
        <v>34</v>
      </c>
      <c r="F178" s="114">
        <f t="shared" si="25"/>
        <v>0.17085427135678391</v>
      </c>
    </row>
    <row r="179" spans="1:6" ht="33.75" customHeight="1" x14ac:dyDescent="0.25">
      <c r="A179" s="117"/>
      <c r="B179" s="118" t="s">
        <v>150</v>
      </c>
      <c r="C179" s="134">
        <f>SUM(C168:C178)</f>
        <v>16366</v>
      </c>
      <c r="D179" s="134">
        <f>SUM(D168:D178)</f>
        <v>15715</v>
      </c>
      <c r="E179" s="134">
        <f t="shared" si="24"/>
        <v>-651</v>
      </c>
      <c r="F179" s="120">
        <f t="shared" si="25"/>
        <v>-3.9777587681779296E-2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12057764</v>
      </c>
      <c r="D15" s="157">
        <v>10411751</v>
      </c>
      <c r="E15" s="157">
        <f>+D15-C15</f>
        <v>-1646013</v>
      </c>
      <c r="F15" s="161">
        <f>IF(C15=0,0,E15/C15)</f>
        <v>-0.13651063331476715</v>
      </c>
    </row>
    <row r="16" spans="1:6" ht="15" customHeight="1" x14ac:dyDescent="0.2">
      <c r="A16" s="147">
        <v>2</v>
      </c>
      <c r="B16" s="160" t="s">
        <v>157</v>
      </c>
      <c r="C16" s="157">
        <v>1009436</v>
      </c>
      <c r="D16" s="157">
        <v>352875</v>
      </c>
      <c r="E16" s="157">
        <f>+D16-C16</f>
        <v>-656561</v>
      </c>
      <c r="F16" s="161">
        <f>IF(C16=0,0,E16/C16)</f>
        <v>-0.65042360288319423</v>
      </c>
    </row>
    <row r="17" spans="1:6" ht="15" customHeight="1" x14ac:dyDescent="0.2">
      <c r="A17" s="147">
        <v>3</v>
      </c>
      <c r="B17" s="160" t="s">
        <v>158</v>
      </c>
      <c r="C17" s="157">
        <v>20222169</v>
      </c>
      <c r="D17" s="157">
        <v>18201638</v>
      </c>
      <c r="E17" s="157">
        <f>+D17-C17</f>
        <v>-2020531</v>
      </c>
      <c r="F17" s="161">
        <f>IF(C17=0,0,E17/C17)</f>
        <v>-9.9916631099265366E-2</v>
      </c>
    </row>
    <row r="18" spans="1:6" ht="15.75" customHeight="1" x14ac:dyDescent="0.25">
      <c r="A18" s="147"/>
      <c r="B18" s="162" t="s">
        <v>159</v>
      </c>
      <c r="C18" s="158">
        <f>SUM(C15:C17)</f>
        <v>33289369</v>
      </c>
      <c r="D18" s="158">
        <f>SUM(D15:D17)</f>
        <v>28966264</v>
      </c>
      <c r="E18" s="158">
        <f>+D18-C18</f>
        <v>-4323105</v>
      </c>
      <c r="F18" s="159">
        <f>IF(C18=0,0,E18/C18)</f>
        <v>-0.12986443209542362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4328737</v>
      </c>
      <c r="D21" s="157">
        <v>3102852</v>
      </c>
      <c r="E21" s="157">
        <f>+D21-C21</f>
        <v>-1225885</v>
      </c>
      <c r="F21" s="161">
        <f>IF(C21=0,0,E21/C21)</f>
        <v>-0.28319692325960205</v>
      </c>
    </row>
    <row r="22" spans="1:6" ht="15" customHeight="1" x14ac:dyDescent="0.2">
      <c r="A22" s="147">
        <v>2</v>
      </c>
      <c r="B22" s="160" t="s">
        <v>162</v>
      </c>
      <c r="C22" s="157">
        <v>362388</v>
      </c>
      <c r="D22" s="157">
        <v>105162</v>
      </c>
      <c r="E22" s="157">
        <f>+D22-C22</f>
        <v>-257226</v>
      </c>
      <c r="F22" s="161">
        <f>IF(C22=0,0,E22/C22)</f>
        <v>-0.70980827179707939</v>
      </c>
    </row>
    <row r="23" spans="1:6" ht="15" customHeight="1" x14ac:dyDescent="0.2">
      <c r="A23" s="147">
        <v>3</v>
      </c>
      <c r="B23" s="160" t="s">
        <v>163</v>
      </c>
      <c r="C23" s="157">
        <v>7254980</v>
      </c>
      <c r="D23" s="157">
        <v>5424351</v>
      </c>
      <c r="E23" s="157">
        <f>+D23-C23</f>
        <v>-1830629</v>
      </c>
      <c r="F23" s="161">
        <f>IF(C23=0,0,E23/C23)</f>
        <v>-0.25232722902061755</v>
      </c>
    </row>
    <row r="24" spans="1:6" ht="15.75" customHeight="1" x14ac:dyDescent="0.25">
      <c r="A24" s="147"/>
      <c r="B24" s="162" t="s">
        <v>164</v>
      </c>
      <c r="C24" s="158">
        <f>SUM(C21:C23)</f>
        <v>11946105</v>
      </c>
      <c r="D24" s="158">
        <f>SUM(D21:D23)</f>
        <v>8632365</v>
      </c>
      <c r="E24" s="158">
        <f>+D24-C24</f>
        <v>-3313740</v>
      </c>
      <c r="F24" s="159">
        <f>IF(C24=0,0,E24/C24)</f>
        <v>-0.2773908315722991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7904111</v>
      </c>
      <c r="D28" s="157">
        <v>6420799</v>
      </c>
      <c r="E28" s="157">
        <f>+D28-C28</f>
        <v>-1483312</v>
      </c>
      <c r="F28" s="161">
        <f>IF(C28=0,0,E28/C28)</f>
        <v>-0.18766335644830898</v>
      </c>
    </row>
    <row r="29" spans="1:6" ht="15" customHeight="1" x14ac:dyDescent="0.2">
      <c r="A29" s="147">
        <v>3</v>
      </c>
      <c r="B29" s="160" t="s">
        <v>168</v>
      </c>
      <c r="C29" s="157">
        <v>60359</v>
      </c>
      <c r="D29" s="157">
        <v>82781</v>
      </c>
      <c r="E29" s="157">
        <f>+D29-C29</f>
        <v>22422</v>
      </c>
      <c r="F29" s="161">
        <f>IF(C29=0,0,E29/C29)</f>
        <v>0.37147732732483973</v>
      </c>
    </row>
    <row r="30" spans="1:6" ht="15.75" customHeight="1" x14ac:dyDescent="0.25">
      <c r="A30" s="147"/>
      <c r="B30" s="162" t="s">
        <v>169</v>
      </c>
      <c r="C30" s="158">
        <f>SUM(C27:C29)</f>
        <v>7964470</v>
      </c>
      <c r="D30" s="158">
        <f>SUM(D27:D29)</f>
        <v>6503580</v>
      </c>
      <c r="E30" s="158">
        <f>+D30-C30</f>
        <v>-1460890</v>
      </c>
      <c r="F30" s="159">
        <f>IF(C30=0,0,E30/C30)</f>
        <v>-0.18342589023500622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6044248</v>
      </c>
      <c r="D33" s="157">
        <v>5504762</v>
      </c>
      <c r="E33" s="157">
        <f>+D33-C33</f>
        <v>-539486</v>
      </c>
      <c r="F33" s="161">
        <f>IF(C33=0,0,E33/C33)</f>
        <v>-8.9256099352640728E-2</v>
      </c>
    </row>
    <row r="34" spans="1:6" ht="15" customHeight="1" x14ac:dyDescent="0.2">
      <c r="A34" s="147">
        <v>2</v>
      </c>
      <c r="B34" s="160" t="s">
        <v>173</v>
      </c>
      <c r="C34" s="157">
        <v>4374211</v>
      </c>
      <c r="D34" s="157">
        <v>4266627</v>
      </c>
      <c r="E34" s="157">
        <f>+D34-C34</f>
        <v>-107584</v>
      </c>
      <c r="F34" s="161">
        <f>IF(C34=0,0,E34/C34)</f>
        <v>-2.4595064115562785E-2</v>
      </c>
    </row>
    <row r="35" spans="1:6" ht="15.75" customHeight="1" x14ac:dyDescent="0.25">
      <c r="A35" s="147"/>
      <c r="B35" s="162" t="s">
        <v>174</v>
      </c>
      <c r="C35" s="158">
        <f>SUM(C33:C34)</f>
        <v>10418459</v>
      </c>
      <c r="D35" s="158">
        <f>SUM(D33:D34)</f>
        <v>9771389</v>
      </c>
      <c r="E35" s="158">
        <f>+D35-C35</f>
        <v>-647070</v>
      </c>
      <c r="F35" s="159">
        <f>IF(C35=0,0,E35/C35)</f>
        <v>-6.2108033443333606E-2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2012327</v>
      </c>
      <c r="D38" s="157">
        <v>1904702</v>
      </c>
      <c r="E38" s="157">
        <f>+D38-C38</f>
        <v>-107625</v>
      </c>
      <c r="F38" s="161">
        <f>IF(C38=0,0,E38/C38)</f>
        <v>-5.3482858402237807E-2</v>
      </c>
    </row>
    <row r="39" spans="1:6" ht="15" customHeight="1" x14ac:dyDescent="0.2">
      <c r="A39" s="147">
        <v>2</v>
      </c>
      <c r="B39" s="160" t="s">
        <v>178</v>
      </c>
      <c r="C39" s="157">
        <v>3153043</v>
      </c>
      <c r="D39" s="157">
        <v>3192397</v>
      </c>
      <c r="E39" s="157">
        <f>+D39-C39</f>
        <v>39354</v>
      </c>
      <c r="F39" s="161">
        <f>IF(C39=0,0,E39/C39)</f>
        <v>1.2481276024462718E-2</v>
      </c>
    </row>
    <row r="40" spans="1:6" ht="15" customHeight="1" x14ac:dyDescent="0.2">
      <c r="A40" s="147">
        <v>3</v>
      </c>
      <c r="B40" s="160" t="s">
        <v>179</v>
      </c>
      <c r="C40" s="157">
        <v>346085</v>
      </c>
      <c r="D40" s="157">
        <v>346081</v>
      </c>
      <c r="E40" s="157">
        <f>+D40-C40</f>
        <v>-4</v>
      </c>
      <c r="F40" s="161">
        <f>IF(C40=0,0,E40/C40)</f>
        <v>-1.155785428435211E-5</v>
      </c>
    </row>
    <row r="41" spans="1:6" ht="15.75" customHeight="1" x14ac:dyDescent="0.25">
      <c r="A41" s="147"/>
      <c r="B41" s="162" t="s">
        <v>180</v>
      </c>
      <c r="C41" s="158">
        <f>SUM(C38:C40)</f>
        <v>5511455</v>
      </c>
      <c r="D41" s="158">
        <f>SUM(D38:D40)</f>
        <v>5443180</v>
      </c>
      <c r="E41" s="158">
        <f>+D41-C41</f>
        <v>-68275</v>
      </c>
      <c r="F41" s="159">
        <f>IF(C41=0,0,E41/C41)</f>
        <v>-1.238783587999902E-2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3125172</v>
      </c>
      <c r="D44" s="157">
        <v>0</v>
      </c>
      <c r="E44" s="157">
        <f>+D44-C44</f>
        <v>-3125172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391263</v>
      </c>
      <c r="D47" s="157">
        <v>263572</v>
      </c>
      <c r="E47" s="157">
        <f>+D47-C47</f>
        <v>-127691</v>
      </c>
      <c r="F47" s="161">
        <f>IF(C47=0,0,E47/C47)</f>
        <v>-0.32635592938764973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1643424</v>
      </c>
      <c r="D50" s="157">
        <v>2065738</v>
      </c>
      <c r="E50" s="157">
        <f>+D50-C50</f>
        <v>422314</v>
      </c>
      <c r="F50" s="161">
        <f>IF(C50=0,0,E50/C50)</f>
        <v>0.25697202912942735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143182</v>
      </c>
      <c r="D53" s="157">
        <v>107821</v>
      </c>
      <c r="E53" s="157">
        <f t="shared" ref="E53:E59" si="0">+D53-C53</f>
        <v>-35361</v>
      </c>
      <c r="F53" s="161">
        <f t="shared" ref="F53:F59" si="1">IF(C53=0,0,E53/C53)</f>
        <v>-0.24696540067885628</v>
      </c>
    </row>
    <row r="54" spans="1:6" ht="15" customHeight="1" x14ac:dyDescent="0.2">
      <c r="A54" s="147">
        <v>2</v>
      </c>
      <c r="B54" s="160" t="s">
        <v>189</v>
      </c>
      <c r="C54" s="157">
        <v>162610</v>
      </c>
      <c r="D54" s="157">
        <v>196341</v>
      </c>
      <c r="E54" s="157">
        <f t="shared" si="0"/>
        <v>33731</v>
      </c>
      <c r="F54" s="161">
        <f t="shared" si="1"/>
        <v>0.2074349670991944</v>
      </c>
    </row>
    <row r="55" spans="1:6" ht="15" customHeight="1" x14ac:dyDescent="0.2">
      <c r="A55" s="147">
        <v>3</v>
      </c>
      <c r="B55" s="160" t="s">
        <v>190</v>
      </c>
      <c r="C55" s="157">
        <v>16372</v>
      </c>
      <c r="D55" s="157">
        <v>58196</v>
      </c>
      <c r="E55" s="157">
        <f t="shared" si="0"/>
        <v>41824</v>
      </c>
      <c r="F55" s="161">
        <f t="shared" si="1"/>
        <v>2.5546054238944538</v>
      </c>
    </row>
    <row r="56" spans="1:6" ht="15" customHeight="1" x14ac:dyDescent="0.2">
      <c r="A56" s="147">
        <v>4</v>
      </c>
      <c r="B56" s="160" t="s">
        <v>191</v>
      </c>
      <c r="C56" s="157">
        <v>847424</v>
      </c>
      <c r="D56" s="157">
        <v>748381</v>
      </c>
      <c r="E56" s="157">
        <f t="shared" si="0"/>
        <v>-99043</v>
      </c>
      <c r="F56" s="161">
        <f t="shared" si="1"/>
        <v>-0.11687537761498376</v>
      </c>
    </row>
    <row r="57" spans="1:6" ht="15" customHeight="1" x14ac:dyDescent="0.2">
      <c r="A57" s="147">
        <v>5</v>
      </c>
      <c r="B57" s="160" t="s">
        <v>192</v>
      </c>
      <c r="C57" s="157">
        <v>206722</v>
      </c>
      <c r="D57" s="157">
        <v>173673</v>
      </c>
      <c r="E57" s="157">
        <f t="shared" si="0"/>
        <v>-33049</v>
      </c>
      <c r="F57" s="161">
        <f t="shared" si="1"/>
        <v>-0.15987171176749451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1376310</v>
      </c>
      <c r="D59" s="158">
        <f>SUM(D53:D58)</f>
        <v>1284412</v>
      </c>
      <c r="E59" s="158">
        <f t="shared" si="0"/>
        <v>-91898</v>
      </c>
      <c r="F59" s="159">
        <f t="shared" si="1"/>
        <v>-6.677129425783436E-2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164982</v>
      </c>
      <c r="D62" s="157">
        <v>137201</v>
      </c>
      <c r="E62" s="157">
        <f t="shared" ref="E62:E90" si="2">+D62-C62</f>
        <v>-27781</v>
      </c>
      <c r="F62" s="161">
        <f t="shared" ref="F62:F90" si="3">IF(C62=0,0,E62/C62)</f>
        <v>-0.1683880665769599</v>
      </c>
    </row>
    <row r="63" spans="1:6" ht="15" customHeight="1" x14ac:dyDescent="0.2">
      <c r="A63" s="147">
        <v>2</v>
      </c>
      <c r="B63" s="160" t="s">
        <v>198</v>
      </c>
      <c r="C63" s="157">
        <v>249416</v>
      </c>
      <c r="D63" s="157">
        <v>105602</v>
      </c>
      <c r="E63" s="157">
        <f t="shared" si="2"/>
        <v>-143814</v>
      </c>
      <c r="F63" s="161">
        <f t="shared" si="3"/>
        <v>-0.57660294447830129</v>
      </c>
    </row>
    <row r="64" spans="1:6" ht="15" customHeight="1" x14ac:dyDescent="0.2">
      <c r="A64" s="147">
        <v>3</v>
      </c>
      <c r="B64" s="160" t="s">
        <v>199</v>
      </c>
      <c r="C64" s="157">
        <v>223368</v>
      </c>
      <c r="D64" s="157">
        <v>130770</v>
      </c>
      <c r="E64" s="157">
        <f t="shared" si="2"/>
        <v>-92598</v>
      </c>
      <c r="F64" s="161">
        <f t="shared" si="3"/>
        <v>-0.41455356183517783</v>
      </c>
    </row>
    <row r="65" spans="1:6" ht="15" customHeight="1" x14ac:dyDescent="0.2">
      <c r="A65" s="147">
        <v>4</v>
      </c>
      <c r="B65" s="160" t="s">
        <v>200</v>
      </c>
      <c r="C65" s="157">
        <v>215298</v>
      </c>
      <c r="D65" s="157">
        <v>205521</v>
      </c>
      <c r="E65" s="157">
        <f t="shared" si="2"/>
        <v>-9777</v>
      </c>
      <c r="F65" s="161">
        <f t="shared" si="3"/>
        <v>-4.5411476186494999E-2</v>
      </c>
    </row>
    <row r="66" spans="1:6" ht="15" customHeight="1" x14ac:dyDescent="0.2">
      <c r="A66" s="147">
        <v>5</v>
      </c>
      <c r="B66" s="160" t="s">
        <v>201</v>
      </c>
      <c r="C66" s="157">
        <v>309062</v>
      </c>
      <c r="D66" s="157">
        <v>664495</v>
      </c>
      <c r="E66" s="157">
        <f t="shared" si="2"/>
        <v>355433</v>
      </c>
      <c r="F66" s="161">
        <f t="shared" si="3"/>
        <v>1.150037856481871</v>
      </c>
    </row>
    <row r="67" spans="1:6" ht="15" customHeight="1" x14ac:dyDescent="0.2">
      <c r="A67" s="147">
        <v>6</v>
      </c>
      <c r="B67" s="160" t="s">
        <v>202</v>
      </c>
      <c r="C67" s="157">
        <v>137654</v>
      </c>
      <c r="D67" s="157">
        <v>87311</v>
      </c>
      <c r="E67" s="157">
        <f t="shared" si="2"/>
        <v>-50343</v>
      </c>
      <c r="F67" s="161">
        <f t="shared" si="3"/>
        <v>-0.36572130123352753</v>
      </c>
    </row>
    <row r="68" spans="1:6" ht="15" customHeight="1" x14ac:dyDescent="0.2">
      <c r="A68" s="147">
        <v>7</v>
      </c>
      <c r="B68" s="160" t="s">
        <v>203</v>
      </c>
      <c r="C68" s="157">
        <v>1428288</v>
      </c>
      <c r="D68" s="157">
        <v>1387877</v>
      </c>
      <c r="E68" s="157">
        <f t="shared" si="2"/>
        <v>-40411</v>
      </c>
      <c r="F68" s="161">
        <f t="shared" si="3"/>
        <v>-2.8293313393377244E-2</v>
      </c>
    </row>
    <row r="69" spans="1:6" ht="15" customHeight="1" x14ac:dyDescent="0.2">
      <c r="A69" s="147">
        <v>8</v>
      </c>
      <c r="B69" s="160" t="s">
        <v>204</v>
      </c>
      <c r="C69" s="157">
        <v>81367</v>
      </c>
      <c r="D69" s="157">
        <v>87997</v>
      </c>
      <c r="E69" s="157">
        <f t="shared" si="2"/>
        <v>6630</v>
      </c>
      <c r="F69" s="161">
        <f t="shared" si="3"/>
        <v>8.1482664962454071E-2</v>
      </c>
    </row>
    <row r="70" spans="1:6" ht="15" customHeight="1" x14ac:dyDescent="0.2">
      <c r="A70" s="147">
        <v>9</v>
      </c>
      <c r="B70" s="160" t="s">
        <v>205</v>
      </c>
      <c r="C70" s="157">
        <v>87029</v>
      </c>
      <c r="D70" s="157">
        <v>77864</v>
      </c>
      <c r="E70" s="157">
        <f t="shared" si="2"/>
        <v>-9165</v>
      </c>
      <c r="F70" s="161">
        <f t="shared" si="3"/>
        <v>-0.10530972434475865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22041</v>
      </c>
      <c r="D72" s="157">
        <v>19631</v>
      </c>
      <c r="E72" s="157">
        <f t="shared" si="2"/>
        <v>-2410</v>
      </c>
      <c r="F72" s="161">
        <f t="shared" si="3"/>
        <v>-0.10934168141191417</v>
      </c>
    </row>
    <row r="73" spans="1:6" ht="15" customHeight="1" x14ac:dyDescent="0.2">
      <c r="A73" s="147">
        <v>12</v>
      </c>
      <c r="B73" s="160" t="s">
        <v>208</v>
      </c>
      <c r="C73" s="157">
        <v>1230504</v>
      </c>
      <c r="D73" s="157">
        <v>1003226</v>
      </c>
      <c r="E73" s="157">
        <f t="shared" si="2"/>
        <v>-227278</v>
      </c>
      <c r="F73" s="161">
        <f t="shared" si="3"/>
        <v>-0.18470317853497428</v>
      </c>
    </row>
    <row r="74" spans="1:6" ht="15" customHeight="1" x14ac:dyDescent="0.2">
      <c r="A74" s="147">
        <v>13</v>
      </c>
      <c r="B74" s="160" t="s">
        <v>209</v>
      </c>
      <c r="C74" s="157">
        <v>48039</v>
      </c>
      <c r="D74" s="157">
        <v>29907</v>
      </c>
      <c r="E74" s="157">
        <f t="shared" si="2"/>
        <v>-18132</v>
      </c>
      <c r="F74" s="161">
        <f t="shared" si="3"/>
        <v>-0.37744332729657154</v>
      </c>
    </row>
    <row r="75" spans="1:6" ht="15" customHeight="1" x14ac:dyDescent="0.2">
      <c r="A75" s="147">
        <v>14</v>
      </c>
      <c r="B75" s="160" t="s">
        <v>210</v>
      </c>
      <c r="C75" s="157">
        <v>78327</v>
      </c>
      <c r="D75" s="157">
        <v>65626</v>
      </c>
      <c r="E75" s="157">
        <f t="shared" si="2"/>
        <v>-12701</v>
      </c>
      <c r="F75" s="161">
        <f t="shared" si="3"/>
        <v>-0.16215353581778952</v>
      </c>
    </row>
    <row r="76" spans="1:6" ht="15" customHeight="1" x14ac:dyDescent="0.2">
      <c r="A76" s="147">
        <v>15</v>
      </c>
      <c r="B76" s="160" t="s">
        <v>211</v>
      </c>
      <c r="C76" s="157">
        <v>1477</v>
      </c>
      <c r="D76" s="157">
        <v>756</v>
      </c>
      <c r="E76" s="157">
        <f t="shared" si="2"/>
        <v>-721</v>
      </c>
      <c r="F76" s="161">
        <f t="shared" si="3"/>
        <v>-0.4881516587677725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10519</v>
      </c>
      <c r="D78" s="157">
        <v>39318</v>
      </c>
      <c r="E78" s="157">
        <f t="shared" si="2"/>
        <v>28799</v>
      </c>
      <c r="F78" s="161">
        <f t="shared" si="3"/>
        <v>2.7378077764046012</v>
      </c>
    </row>
    <row r="79" spans="1:6" ht="15" customHeight="1" x14ac:dyDescent="0.2">
      <c r="A79" s="147">
        <v>18</v>
      </c>
      <c r="B79" s="160" t="s">
        <v>214</v>
      </c>
      <c r="C79" s="157">
        <v>52043</v>
      </c>
      <c r="D79" s="157">
        <v>18814</v>
      </c>
      <c r="E79" s="157">
        <f t="shared" si="2"/>
        <v>-33229</v>
      </c>
      <c r="F79" s="161">
        <f t="shared" si="3"/>
        <v>-0.63849124762215859</v>
      </c>
    </row>
    <row r="80" spans="1:6" ht="15" customHeight="1" x14ac:dyDescent="0.2">
      <c r="A80" s="147">
        <v>19</v>
      </c>
      <c r="B80" s="160" t="s">
        <v>215</v>
      </c>
      <c r="C80" s="157">
        <v>972937</v>
      </c>
      <c r="D80" s="157">
        <v>1035059</v>
      </c>
      <c r="E80" s="157">
        <f t="shared" si="2"/>
        <v>62122</v>
      </c>
      <c r="F80" s="161">
        <f t="shared" si="3"/>
        <v>6.3849971786456877E-2</v>
      </c>
    </row>
    <row r="81" spans="1:6" ht="15" customHeight="1" x14ac:dyDescent="0.2">
      <c r="A81" s="147">
        <v>20</v>
      </c>
      <c r="B81" s="160" t="s">
        <v>216</v>
      </c>
      <c r="C81" s="157">
        <v>619047</v>
      </c>
      <c r="D81" s="157">
        <v>384408</v>
      </c>
      <c r="E81" s="157">
        <f t="shared" si="2"/>
        <v>-234639</v>
      </c>
      <c r="F81" s="161">
        <f t="shared" si="3"/>
        <v>-0.37903260980184056</v>
      </c>
    </row>
    <row r="82" spans="1:6" ht="15" customHeight="1" x14ac:dyDescent="0.2">
      <c r="A82" s="147">
        <v>21</v>
      </c>
      <c r="B82" s="160" t="s">
        <v>217</v>
      </c>
      <c r="C82" s="157">
        <v>271938</v>
      </c>
      <c r="D82" s="157">
        <v>299324</v>
      </c>
      <c r="E82" s="157">
        <f t="shared" si="2"/>
        <v>27386</v>
      </c>
      <c r="F82" s="161">
        <f t="shared" si="3"/>
        <v>0.10070677875103884</v>
      </c>
    </row>
    <row r="83" spans="1:6" ht="15" customHeight="1" x14ac:dyDescent="0.2">
      <c r="A83" s="147">
        <v>22</v>
      </c>
      <c r="B83" s="160" t="s">
        <v>218</v>
      </c>
      <c r="C83" s="157">
        <v>32871</v>
      </c>
      <c r="D83" s="157">
        <v>100652</v>
      </c>
      <c r="E83" s="157">
        <f t="shared" si="2"/>
        <v>67781</v>
      </c>
      <c r="F83" s="161">
        <f t="shared" si="3"/>
        <v>2.062030361108576</v>
      </c>
    </row>
    <row r="84" spans="1:6" ht="15" customHeight="1" x14ac:dyDescent="0.2">
      <c r="A84" s="147">
        <v>23</v>
      </c>
      <c r="B84" s="160" t="s">
        <v>219</v>
      </c>
      <c r="C84" s="157">
        <v>203002</v>
      </c>
      <c r="D84" s="157">
        <v>161905</v>
      </c>
      <c r="E84" s="157">
        <f t="shared" si="2"/>
        <v>-41097</v>
      </c>
      <c r="F84" s="161">
        <f t="shared" si="3"/>
        <v>-0.20244628131742545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3032062</v>
      </c>
      <c r="D87" s="157">
        <v>1585638</v>
      </c>
      <c r="E87" s="157">
        <f t="shared" si="2"/>
        <v>-1446424</v>
      </c>
      <c r="F87" s="161">
        <f t="shared" si="3"/>
        <v>-0.47704301561115836</v>
      </c>
    </row>
    <row r="88" spans="1:6" ht="15" customHeight="1" x14ac:dyDescent="0.2">
      <c r="A88" s="147">
        <v>27</v>
      </c>
      <c r="B88" s="160" t="s">
        <v>223</v>
      </c>
      <c r="C88" s="157">
        <v>2486175</v>
      </c>
      <c r="D88" s="157">
        <v>1857826</v>
      </c>
      <c r="E88" s="157">
        <f t="shared" si="2"/>
        <v>-628349</v>
      </c>
      <c r="F88" s="161">
        <f t="shared" si="3"/>
        <v>-0.25273723692016853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11957446</v>
      </c>
      <c r="D90" s="158">
        <f>SUM(D62:D89)</f>
        <v>9486728</v>
      </c>
      <c r="E90" s="158">
        <f t="shared" si="2"/>
        <v>-2470718</v>
      </c>
      <c r="F90" s="159">
        <f t="shared" si="3"/>
        <v>-0.20662589653342361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1335336</v>
      </c>
      <c r="D93" s="157">
        <v>545071</v>
      </c>
      <c r="E93" s="157">
        <f>+D93-C93</f>
        <v>-790265</v>
      </c>
      <c r="F93" s="161">
        <f>IF(C93=0,0,E93/C93)</f>
        <v>-0.59180985160289246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88958809</v>
      </c>
      <c r="D95" s="158">
        <f>+D93+D90+D59+D50+D47+D44+D41+D35+D30+D24+D18</f>
        <v>72962299</v>
      </c>
      <c r="E95" s="158">
        <f>+D95-C95</f>
        <v>-15996510</v>
      </c>
      <c r="F95" s="159">
        <f>IF(C95=0,0,E95/C95)</f>
        <v>-0.17981929142059444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24028718</v>
      </c>
      <c r="D103" s="157">
        <v>17274808</v>
      </c>
      <c r="E103" s="157">
        <f t="shared" ref="E103:E121" si="4">D103-C103</f>
        <v>-6753910</v>
      </c>
      <c r="F103" s="161">
        <f t="shared" ref="F103:F121" si="5">IF(C103=0,0,E103/C103)</f>
        <v>-0.28107658510953437</v>
      </c>
    </row>
    <row r="104" spans="1:6" ht="15" customHeight="1" x14ac:dyDescent="0.2">
      <c r="A104" s="147">
        <v>2</v>
      </c>
      <c r="B104" s="169" t="s">
        <v>234</v>
      </c>
      <c r="C104" s="157">
        <v>605607</v>
      </c>
      <c r="D104" s="157">
        <v>626738</v>
      </c>
      <c r="E104" s="157">
        <f t="shared" si="4"/>
        <v>21131</v>
      </c>
      <c r="F104" s="161">
        <f t="shared" si="5"/>
        <v>3.4892265115825938E-2</v>
      </c>
    </row>
    <row r="105" spans="1:6" ht="15" customHeight="1" x14ac:dyDescent="0.2">
      <c r="A105" s="147">
        <v>3</v>
      </c>
      <c r="B105" s="169" t="s">
        <v>235</v>
      </c>
      <c r="C105" s="157">
        <v>852643</v>
      </c>
      <c r="D105" s="157">
        <v>1024566</v>
      </c>
      <c r="E105" s="157">
        <f t="shared" si="4"/>
        <v>171923</v>
      </c>
      <c r="F105" s="161">
        <f t="shared" si="5"/>
        <v>0.20163538550131765</v>
      </c>
    </row>
    <row r="106" spans="1:6" ht="15" customHeight="1" x14ac:dyDescent="0.2">
      <c r="A106" s="147">
        <v>4</v>
      </c>
      <c r="B106" s="169" t="s">
        <v>236</v>
      </c>
      <c r="C106" s="157">
        <v>983958</v>
      </c>
      <c r="D106" s="157">
        <v>1099102</v>
      </c>
      <c r="E106" s="157">
        <f t="shared" si="4"/>
        <v>115144</v>
      </c>
      <c r="F106" s="161">
        <f t="shared" si="5"/>
        <v>0.11702125497226508</v>
      </c>
    </row>
    <row r="107" spans="1:6" ht="15" customHeight="1" x14ac:dyDescent="0.2">
      <c r="A107" s="147">
        <v>5</v>
      </c>
      <c r="B107" s="169" t="s">
        <v>237</v>
      </c>
      <c r="C107" s="157">
        <v>1197075</v>
      </c>
      <c r="D107" s="157">
        <v>1580088</v>
      </c>
      <c r="E107" s="157">
        <f t="shared" si="4"/>
        <v>383013</v>
      </c>
      <c r="F107" s="161">
        <f t="shared" si="5"/>
        <v>0.31995739615312324</v>
      </c>
    </row>
    <row r="108" spans="1:6" ht="15" customHeight="1" x14ac:dyDescent="0.2">
      <c r="A108" s="147">
        <v>6</v>
      </c>
      <c r="B108" s="169" t="s">
        <v>238</v>
      </c>
      <c r="C108" s="157">
        <v>214933</v>
      </c>
      <c r="D108" s="157">
        <v>166580</v>
      </c>
      <c r="E108" s="157">
        <f t="shared" si="4"/>
        <v>-48353</v>
      </c>
      <c r="F108" s="161">
        <f t="shared" si="5"/>
        <v>-0.22496778065722806</v>
      </c>
    </row>
    <row r="109" spans="1:6" ht="15" customHeight="1" x14ac:dyDescent="0.2">
      <c r="A109" s="147">
        <v>7</v>
      </c>
      <c r="B109" s="169" t="s">
        <v>239</v>
      </c>
      <c r="C109" s="157">
        <v>426551</v>
      </c>
      <c r="D109" s="157">
        <v>541838</v>
      </c>
      <c r="E109" s="157">
        <f t="shared" si="4"/>
        <v>115287</v>
      </c>
      <c r="F109" s="161">
        <f t="shared" si="5"/>
        <v>0.27027717670337192</v>
      </c>
    </row>
    <row r="110" spans="1:6" ht="15" customHeight="1" x14ac:dyDescent="0.2">
      <c r="A110" s="147">
        <v>8</v>
      </c>
      <c r="B110" s="169" t="s">
        <v>240</v>
      </c>
      <c r="C110" s="157">
        <v>188098</v>
      </c>
      <c r="D110" s="157">
        <v>519649</v>
      </c>
      <c r="E110" s="157">
        <f t="shared" si="4"/>
        <v>331551</v>
      </c>
      <c r="F110" s="161">
        <f t="shared" si="5"/>
        <v>1.7626503205775712</v>
      </c>
    </row>
    <row r="111" spans="1:6" ht="15" customHeight="1" x14ac:dyDescent="0.2">
      <c r="A111" s="147">
        <v>9</v>
      </c>
      <c r="B111" s="169" t="s">
        <v>241</v>
      </c>
      <c r="C111" s="157">
        <v>3708623</v>
      </c>
      <c r="D111" s="157">
        <v>3538107</v>
      </c>
      <c r="E111" s="157">
        <f t="shared" si="4"/>
        <v>-170516</v>
      </c>
      <c r="F111" s="161">
        <f t="shared" si="5"/>
        <v>-4.5978251226937869E-2</v>
      </c>
    </row>
    <row r="112" spans="1:6" ht="15" customHeight="1" x14ac:dyDescent="0.2">
      <c r="A112" s="147">
        <v>10</v>
      </c>
      <c r="B112" s="169" t="s">
        <v>242</v>
      </c>
      <c r="C112" s="157">
        <v>1439236</v>
      </c>
      <c r="D112" s="157">
        <v>1279302</v>
      </c>
      <c r="E112" s="157">
        <f t="shared" si="4"/>
        <v>-159934</v>
      </c>
      <c r="F112" s="161">
        <f t="shared" si="5"/>
        <v>-0.11112423535820394</v>
      </c>
    </row>
    <row r="113" spans="1:6" ht="15" customHeight="1" x14ac:dyDescent="0.2">
      <c r="A113" s="147">
        <v>11</v>
      </c>
      <c r="B113" s="169" t="s">
        <v>243</v>
      </c>
      <c r="C113" s="157">
        <v>954649</v>
      </c>
      <c r="D113" s="157">
        <v>914036</v>
      </c>
      <c r="E113" s="157">
        <f t="shared" si="4"/>
        <v>-40613</v>
      </c>
      <c r="F113" s="161">
        <f t="shared" si="5"/>
        <v>-4.2542337550240977E-2</v>
      </c>
    </row>
    <row r="114" spans="1:6" ht="15" customHeight="1" x14ac:dyDescent="0.2">
      <c r="A114" s="147">
        <v>12</v>
      </c>
      <c r="B114" s="169" t="s">
        <v>244</v>
      </c>
      <c r="C114" s="157">
        <v>210979</v>
      </c>
      <c r="D114" s="157">
        <v>181673</v>
      </c>
      <c r="E114" s="157">
        <f t="shared" si="4"/>
        <v>-29306</v>
      </c>
      <c r="F114" s="161">
        <f t="shared" si="5"/>
        <v>-0.13890481991098641</v>
      </c>
    </row>
    <row r="115" spans="1:6" ht="15" customHeight="1" x14ac:dyDescent="0.2">
      <c r="A115" s="147">
        <v>13</v>
      </c>
      <c r="B115" s="169" t="s">
        <v>245</v>
      </c>
      <c r="C115" s="157">
        <v>1165598</v>
      </c>
      <c r="D115" s="157">
        <v>1169852</v>
      </c>
      <c r="E115" s="157">
        <f t="shared" si="4"/>
        <v>4254</v>
      </c>
      <c r="F115" s="161">
        <f t="shared" si="5"/>
        <v>3.6496287742429209E-3</v>
      </c>
    </row>
    <row r="116" spans="1:6" ht="15" customHeight="1" x14ac:dyDescent="0.2">
      <c r="A116" s="147">
        <v>14</v>
      </c>
      <c r="B116" s="169" t="s">
        <v>246</v>
      </c>
      <c r="C116" s="157">
        <v>389326</v>
      </c>
      <c r="D116" s="157">
        <v>500933</v>
      </c>
      <c r="E116" s="157">
        <f t="shared" si="4"/>
        <v>111607</v>
      </c>
      <c r="F116" s="161">
        <f t="shared" si="5"/>
        <v>0.28666721462219324</v>
      </c>
    </row>
    <row r="117" spans="1:6" ht="15" customHeight="1" x14ac:dyDescent="0.2">
      <c r="A117" s="147">
        <v>15</v>
      </c>
      <c r="B117" s="169" t="s">
        <v>203</v>
      </c>
      <c r="C117" s="157">
        <v>1897300</v>
      </c>
      <c r="D117" s="157">
        <v>1568348</v>
      </c>
      <c r="E117" s="157">
        <f t="shared" si="4"/>
        <v>-328952</v>
      </c>
      <c r="F117" s="161">
        <f t="shared" si="5"/>
        <v>-0.17337901228060928</v>
      </c>
    </row>
    <row r="118" spans="1:6" ht="15" customHeight="1" x14ac:dyDescent="0.2">
      <c r="A118" s="147">
        <v>16</v>
      </c>
      <c r="B118" s="169" t="s">
        <v>247</v>
      </c>
      <c r="C118" s="157">
        <v>385697</v>
      </c>
      <c r="D118" s="157">
        <v>233574</v>
      </c>
      <c r="E118" s="157">
        <f t="shared" si="4"/>
        <v>-152123</v>
      </c>
      <c r="F118" s="161">
        <f t="shared" si="5"/>
        <v>-0.39441063840268398</v>
      </c>
    </row>
    <row r="119" spans="1:6" ht="15" customHeight="1" x14ac:dyDescent="0.2">
      <c r="A119" s="147">
        <v>17</v>
      </c>
      <c r="B119" s="169" t="s">
        <v>248</v>
      </c>
      <c r="C119" s="157">
        <v>5685573</v>
      </c>
      <c r="D119" s="157">
        <v>5749835</v>
      </c>
      <c r="E119" s="157">
        <f t="shared" si="4"/>
        <v>64262</v>
      </c>
      <c r="F119" s="161">
        <f t="shared" si="5"/>
        <v>1.1302642671196026E-2</v>
      </c>
    </row>
    <row r="120" spans="1:6" ht="15" customHeight="1" x14ac:dyDescent="0.2">
      <c r="A120" s="147">
        <v>18</v>
      </c>
      <c r="B120" s="169" t="s">
        <v>249</v>
      </c>
      <c r="C120" s="157">
        <v>1751232</v>
      </c>
      <c r="D120" s="157">
        <v>2570896</v>
      </c>
      <c r="E120" s="157">
        <f t="shared" si="4"/>
        <v>819664</v>
      </c>
      <c r="F120" s="161">
        <f t="shared" si="5"/>
        <v>0.46804992142674412</v>
      </c>
    </row>
    <row r="121" spans="1:6" ht="15.75" customHeight="1" x14ac:dyDescent="0.25">
      <c r="A121" s="147"/>
      <c r="B121" s="165" t="s">
        <v>250</v>
      </c>
      <c r="C121" s="158">
        <f>SUM(C103:C120)</f>
        <v>46085796</v>
      </c>
      <c r="D121" s="158">
        <f>SUM(D103:D120)</f>
        <v>40539925</v>
      </c>
      <c r="E121" s="158">
        <f t="shared" si="4"/>
        <v>-5545871</v>
      </c>
      <c r="F121" s="159">
        <f t="shared" si="5"/>
        <v>-0.12033796703869452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1682425</v>
      </c>
      <c r="D124" s="157">
        <v>1683454</v>
      </c>
      <c r="E124" s="157">
        <f t="shared" ref="E124:E130" si="6">D124-C124</f>
        <v>1029</v>
      </c>
      <c r="F124" s="161">
        <f t="shared" ref="F124:F130" si="7">IF(C124=0,0,E124/C124)</f>
        <v>6.1161715975452098E-4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510600</v>
      </c>
      <c r="D126" s="157">
        <v>645553</v>
      </c>
      <c r="E126" s="157">
        <f t="shared" si="6"/>
        <v>134953</v>
      </c>
      <c r="F126" s="161">
        <f t="shared" si="7"/>
        <v>0.26430278104191146</v>
      </c>
    </row>
    <row r="127" spans="1:6" ht="15" customHeight="1" x14ac:dyDescent="0.2">
      <c r="A127" s="147">
        <v>4</v>
      </c>
      <c r="B127" s="169" t="s">
        <v>255</v>
      </c>
      <c r="C127" s="157">
        <v>869231</v>
      </c>
      <c r="D127" s="157">
        <v>905276</v>
      </c>
      <c r="E127" s="157">
        <f t="shared" si="6"/>
        <v>36045</v>
      </c>
      <c r="F127" s="161">
        <f t="shared" si="7"/>
        <v>4.1467688105923509E-2</v>
      </c>
    </row>
    <row r="128" spans="1:6" ht="15" customHeight="1" x14ac:dyDescent="0.2">
      <c r="A128" s="147">
        <v>5</v>
      </c>
      <c r="B128" s="169" t="s">
        <v>256</v>
      </c>
      <c r="C128" s="157">
        <v>29149</v>
      </c>
      <c r="D128" s="157">
        <v>18</v>
      </c>
      <c r="E128" s="157">
        <f t="shared" si="6"/>
        <v>-29131</v>
      </c>
      <c r="F128" s="161">
        <f t="shared" si="7"/>
        <v>-0.99938248310405164</v>
      </c>
    </row>
    <row r="129" spans="1:6" ht="15" customHeight="1" x14ac:dyDescent="0.2">
      <c r="A129" s="147">
        <v>6</v>
      </c>
      <c r="B129" s="169" t="s">
        <v>257</v>
      </c>
      <c r="C129" s="157">
        <v>5119533</v>
      </c>
      <c r="D129" s="157">
        <v>650349</v>
      </c>
      <c r="E129" s="157">
        <f t="shared" si="6"/>
        <v>-4469184</v>
      </c>
      <c r="F129" s="161">
        <f t="shared" si="7"/>
        <v>-0.87296712414980038</v>
      </c>
    </row>
    <row r="130" spans="1:6" ht="15.75" customHeight="1" x14ac:dyDescent="0.25">
      <c r="A130" s="147"/>
      <c r="B130" s="165" t="s">
        <v>258</v>
      </c>
      <c r="C130" s="158">
        <f>SUM(C124:C129)</f>
        <v>8210938</v>
      </c>
      <c r="D130" s="158">
        <f>SUM(D124:D129)</f>
        <v>3884650</v>
      </c>
      <c r="E130" s="158">
        <f t="shared" si="6"/>
        <v>-4326288</v>
      </c>
      <c r="F130" s="159">
        <f t="shared" si="7"/>
        <v>-0.52689327333856373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2484373</v>
      </c>
      <c r="D133" s="157">
        <v>2319666</v>
      </c>
      <c r="E133" s="157">
        <f t="shared" ref="E133:E167" si="8">D133-C133</f>
        <v>-164707</v>
      </c>
      <c r="F133" s="161">
        <f t="shared" ref="F133:F167" si="9">IF(C133=0,0,E133/C133)</f>
        <v>-6.6297210604043755E-2</v>
      </c>
    </row>
    <row r="134" spans="1:6" ht="15" customHeight="1" x14ac:dyDescent="0.2">
      <c r="A134" s="147">
        <v>2</v>
      </c>
      <c r="B134" s="169" t="s">
        <v>261</v>
      </c>
      <c r="C134" s="157">
        <v>421517</v>
      </c>
      <c r="D134" s="157">
        <v>365023</v>
      </c>
      <c r="E134" s="157">
        <f t="shared" si="8"/>
        <v>-56494</v>
      </c>
      <c r="F134" s="161">
        <f t="shared" si="9"/>
        <v>-0.13402543669650335</v>
      </c>
    </row>
    <row r="135" spans="1:6" ht="15" customHeight="1" x14ac:dyDescent="0.2">
      <c r="A135" s="147">
        <v>3</v>
      </c>
      <c r="B135" s="169" t="s">
        <v>262</v>
      </c>
      <c r="C135" s="157">
        <v>103483</v>
      </c>
      <c r="D135" s="157">
        <v>86835</v>
      </c>
      <c r="E135" s="157">
        <f t="shared" si="8"/>
        <v>-16648</v>
      </c>
      <c r="F135" s="161">
        <f t="shared" si="9"/>
        <v>-0.16087666573253578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1727944</v>
      </c>
      <c r="D137" s="157">
        <v>1532333</v>
      </c>
      <c r="E137" s="157">
        <f t="shared" si="8"/>
        <v>-195611</v>
      </c>
      <c r="F137" s="161">
        <f t="shared" si="9"/>
        <v>-0.11320447884885158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1222270</v>
      </c>
      <c r="D139" s="157">
        <v>1155375</v>
      </c>
      <c r="E139" s="157">
        <f t="shared" si="8"/>
        <v>-66895</v>
      </c>
      <c r="F139" s="161">
        <f t="shared" si="9"/>
        <v>-5.4730133276608278E-2</v>
      </c>
    </row>
    <row r="140" spans="1:6" ht="15" customHeight="1" x14ac:dyDescent="0.2">
      <c r="A140" s="147">
        <v>8</v>
      </c>
      <c r="B140" s="169" t="s">
        <v>267</v>
      </c>
      <c r="C140" s="157">
        <v>516724</v>
      </c>
      <c r="D140" s="157">
        <v>419062</v>
      </c>
      <c r="E140" s="157">
        <f t="shared" si="8"/>
        <v>-97662</v>
      </c>
      <c r="F140" s="161">
        <f t="shared" si="9"/>
        <v>-0.18900225265325396</v>
      </c>
    </row>
    <row r="141" spans="1:6" ht="15" customHeight="1" x14ac:dyDescent="0.2">
      <c r="A141" s="147">
        <v>9</v>
      </c>
      <c r="B141" s="169" t="s">
        <v>268</v>
      </c>
      <c r="C141" s="157">
        <v>566371</v>
      </c>
      <c r="D141" s="157">
        <v>554672</v>
      </c>
      <c r="E141" s="157">
        <f t="shared" si="8"/>
        <v>-11699</v>
      </c>
      <c r="F141" s="161">
        <f t="shared" si="9"/>
        <v>-2.0656071726836298E-2</v>
      </c>
    </row>
    <row r="142" spans="1:6" ht="15" customHeight="1" x14ac:dyDescent="0.2">
      <c r="A142" s="147">
        <v>10</v>
      </c>
      <c r="B142" s="169" t="s">
        <v>269</v>
      </c>
      <c r="C142" s="157">
        <v>3066594</v>
      </c>
      <c r="D142" s="157">
        <v>2000316</v>
      </c>
      <c r="E142" s="157">
        <f t="shared" si="8"/>
        <v>-1066278</v>
      </c>
      <c r="F142" s="161">
        <f t="shared" si="9"/>
        <v>-0.34770758698412635</v>
      </c>
    </row>
    <row r="143" spans="1:6" ht="15" customHeight="1" x14ac:dyDescent="0.2">
      <c r="A143" s="147">
        <v>11</v>
      </c>
      <c r="B143" s="169" t="s">
        <v>270</v>
      </c>
      <c r="C143" s="157">
        <v>316815</v>
      </c>
      <c r="D143" s="157">
        <v>331574</v>
      </c>
      <c r="E143" s="157">
        <f t="shared" si="8"/>
        <v>14759</v>
      </c>
      <c r="F143" s="161">
        <f t="shared" si="9"/>
        <v>4.658554677019712E-2</v>
      </c>
    </row>
    <row r="144" spans="1:6" ht="15" customHeight="1" x14ac:dyDescent="0.2">
      <c r="A144" s="147">
        <v>12</v>
      </c>
      <c r="B144" s="169" t="s">
        <v>271</v>
      </c>
      <c r="C144" s="157">
        <v>209669</v>
      </c>
      <c r="D144" s="157">
        <v>116074</v>
      </c>
      <c r="E144" s="157">
        <f t="shared" si="8"/>
        <v>-93595</v>
      </c>
      <c r="F144" s="161">
        <f t="shared" si="9"/>
        <v>-0.44639407828529731</v>
      </c>
    </row>
    <row r="145" spans="1:6" ht="15" customHeight="1" x14ac:dyDescent="0.2">
      <c r="A145" s="147">
        <v>13</v>
      </c>
      <c r="B145" s="169" t="s">
        <v>272</v>
      </c>
      <c r="C145" s="157">
        <v>434079</v>
      </c>
      <c r="D145" s="157">
        <v>534433</v>
      </c>
      <c r="E145" s="157">
        <f t="shared" si="8"/>
        <v>100354</v>
      </c>
      <c r="F145" s="161">
        <f t="shared" si="9"/>
        <v>0.23118833207780151</v>
      </c>
    </row>
    <row r="146" spans="1:6" ht="15" customHeight="1" x14ac:dyDescent="0.2">
      <c r="A146" s="147">
        <v>14</v>
      </c>
      <c r="B146" s="169" t="s">
        <v>273</v>
      </c>
      <c r="C146" s="157">
        <v>0</v>
      </c>
      <c r="D146" s="157">
        <v>0</v>
      </c>
      <c r="E146" s="157">
        <f t="shared" si="8"/>
        <v>0</v>
      </c>
      <c r="F146" s="161">
        <f t="shared" si="9"/>
        <v>0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54430</v>
      </c>
      <c r="D148" s="157">
        <v>34379</v>
      </c>
      <c r="E148" s="157">
        <f t="shared" si="8"/>
        <v>-20051</v>
      </c>
      <c r="F148" s="161">
        <f t="shared" si="9"/>
        <v>-0.36838140731214403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669925</v>
      </c>
      <c r="D150" s="157">
        <v>676310</v>
      </c>
      <c r="E150" s="157">
        <f t="shared" si="8"/>
        <v>6385</v>
      </c>
      <c r="F150" s="161">
        <f t="shared" si="9"/>
        <v>9.5309176400343327E-3</v>
      </c>
    </row>
    <row r="151" spans="1:6" ht="15" customHeight="1" x14ac:dyDescent="0.2">
      <c r="A151" s="147">
        <v>19</v>
      </c>
      <c r="B151" s="169" t="s">
        <v>278</v>
      </c>
      <c r="C151" s="157">
        <v>237300</v>
      </c>
      <c r="D151" s="157">
        <v>302709</v>
      </c>
      <c r="E151" s="157">
        <f t="shared" si="8"/>
        <v>65409</v>
      </c>
      <c r="F151" s="161">
        <f t="shared" si="9"/>
        <v>0.27563843236409608</v>
      </c>
    </row>
    <row r="152" spans="1:6" ht="15" customHeight="1" x14ac:dyDescent="0.2">
      <c r="A152" s="147">
        <v>20</v>
      </c>
      <c r="B152" s="169" t="s">
        <v>279</v>
      </c>
      <c r="C152" s="157">
        <v>192805</v>
      </c>
      <c r="D152" s="157">
        <v>177408</v>
      </c>
      <c r="E152" s="157">
        <f t="shared" si="8"/>
        <v>-15397</v>
      </c>
      <c r="F152" s="161">
        <f t="shared" si="9"/>
        <v>-7.985788750291746E-2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841314</v>
      </c>
      <c r="D154" s="157">
        <v>838212</v>
      </c>
      <c r="E154" s="157">
        <f t="shared" si="8"/>
        <v>-3102</v>
      </c>
      <c r="F154" s="161">
        <f t="shared" si="9"/>
        <v>-3.6870894814540114E-3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2279777</v>
      </c>
      <c r="D156" s="157">
        <v>2089736</v>
      </c>
      <c r="E156" s="157">
        <f t="shared" si="8"/>
        <v>-190041</v>
      </c>
      <c r="F156" s="161">
        <f t="shared" si="9"/>
        <v>-8.3359468930513811E-2</v>
      </c>
    </row>
    <row r="157" spans="1:6" ht="15" customHeight="1" x14ac:dyDescent="0.2">
      <c r="A157" s="147">
        <v>25</v>
      </c>
      <c r="B157" s="169" t="s">
        <v>284</v>
      </c>
      <c r="C157" s="157">
        <v>1600821</v>
      </c>
      <c r="D157" s="157">
        <v>820734</v>
      </c>
      <c r="E157" s="157">
        <f t="shared" si="8"/>
        <v>-780087</v>
      </c>
      <c r="F157" s="161">
        <f t="shared" si="9"/>
        <v>-0.48730432696722492</v>
      </c>
    </row>
    <row r="158" spans="1:6" ht="15" customHeight="1" x14ac:dyDescent="0.2">
      <c r="A158" s="147">
        <v>26</v>
      </c>
      <c r="B158" s="169" t="s">
        <v>285</v>
      </c>
      <c r="C158" s="157">
        <v>158581</v>
      </c>
      <c r="D158" s="157">
        <v>9142</v>
      </c>
      <c r="E158" s="157">
        <f t="shared" si="8"/>
        <v>-149439</v>
      </c>
      <c r="F158" s="161">
        <f t="shared" si="9"/>
        <v>-0.94235122744843325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1000339</v>
      </c>
      <c r="D160" s="157">
        <v>943352</v>
      </c>
      <c r="E160" s="157">
        <f t="shared" si="8"/>
        <v>-56987</v>
      </c>
      <c r="F160" s="161">
        <f t="shared" si="9"/>
        <v>-5.6967687953783666E-2</v>
      </c>
    </row>
    <row r="161" spans="1:6" ht="15" customHeight="1" x14ac:dyDescent="0.2">
      <c r="A161" s="147">
        <v>29</v>
      </c>
      <c r="B161" s="169" t="s">
        <v>288</v>
      </c>
      <c r="C161" s="157">
        <v>305532</v>
      </c>
      <c r="D161" s="157">
        <v>170112</v>
      </c>
      <c r="E161" s="157">
        <f t="shared" si="8"/>
        <v>-135420</v>
      </c>
      <c r="F161" s="161">
        <f t="shared" si="9"/>
        <v>-0.44322689603707632</v>
      </c>
    </row>
    <row r="162" spans="1:6" ht="15" customHeight="1" x14ac:dyDescent="0.2">
      <c r="A162" s="147">
        <v>30</v>
      </c>
      <c r="B162" s="169" t="s">
        <v>289</v>
      </c>
      <c r="C162" s="157">
        <v>98340</v>
      </c>
      <c r="D162" s="157">
        <v>72756</v>
      </c>
      <c r="E162" s="157">
        <f t="shared" si="8"/>
        <v>-25584</v>
      </c>
      <c r="F162" s="161">
        <f t="shared" si="9"/>
        <v>-0.26015863331299571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274150</v>
      </c>
      <c r="D164" s="157">
        <v>230856</v>
      </c>
      <c r="E164" s="157">
        <f t="shared" si="8"/>
        <v>-43294</v>
      </c>
      <c r="F164" s="161">
        <f t="shared" si="9"/>
        <v>-0.1579208462520518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1695894</v>
      </c>
      <c r="D166" s="157">
        <v>1197896</v>
      </c>
      <c r="E166" s="157">
        <f t="shared" si="8"/>
        <v>-497998</v>
      </c>
      <c r="F166" s="161">
        <f t="shared" si="9"/>
        <v>-0.29364924930449665</v>
      </c>
    </row>
    <row r="167" spans="1:6" ht="15.75" customHeight="1" x14ac:dyDescent="0.25">
      <c r="A167" s="147"/>
      <c r="B167" s="165" t="s">
        <v>294</v>
      </c>
      <c r="C167" s="158">
        <f>SUM(C133:C166)</f>
        <v>20479047</v>
      </c>
      <c r="D167" s="158">
        <f>SUM(D133:D166)</f>
        <v>16978965</v>
      </c>
      <c r="E167" s="158">
        <f t="shared" si="8"/>
        <v>-3500082</v>
      </c>
      <c r="F167" s="159">
        <f t="shared" si="9"/>
        <v>-0.17091039441434946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3335232</v>
      </c>
      <c r="D170" s="157">
        <v>3089032</v>
      </c>
      <c r="E170" s="157">
        <f t="shared" ref="E170:E183" si="10">D170-C170</f>
        <v>-246200</v>
      </c>
      <c r="F170" s="161">
        <f t="shared" ref="F170:F183" si="11">IF(C170=0,0,E170/C170)</f>
        <v>-7.3817953293803848E-2</v>
      </c>
    </row>
    <row r="171" spans="1:6" ht="15" customHeight="1" x14ac:dyDescent="0.2">
      <c r="A171" s="147">
        <v>2</v>
      </c>
      <c r="B171" s="169" t="s">
        <v>297</v>
      </c>
      <c r="C171" s="157">
        <v>1549991</v>
      </c>
      <c r="D171" s="157">
        <v>1346054</v>
      </c>
      <c r="E171" s="157">
        <f t="shared" si="10"/>
        <v>-203937</v>
      </c>
      <c r="F171" s="161">
        <f t="shared" si="11"/>
        <v>-0.13157302203690216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1557139</v>
      </c>
      <c r="D175" s="157">
        <v>1026276</v>
      </c>
      <c r="E175" s="157">
        <f t="shared" si="10"/>
        <v>-530863</v>
      </c>
      <c r="F175" s="161">
        <f t="shared" si="11"/>
        <v>-0.34092203714633057</v>
      </c>
    </row>
    <row r="176" spans="1:6" ht="15" customHeight="1" x14ac:dyDescent="0.2">
      <c r="A176" s="147">
        <v>7</v>
      </c>
      <c r="B176" s="169" t="s">
        <v>302</v>
      </c>
      <c r="C176" s="157">
        <v>25559</v>
      </c>
      <c r="D176" s="157">
        <v>2503</v>
      </c>
      <c r="E176" s="157">
        <f t="shared" si="10"/>
        <v>-23056</v>
      </c>
      <c r="F176" s="161">
        <f t="shared" si="11"/>
        <v>-0.9020697210375993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714580</v>
      </c>
      <c r="D179" s="157">
        <v>743355</v>
      </c>
      <c r="E179" s="157">
        <f t="shared" si="10"/>
        <v>28775</v>
      </c>
      <c r="F179" s="161">
        <f t="shared" si="11"/>
        <v>4.0268409415320887E-2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55690</v>
      </c>
      <c r="D181" s="157">
        <v>0</v>
      </c>
      <c r="E181" s="157">
        <f t="shared" si="10"/>
        <v>-55690</v>
      </c>
      <c r="F181" s="161">
        <f t="shared" si="11"/>
        <v>-1</v>
      </c>
    </row>
    <row r="182" spans="1:6" ht="15" customHeight="1" x14ac:dyDescent="0.2">
      <c r="A182" s="147">
        <v>13</v>
      </c>
      <c r="B182" s="169" t="s">
        <v>308</v>
      </c>
      <c r="C182" s="157">
        <v>6944473</v>
      </c>
      <c r="D182" s="157">
        <v>5350930</v>
      </c>
      <c r="E182" s="157">
        <f t="shared" si="10"/>
        <v>-1593543</v>
      </c>
      <c r="F182" s="161">
        <f t="shared" si="11"/>
        <v>-0.22946924842245048</v>
      </c>
    </row>
    <row r="183" spans="1:6" ht="15.75" customHeight="1" x14ac:dyDescent="0.25">
      <c r="A183" s="147"/>
      <c r="B183" s="165" t="s">
        <v>309</v>
      </c>
      <c r="C183" s="158">
        <f>SUM(C170:C182)</f>
        <v>14182664</v>
      </c>
      <c r="D183" s="158">
        <f>SUM(D170:D182)</f>
        <v>11558150</v>
      </c>
      <c r="E183" s="158">
        <f t="shared" si="10"/>
        <v>-2624514</v>
      </c>
      <c r="F183" s="159">
        <f t="shared" si="11"/>
        <v>-0.18505084799301458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364</v>
      </c>
      <c r="D186" s="157">
        <v>609</v>
      </c>
      <c r="E186" s="157">
        <f>D186-C186</f>
        <v>245</v>
      </c>
      <c r="F186" s="161">
        <f>IF(C186=0,0,E186/C186)</f>
        <v>0.67307692307692313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88958809</v>
      </c>
      <c r="D188" s="158">
        <f>+D186+D183+D167+D130+D121</f>
        <v>72962299</v>
      </c>
      <c r="E188" s="158">
        <f>D188-C188</f>
        <v>-15996510</v>
      </c>
      <c r="F188" s="159">
        <f>IF(C188=0,0,E188/C188)</f>
        <v>-0.17981929142059444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90588107</v>
      </c>
      <c r="D11" s="183">
        <v>81236073</v>
      </c>
      <c r="E11" s="76">
        <v>69721620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3236289</v>
      </c>
      <c r="D12" s="185">
        <v>1244665</v>
      </c>
      <c r="E12" s="185">
        <v>1157159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93824396</v>
      </c>
      <c r="D13" s="76">
        <f>+D11+D12</f>
        <v>82480738</v>
      </c>
      <c r="E13" s="76">
        <f>+E11+E12</f>
        <v>70878779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93915766</v>
      </c>
      <c r="D14" s="185">
        <v>88958809</v>
      </c>
      <c r="E14" s="185">
        <v>72962299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-91370</v>
      </c>
      <c r="D15" s="76">
        <f>+D13-D14</f>
        <v>-6478071</v>
      </c>
      <c r="E15" s="76">
        <f>+E13-E14</f>
        <v>-2083520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-2572</v>
      </c>
      <c r="D16" s="185">
        <v>21958</v>
      </c>
      <c r="E16" s="185">
        <v>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-93942</v>
      </c>
      <c r="D17" s="76">
        <f>D15+D16</f>
        <v>-6456113</v>
      </c>
      <c r="E17" s="76">
        <f>E15+E16</f>
        <v>-2083520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-9.7386723157290138E-4</v>
      </c>
      <c r="D20" s="189">
        <f>IF(+D27=0,0,+D24/+D27)</f>
        <v>-7.85195068049655E-2</v>
      </c>
      <c r="E20" s="189">
        <f>IF(+E27=0,0,+E24/+E27)</f>
        <v>-2.9395540236380201E-2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-2.7413664436965114E-5</v>
      </c>
      <c r="D21" s="189">
        <f>IF(D27=0,0,+D26/D27)</f>
        <v>2.6614887833483646E-4</v>
      </c>
      <c r="E21" s="189">
        <f>IF(E27=0,0,+E26/E27)</f>
        <v>0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-1.0012808960098666E-3</v>
      </c>
      <c r="D22" s="189">
        <f>IF(D27=0,0,+D28/D27)</f>
        <v>-7.8253357926630671E-2</v>
      </c>
      <c r="E22" s="189">
        <f>IF(E27=0,0,+E28/E27)</f>
        <v>-2.9395540236380201E-2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-91370</v>
      </c>
      <c r="D24" s="76">
        <f>+D15</f>
        <v>-6478071</v>
      </c>
      <c r="E24" s="76">
        <f>+E15</f>
        <v>-2083520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93824396</v>
      </c>
      <c r="D25" s="76">
        <f>+D13</f>
        <v>82480738</v>
      </c>
      <c r="E25" s="76">
        <f>+E13</f>
        <v>70878779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-2572</v>
      </c>
      <c r="D26" s="76">
        <f>+D16</f>
        <v>21958</v>
      </c>
      <c r="E26" s="76">
        <f>+E16</f>
        <v>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93821824</v>
      </c>
      <c r="D27" s="76">
        <f>+D25+D26</f>
        <v>82502696</v>
      </c>
      <c r="E27" s="76">
        <f>+E25+E26</f>
        <v>70878779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-93942</v>
      </c>
      <c r="D28" s="76">
        <f>+D17</f>
        <v>-6456113</v>
      </c>
      <c r="E28" s="76">
        <f>+E17</f>
        <v>-2083520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26176392</v>
      </c>
      <c r="D31" s="76">
        <v>12487373</v>
      </c>
      <c r="E31" s="76">
        <v>23332942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30388996</v>
      </c>
      <c r="D32" s="76">
        <v>20545903</v>
      </c>
      <c r="E32" s="76">
        <v>31727632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-4315608</v>
      </c>
      <c r="D33" s="76">
        <f>+D32-C32</f>
        <v>-9843093</v>
      </c>
      <c r="E33" s="76">
        <f>+E32-D32</f>
        <v>11181729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0.87560000000000004</v>
      </c>
      <c r="D34" s="193">
        <f>IF(C32=0,0,+D33/C32)</f>
        <v>-0.32390319838141413</v>
      </c>
      <c r="E34" s="193">
        <f>IF(D32=0,0,+E33/D32)</f>
        <v>0.54423156772423198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0.38854838048592771</v>
      </c>
      <c r="D38" s="195">
        <f>IF((D40+D41)=0,0,+D39/(D40+D41))</f>
        <v>0.43262370845066839</v>
      </c>
      <c r="E38" s="195">
        <f>IF((E40+E41)=0,0,+E39/(E40+E41))</f>
        <v>0.39431465152332823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93915766</v>
      </c>
      <c r="D39" s="76">
        <v>88958809</v>
      </c>
      <c r="E39" s="196">
        <v>72962299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238485896</v>
      </c>
      <c r="D40" s="76">
        <v>204381627</v>
      </c>
      <c r="E40" s="196">
        <v>184161329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3223427</v>
      </c>
      <c r="D41" s="76">
        <v>1244665</v>
      </c>
      <c r="E41" s="196">
        <v>874400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1.289709720341937</v>
      </c>
      <c r="D43" s="197">
        <f>IF(D38=0,0,IF((D46-D47)=0,0,((+D44-D45)/(D46-D47)/D38)))</f>
        <v>1.2161366330307148</v>
      </c>
      <c r="E43" s="197">
        <f>IF(E38=0,0,IF((E46-E47)=0,0,((+E44-E45)/(E46-E47)/E38)))</f>
        <v>1.3802605891685196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55897705</v>
      </c>
      <c r="D44" s="76">
        <v>48176988</v>
      </c>
      <c r="E44" s="196">
        <v>42126979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419722</v>
      </c>
      <c r="D45" s="76">
        <v>175360</v>
      </c>
      <c r="E45" s="196">
        <v>222112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115409470</v>
      </c>
      <c r="D46" s="76">
        <v>95705889</v>
      </c>
      <c r="E46" s="196">
        <v>80360509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4700302</v>
      </c>
      <c r="D47" s="76">
        <v>4470510</v>
      </c>
      <c r="E47" s="76">
        <v>3365874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0.65259770730697175</v>
      </c>
      <c r="D49" s="198">
        <f>IF(D38=0,0,IF(D51=0,0,(D50/D51)/D38))</f>
        <v>0.61977345481760748</v>
      </c>
      <c r="E49" s="198">
        <f>IF(E38=0,0,IF(E51=0,0,(E50/E51)/E38))</f>
        <v>0.68486461991160996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25943262</v>
      </c>
      <c r="D50" s="199">
        <v>24242071</v>
      </c>
      <c r="E50" s="199">
        <v>23092504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102313734</v>
      </c>
      <c r="D51" s="199">
        <v>90412074</v>
      </c>
      <c r="E51" s="199">
        <v>85511275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0.72970533823948258</v>
      </c>
      <c r="D53" s="198">
        <f>IF(D38=0,0,IF(D55=0,0,(D54/D55)/D38))</f>
        <v>0.6663496918644396</v>
      </c>
      <c r="E53" s="198">
        <f>IF(E38=0,0,IF(E55=0,0,(E54/E55)/E38))</f>
        <v>0.65157833012820332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5499834</v>
      </c>
      <c r="D54" s="199">
        <v>5018898</v>
      </c>
      <c r="E54" s="199">
        <v>4514518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19398000</v>
      </c>
      <c r="D55" s="199">
        <v>17409883</v>
      </c>
      <c r="E55" s="199">
        <v>17571217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1663212.4265404525</v>
      </c>
      <c r="D57" s="88">
        <f>+D60*D38</f>
        <v>1863279.1633900204</v>
      </c>
      <c r="E57" s="88">
        <f>+E60*E38</f>
        <v>1255840.1155677994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1734591</v>
      </c>
      <c r="D58" s="199">
        <v>1181756</v>
      </c>
      <c r="E58" s="199">
        <v>624534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2545989</v>
      </c>
      <c r="D59" s="199">
        <v>3125172</v>
      </c>
      <c r="E59" s="199">
        <v>2560334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4280580</v>
      </c>
      <c r="D60" s="76">
        <v>4306928</v>
      </c>
      <c r="E60" s="201">
        <v>3184868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1.7709618921070744E-2</v>
      </c>
      <c r="D62" s="202">
        <f>IF(D63=0,0,+D57/D63)</f>
        <v>2.0945414898596724E-2</v>
      </c>
      <c r="E62" s="202">
        <f>IF(E63=0,0,+E57/E63)</f>
        <v>1.7212178519317209E-2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93915766</v>
      </c>
      <c r="D63" s="199">
        <v>88958809</v>
      </c>
      <c r="E63" s="199">
        <v>72962299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1.4159301036710099</v>
      </c>
      <c r="D67" s="203">
        <f>IF(D69=0,0,D68/D69)</f>
        <v>1.007099572402339</v>
      </c>
      <c r="E67" s="203">
        <f>IF(E69=0,0,E68/E69)</f>
        <v>0.82917710801590905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24834328</v>
      </c>
      <c r="D68" s="204">
        <v>14864692</v>
      </c>
      <c r="E68" s="204">
        <v>11428830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17539233</v>
      </c>
      <c r="D69" s="204">
        <v>14759903</v>
      </c>
      <c r="E69" s="204">
        <v>13783340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44.30869571988525</v>
      </c>
      <c r="D71" s="203">
        <f>IF((D77/365)=0,0,+D74/(D77/365))</f>
        <v>16.261486493628066</v>
      </c>
      <c r="E71" s="203">
        <f>IF((E77/365)=0,0,+E74/(E77/365))</f>
        <v>12.008532353628608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10710102</v>
      </c>
      <c r="D72" s="183">
        <v>3717748</v>
      </c>
      <c r="E72" s="183">
        <v>2221385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10710102</v>
      </c>
      <c r="D74" s="204">
        <f>+D72+D73</f>
        <v>3717748</v>
      </c>
      <c r="E74" s="204">
        <f>+E72+E73</f>
        <v>2221385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93915766</v>
      </c>
      <c r="D75" s="204">
        <f>+D14</f>
        <v>88958809</v>
      </c>
      <c r="E75" s="204">
        <f>+E14</f>
        <v>72962299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5689580</v>
      </c>
      <c r="D76" s="204">
        <v>5511455</v>
      </c>
      <c r="E76" s="204">
        <v>5443180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88226186</v>
      </c>
      <c r="D77" s="204">
        <f>+D75-D76</f>
        <v>83447354</v>
      </c>
      <c r="E77" s="204">
        <f>+E75-E76</f>
        <v>67519119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25.273951689927685</v>
      </c>
      <c r="D79" s="203">
        <f>IF((D84/365)=0,0,+D83/(D84/365))</f>
        <v>27.585727709905424</v>
      </c>
      <c r="E79" s="203">
        <f>IF((E84/365)=0,0,+E83/(E84/365))</f>
        <v>27.961465252815412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10457444</v>
      </c>
      <c r="D80" s="212">
        <v>8601320</v>
      </c>
      <c r="E80" s="212">
        <v>7314799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4184788</v>
      </c>
      <c r="D82" s="212">
        <v>2461714</v>
      </c>
      <c r="E82" s="212">
        <v>1973652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6272656</v>
      </c>
      <c r="D83" s="212">
        <f>+D80+D81-D82</f>
        <v>6139606</v>
      </c>
      <c r="E83" s="212">
        <f>+E80+E81-E82</f>
        <v>5341147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90588107</v>
      </c>
      <c r="D84" s="204">
        <f>+D11</f>
        <v>81236073</v>
      </c>
      <c r="E84" s="204">
        <f>+E11</f>
        <v>69721620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72.561450689934617</v>
      </c>
      <c r="D86" s="203">
        <f>IF((D90/365)=0,0,+D87/(D90/365))</f>
        <v>64.560040993031365</v>
      </c>
      <c r="E86" s="203">
        <f>IF((E90/365)=0,0,+E87/(E90/365))</f>
        <v>74.511029979523286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17539233</v>
      </c>
      <c r="D87" s="76">
        <f>+D69</f>
        <v>14759903</v>
      </c>
      <c r="E87" s="76">
        <f>+E69</f>
        <v>13783340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93915766</v>
      </c>
      <c r="D88" s="76">
        <f t="shared" si="0"/>
        <v>88958809</v>
      </c>
      <c r="E88" s="76">
        <f t="shared" si="0"/>
        <v>72962299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5689580</v>
      </c>
      <c r="D89" s="201">
        <f t="shared" si="0"/>
        <v>5511455</v>
      </c>
      <c r="E89" s="201">
        <f t="shared" si="0"/>
        <v>5443180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88226186</v>
      </c>
      <c r="D90" s="76">
        <f>+D88-D89</f>
        <v>83447354</v>
      </c>
      <c r="E90" s="76">
        <f>+E88-E89</f>
        <v>67519119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42.810535329128093</v>
      </c>
      <c r="D94" s="214">
        <f>IF(D96=0,0,(D95/D96)*100)</f>
        <v>30.954389532744703</v>
      </c>
      <c r="E94" s="214">
        <f>IF(E96=0,0,(E95/E96)*100)</f>
        <v>51.783365837042737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30388996</v>
      </c>
      <c r="D95" s="76">
        <f>+D32</f>
        <v>20545903</v>
      </c>
      <c r="E95" s="76">
        <f>+E32</f>
        <v>31727632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70984854</v>
      </c>
      <c r="D96" s="76">
        <v>66374764</v>
      </c>
      <c r="E96" s="76">
        <v>61269930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23.163532743436392</v>
      </c>
      <c r="D98" s="214">
        <f>IF(D104=0,0,(D101/D104)*100)</f>
        <v>-4.822344328141047</v>
      </c>
      <c r="E98" s="214">
        <f>IF(E104=0,0,(E101/E104)*100)</f>
        <v>20.662593427744699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-93942</v>
      </c>
      <c r="D99" s="76">
        <f>+D28</f>
        <v>-6456113</v>
      </c>
      <c r="E99" s="76">
        <f>+E28</f>
        <v>-2083520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5689580</v>
      </c>
      <c r="D100" s="201">
        <f>+D76</f>
        <v>5511455</v>
      </c>
      <c r="E100" s="201">
        <f>+E76</f>
        <v>5443180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5595638</v>
      </c>
      <c r="D101" s="76">
        <f>+D99+D100</f>
        <v>-944658</v>
      </c>
      <c r="E101" s="76">
        <f>+E99+E100</f>
        <v>3359660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17539233</v>
      </c>
      <c r="D102" s="204">
        <f>+D69</f>
        <v>14759903</v>
      </c>
      <c r="E102" s="204">
        <f>+E69</f>
        <v>13783340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6617868</v>
      </c>
      <c r="D103" s="216">
        <v>4829283</v>
      </c>
      <c r="E103" s="216">
        <v>2476284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24157101</v>
      </c>
      <c r="D104" s="204">
        <f>+D102+D103</f>
        <v>19589186</v>
      </c>
      <c r="E104" s="204">
        <f>+E102+E103</f>
        <v>16259624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17.882812226402105</v>
      </c>
      <c r="D106" s="214">
        <f>IF(D109=0,0,(D107/D109)*100)</f>
        <v>19.03151764089532</v>
      </c>
      <c r="E106" s="214">
        <f>IF(E109=0,0,(E107/E109)*100)</f>
        <v>7.2397675166784996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6617868</v>
      </c>
      <c r="D107" s="204">
        <f>+D103</f>
        <v>4829283</v>
      </c>
      <c r="E107" s="204">
        <f>+E103</f>
        <v>2476284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30388996</v>
      </c>
      <c r="D108" s="204">
        <f>+D32</f>
        <v>20545903</v>
      </c>
      <c r="E108" s="204">
        <f>+E32</f>
        <v>31727632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37006864</v>
      </c>
      <c r="D109" s="204">
        <f>+D107+D108</f>
        <v>25375186</v>
      </c>
      <c r="E109" s="204">
        <f>+E107+E108</f>
        <v>34203916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0.77942471254477608</v>
      </c>
      <c r="D111" s="214">
        <f>IF((+D113+D115)=0,0,((+D112+D113+D114)/(+D113+D115)))</f>
        <v>-0.68582932932126572</v>
      </c>
      <c r="E111" s="214">
        <f>IF((+E113+E115)=0,0,((+E112+E113+E114)/(+E113+E115)))</f>
        <v>2.0442207210790628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-93942</v>
      </c>
      <c r="D112" s="76">
        <f>+D17</f>
        <v>-6456113</v>
      </c>
      <c r="E112" s="76">
        <f>+E17</f>
        <v>-2083520</v>
      </c>
    </row>
    <row r="113" spans="1:8" ht="24" customHeight="1" x14ac:dyDescent="0.2">
      <c r="A113" s="85">
        <v>17</v>
      </c>
      <c r="B113" s="75" t="s">
        <v>88</v>
      </c>
      <c r="C113" s="218">
        <v>482517</v>
      </c>
      <c r="D113" s="76">
        <v>391263</v>
      </c>
      <c r="E113" s="76">
        <v>263572</v>
      </c>
    </row>
    <row r="114" spans="1:8" ht="24" customHeight="1" x14ac:dyDescent="0.2">
      <c r="A114" s="85">
        <v>18</v>
      </c>
      <c r="B114" s="75" t="s">
        <v>374</v>
      </c>
      <c r="C114" s="218">
        <v>5689580</v>
      </c>
      <c r="D114" s="76">
        <v>5511455</v>
      </c>
      <c r="E114" s="76">
        <v>5443180</v>
      </c>
    </row>
    <row r="115" spans="1:8" ht="24" customHeight="1" x14ac:dyDescent="0.2">
      <c r="A115" s="85">
        <v>19</v>
      </c>
      <c r="B115" s="75" t="s">
        <v>104</v>
      </c>
      <c r="C115" s="218">
        <v>7315741</v>
      </c>
      <c r="D115" s="76">
        <v>415636</v>
      </c>
      <c r="E115" s="76">
        <v>1508855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12.591156464976326</v>
      </c>
      <c r="D119" s="214">
        <f>IF(+D121=0,0,(+D120)/(+D121))</f>
        <v>13.744360790390196</v>
      </c>
      <c r="E119" s="214">
        <f>IF(+E121=0,0,(+E120)/(+E121))</f>
        <v>11.733677556134465</v>
      </c>
    </row>
    <row r="120" spans="1:8" ht="24" customHeight="1" x14ac:dyDescent="0.2">
      <c r="A120" s="85">
        <v>21</v>
      </c>
      <c r="B120" s="75" t="s">
        <v>378</v>
      </c>
      <c r="C120" s="218">
        <v>71638392</v>
      </c>
      <c r="D120" s="218">
        <v>75751426</v>
      </c>
      <c r="E120" s="218">
        <v>63868519</v>
      </c>
    </row>
    <row r="121" spans="1:8" ht="24" customHeight="1" x14ac:dyDescent="0.2">
      <c r="A121" s="85">
        <v>22</v>
      </c>
      <c r="B121" s="75" t="s">
        <v>374</v>
      </c>
      <c r="C121" s="218">
        <v>5689580</v>
      </c>
      <c r="D121" s="218">
        <v>5511455</v>
      </c>
      <c r="E121" s="218">
        <v>5443180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9347</v>
      </c>
      <c r="D124" s="218">
        <v>8537</v>
      </c>
      <c r="E124" s="218">
        <v>7017</v>
      </c>
    </row>
    <row r="125" spans="1:8" ht="24" customHeight="1" x14ac:dyDescent="0.2">
      <c r="A125" s="85">
        <v>2</v>
      </c>
      <c r="B125" s="75" t="s">
        <v>381</v>
      </c>
      <c r="C125" s="218">
        <v>2516</v>
      </c>
      <c r="D125" s="218">
        <v>2288</v>
      </c>
      <c r="E125" s="218">
        <v>1824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3.7150238473767887</v>
      </c>
      <c r="D126" s="219">
        <f>IF(D125=0,0,D124/D125)</f>
        <v>3.7312062937062938</v>
      </c>
      <c r="E126" s="219">
        <f>IF(E125=0,0,E124/E125)</f>
        <v>3.8470394736842106</v>
      </c>
    </row>
    <row r="127" spans="1:8" ht="24" customHeight="1" x14ac:dyDescent="0.2">
      <c r="A127" s="85">
        <v>4</v>
      </c>
      <c r="B127" s="75" t="s">
        <v>383</v>
      </c>
      <c r="C127" s="218">
        <v>29</v>
      </c>
      <c r="D127" s="218">
        <v>27</v>
      </c>
      <c r="E127" s="218">
        <v>22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95</v>
      </c>
      <c r="E128" s="218">
        <v>95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95</v>
      </c>
      <c r="D129" s="218">
        <v>95</v>
      </c>
      <c r="E129" s="218">
        <v>85</v>
      </c>
    </row>
    <row r="130" spans="1:7" ht="24" customHeight="1" x14ac:dyDescent="0.2">
      <c r="A130" s="85">
        <v>7</v>
      </c>
      <c r="B130" s="75" t="s">
        <v>386</v>
      </c>
      <c r="C130" s="193">
        <v>0.88300000000000001</v>
      </c>
      <c r="D130" s="193">
        <v>0.86619999999999997</v>
      </c>
      <c r="E130" s="193">
        <v>0.87380000000000002</v>
      </c>
    </row>
    <row r="131" spans="1:7" ht="24" customHeight="1" x14ac:dyDescent="0.2">
      <c r="A131" s="85">
        <v>8</v>
      </c>
      <c r="B131" s="75" t="s">
        <v>387</v>
      </c>
      <c r="C131" s="193">
        <v>0.26950000000000002</v>
      </c>
      <c r="D131" s="193">
        <v>0.2462</v>
      </c>
      <c r="E131" s="193">
        <v>0.20230000000000001</v>
      </c>
    </row>
    <row r="132" spans="1:7" ht="24" customHeight="1" x14ac:dyDescent="0.2">
      <c r="A132" s="85">
        <v>9</v>
      </c>
      <c r="B132" s="75" t="s">
        <v>388</v>
      </c>
      <c r="C132" s="219">
        <v>461.6</v>
      </c>
      <c r="D132" s="219">
        <v>420.3</v>
      </c>
      <c r="E132" s="219">
        <v>362.2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0.46421683569916439</v>
      </c>
      <c r="D135" s="227">
        <f>IF(D149=0,0,D143/D149)</f>
        <v>0.44639716563172288</v>
      </c>
      <c r="E135" s="227">
        <f>IF(E149=0,0,E143/E149)</f>
        <v>0.41808253349431462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0.42901377278931413</v>
      </c>
      <c r="D136" s="227">
        <f>IF(D149=0,0,D144/D149)</f>
        <v>0.44236889258152351</v>
      </c>
      <c r="E136" s="227">
        <f>IF(E149=0,0,E144/E149)</f>
        <v>0.46432807291480832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8.1338143367606114E-2</v>
      </c>
      <c r="D137" s="227">
        <f>IF(D149=0,0,D145/D149)</f>
        <v>8.5183209741255261E-2</v>
      </c>
      <c r="E137" s="227">
        <f>IF(E149=0,0,E145/E149)</f>
        <v>9.5412088386916449E-2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3.6974681303585349E-3</v>
      </c>
      <c r="D138" s="227">
        <f>IF(D149=0,0,D146/D149)</f>
        <v>2.254214367321775E-3</v>
      </c>
      <c r="E138" s="227">
        <f>IF(E149=0,0,E146/E149)</f>
        <v>2.4809008627430136E-3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1.9708930711776766E-2</v>
      </c>
      <c r="D139" s="227">
        <f>IF(D149=0,0,D147/D149)</f>
        <v>2.1873345787583931E-2</v>
      </c>
      <c r="E139" s="227">
        <f>IF(E149=0,0,E147/E149)</f>
        <v>1.8276768626056126E-2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2.0248493017800935E-3</v>
      </c>
      <c r="D140" s="227">
        <f>IF(D149=0,0,D148/D149)</f>
        <v>1.9231718905926901E-3</v>
      </c>
      <c r="E140" s="227">
        <f>IF(E149=0,0,E148/E149)</f>
        <v>1.4196357151614605E-3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110709168</v>
      </c>
      <c r="D143" s="229">
        <f>+D46-D147</f>
        <v>91235379</v>
      </c>
      <c r="E143" s="229">
        <f>+E46-E147</f>
        <v>76994635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102313734</v>
      </c>
      <c r="D144" s="229">
        <f>+D51</f>
        <v>90412074</v>
      </c>
      <c r="E144" s="229">
        <f>+E51</f>
        <v>85511275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19398000</v>
      </c>
      <c r="D145" s="229">
        <f>+D55</f>
        <v>17409883</v>
      </c>
      <c r="E145" s="229">
        <f>+E55</f>
        <v>17571217</v>
      </c>
    </row>
    <row r="146" spans="1:7" ht="20.100000000000001" customHeight="1" x14ac:dyDescent="0.2">
      <c r="A146" s="226">
        <v>11</v>
      </c>
      <c r="B146" s="224" t="s">
        <v>400</v>
      </c>
      <c r="C146" s="228">
        <v>881794</v>
      </c>
      <c r="D146" s="229">
        <v>460720</v>
      </c>
      <c r="E146" s="229">
        <v>456886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4700302</v>
      </c>
      <c r="D147" s="229">
        <f>+D47</f>
        <v>4470510</v>
      </c>
      <c r="E147" s="229">
        <f>+E47</f>
        <v>3365874</v>
      </c>
    </row>
    <row r="148" spans="1:7" ht="20.100000000000001" customHeight="1" x14ac:dyDescent="0.2">
      <c r="A148" s="226">
        <v>13</v>
      </c>
      <c r="B148" s="224" t="s">
        <v>402</v>
      </c>
      <c r="C148" s="230">
        <v>482898</v>
      </c>
      <c r="D148" s="229">
        <v>393061</v>
      </c>
      <c r="E148" s="229">
        <v>261442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238485896</v>
      </c>
      <c r="D149" s="229">
        <f>SUM(D143:D148)</f>
        <v>204381627</v>
      </c>
      <c r="E149" s="229">
        <f>SUM(E143:E148)</f>
        <v>184161329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0.63252624284096604</v>
      </c>
      <c r="D152" s="227">
        <f>IF(D166=0,0,D160/D166)</f>
        <v>0.61805001224985079</v>
      </c>
      <c r="E152" s="227">
        <f>IF(E166=0,0,E160/E166)</f>
        <v>0.59915312179069413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0.29578930509962498</v>
      </c>
      <c r="D153" s="227">
        <f>IF(D166=0,0,D161/D166)</f>
        <v>0.31213133601451504</v>
      </c>
      <c r="E153" s="227">
        <f>IF(E166=0,0,E161/E166)</f>
        <v>0.33017515272304987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6.2705764488031251E-2</v>
      </c>
      <c r="D154" s="227">
        <f>IF(D166=0,0,D162/D166)</f>
        <v>6.4621349308834938E-2</v>
      </c>
      <c r="E154" s="227">
        <f>IF(E166=0,0,E162/E166)</f>
        <v>6.4548291087053941E-2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2.9179811094209055E-3</v>
      </c>
      <c r="D155" s="227">
        <f>IF(D166=0,0,D163/D166)</f>
        <v>1.637622477263355E-3</v>
      </c>
      <c r="E155" s="227">
        <f>IF(E166=0,0,E163/E166)</f>
        <v>1.7003248905782505E-3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4.7854151384288061E-3</v>
      </c>
      <c r="D156" s="227">
        <f>IF(D166=0,0,D164/D166)</f>
        <v>2.2578661321264737E-3</v>
      </c>
      <c r="E156" s="227">
        <f>IF(E166=0,0,E164/E166)</f>
        <v>3.1757432421196958E-3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1.2752913235279915E-3</v>
      </c>
      <c r="D157" s="227">
        <f>IF(D166=0,0,D165/D166)</f>
        <v>1.3018138174093943E-3</v>
      </c>
      <c r="E157" s="227">
        <f>IF(E166=0,0,E165/E166)</f>
        <v>1.2473662665041258E-3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0.99999999999999989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55477983</v>
      </c>
      <c r="D160" s="229">
        <f>+D44-D164</f>
        <v>48001628</v>
      </c>
      <c r="E160" s="229">
        <f>+E44-E164</f>
        <v>41904867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25943262</v>
      </c>
      <c r="D161" s="229">
        <f>+D50</f>
        <v>24242071</v>
      </c>
      <c r="E161" s="229">
        <f>+E50</f>
        <v>23092504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5499834</v>
      </c>
      <c r="D162" s="229">
        <f>+D54</f>
        <v>5018898</v>
      </c>
      <c r="E162" s="229">
        <f>+E54</f>
        <v>4514518</v>
      </c>
    </row>
    <row r="163" spans="1:6" ht="20.100000000000001" customHeight="1" x14ac:dyDescent="0.2">
      <c r="A163" s="226">
        <v>11</v>
      </c>
      <c r="B163" s="224" t="s">
        <v>415</v>
      </c>
      <c r="C163" s="228">
        <v>255932</v>
      </c>
      <c r="D163" s="229">
        <v>127188</v>
      </c>
      <c r="E163" s="229">
        <v>118921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419722</v>
      </c>
      <c r="D164" s="229">
        <f>+D45</f>
        <v>175360</v>
      </c>
      <c r="E164" s="229">
        <f>+E45</f>
        <v>222112</v>
      </c>
    </row>
    <row r="165" spans="1:6" ht="20.100000000000001" customHeight="1" x14ac:dyDescent="0.2">
      <c r="A165" s="226">
        <v>13</v>
      </c>
      <c r="B165" s="224" t="s">
        <v>417</v>
      </c>
      <c r="C165" s="230">
        <v>111854</v>
      </c>
      <c r="D165" s="229">
        <v>101107</v>
      </c>
      <c r="E165" s="229">
        <v>87241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87708587</v>
      </c>
      <c r="D166" s="229">
        <f>SUM(D160:D165)</f>
        <v>77666252</v>
      </c>
      <c r="E166" s="229">
        <f>SUM(E160:E165)</f>
        <v>69940163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1068</v>
      </c>
      <c r="D169" s="218">
        <v>888</v>
      </c>
      <c r="E169" s="218">
        <v>545</v>
      </c>
    </row>
    <row r="170" spans="1:6" ht="20.100000000000001" customHeight="1" x14ac:dyDescent="0.2">
      <c r="A170" s="226">
        <v>2</v>
      </c>
      <c r="B170" s="224" t="s">
        <v>420</v>
      </c>
      <c r="C170" s="218">
        <v>1199</v>
      </c>
      <c r="D170" s="218">
        <v>1118</v>
      </c>
      <c r="E170" s="218">
        <v>1083</v>
      </c>
    </row>
    <row r="171" spans="1:6" ht="20.100000000000001" customHeight="1" x14ac:dyDescent="0.2">
      <c r="A171" s="226">
        <v>3</v>
      </c>
      <c r="B171" s="224" t="s">
        <v>421</v>
      </c>
      <c r="C171" s="218">
        <v>242</v>
      </c>
      <c r="D171" s="218">
        <v>273</v>
      </c>
      <c r="E171" s="218">
        <v>194</v>
      </c>
    </row>
    <row r="172" spans="1:6" ht="20.100000000000001" customHeight="1" x14ac:dyDescent="0.2">
      <c r="A172" s="226">
        <v>4</v>
      </c>
      <c r="B172" s="224" t="s">
        <v>422</v>
      </c>
      <c r="C172" s="218">
        <v>236</v>
      </c>
      <c r="D172" s="218">
        <v>265</v>
      </c>
      <c r="E172" s="218">
        <v>188</v>
      </c>
    </row>
    <row r="173" spans="1:6" ht="20.100000000000001" customHeight="1" x14ac:dyDescent="0.2">
      <c r="A173" s="226">
        <v>5</v>
      </c>
      <c r="B173" s="224" t="s">
        <v>423</v>
      </c>
      <c r="C173" s="218">
        <v>6</v>
      </c>
      <c r="D173" s="218">
        <v>8</v>
      </c>
      <c r="E173" s="218">
        <v>6</v>
      </c>
    </row>
    <row r="174" spans="1:6" ht="20.100000000000001" customHeight="1" x14ac:dyDescent="0.2">
      <c r="A174" s="226">
        <v>6</v>
      </c>
      <c r="B174" s="224" t="s">
        <v>424</v>
      </c>
      <c r="C174" s="218">
        <v>7</v>
      </c>
      <c r="D174" s="218">
        <v>9</v>
      </c>
      <c r="E174" s="218">
        <v>2</v>
      </c>
    </row>
    <row r="175" spans="1:6" ht="20.100000000000001" customHeight="1" x14ac:dyDescent="0.2">
      <c r="A175" s="226">
        <v>7</v>
      </c>
      <c r="B175" s="224" t="s">
        <v>425</v>
      </c>
      <c r="C175" s="218">
        <v>55</v>
      </c>
      <c r="D175" s="218">
        <v>54</v>
      </c>
      <c r="E175" s="218">
        <v>38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2516</v>
      </c>
      <c r="D176" s="218">
        <f>+D169+D170+D171+D174</f>
        <v>2288</v>
      </c>
      <c r="E176" s="218">
        <f>+E169+E170+E171+E174</f>
        <v>1824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1.129</v>
      </c>
      <c r="D179" s="231">
        <v>1.0384</v>
      </c>
      <c r="E179" s="231">
        <v>1.3024</v>
      </c>
    </row>
    <row r="180" spans="1:6" ht="20.100000000000001" customHeight="1" x14ac:dyDescent="0.2">
      <c r="A180" s="226">
        <v>2</v>
      </c>
      <c r="B180" s="224" t="s">
        <v>420</v>
      </c>
      <c r="C180" s="231">
        <v>1.3738999999999999</v>
      </c>
      <c r="D180" s="231">
        <v>1.339</v>
      </c>
      <c r="E180" s="231">
        <v>1.3311999999999999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0.879166</v>
      </c>
      <c r="D181" s="231">
        <v>0.77646099999999996</v>
      </c>
      <c r="E181" s="231">
        <v>0.99577700000000002</v>
      </c>
    </row>
    <row r="182" spans="1:6" ht="20.100000000000001" customHeight="1" x14ac:dyDescent="0.2">
      <c r="A182" s="226">
        <v>4</v>
      </c>
      <c r="B182" s="224" t="s">
        <v>422</v>
      </c>
      <c r="C182" s="231">
        <v>0.8649</v>
      </c>
      <c r="D182" s="231">
        <v>0.7772</v>
      </c>
      <c r="E182" s="231">
        <v>0.99209999999999998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1.4402999999999999</v>
      </c>
      <c r="D183" s="231">
        <v>0.752</v>
      </c>
      <c r="E183" s="231">
        <v>1.111</v>
      </c>
    </row>
    <row r="184" spans="1:6" ht="20.100000000000001" customHeight="1" x14ac:dyDescent="0.2">
      <c r="A184" s="226">
        <v>6</v>
      </c>
      <c r="B184" s="224" t="s">
        <v>424</v>
      </c>
      <c r="C184" s="231">
        <v>1.1586000000000001</v>
      </c>
      <c r="D184" s="231">
        <v>0.77890000000000004</v>
      </c>
      <c r="E184" s="231">
        <v>1.1599999999999999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0.877</v>
      </c>
      <c r="D185" s="231">
        <v>0.87460000000000004</v>
      </c>
      <c r="E185" s="231">
        <v>1.0138</v>
      </c>
    </row>
    <row r="186" spans="1:6" ht="20.100000000000001" customHeight="1" x14ac:dyDescent="0.2">
      <c r="A186" s="226">
        <v>8</v>
      </c>
      <c r="B186" s="224" t="s">
        <v>429</v>
      </c>
      <c r="C186" s="231">
        <v>1.221759</v>
      </c>
      <c r="D186" s="231">
        <v>1.153009</v>
      </c>
      <c r="E186" s="231">
        <v>1.2867310000000001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2042</v>
      </c>
      <c r="D189" s="218">
        <v>2050</v>
      </c>
      <c r="E189" s="218">
        <v>2135</v>
      </c>
    </row>
    <row r="190" spans="1:6" ht="20.100000000000001" customHeight="1" x14ac:dyDescent="0.2">
      <c r="A190" s="226">
        <v>2</v>
      </c>
      <c r="B190" s="224" t="s">
        <v>433</v>
      </c>
      <c r="C190" s="218">
        <v>16738</v>
      </c>
      <c r="D190" s="218">
        <v>16366</v>
      </c>
      <c r="E190" s="218">
        <v>15715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18780</v>
      </c>
      <c r="D191" s="218">
        <f>+D190+D189</f>
        <v>18416</v>
      </c>
      <c r="E191" s="218">
        <f>+E190+E189</f>
        <v>17850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352540</v>
      </c>
      <c r="D14" s="258">
        <v>486703</v>
      </c>
      <c r="E14" s="258">
        <f t="shared" ref="E14:E24" si="0">D14-C14</f>
        <v>134163</v>
      </c>
      <c r="F14" s="259">
        <f t="shared" ref="F14:F24" si="1">IF(C14=0,0,E14/C14)</f>
        <v>0.38056107108413229</v>
      </c>
    </row>
    <row r="15" spans="1:7" ht="20.25" customHeight="1" x14ac:dyDescent="0.3">
      <c r="A15" s="256">
        <v>2</v>
      </c>
      <c r="B15" s="257" t="s">
        <v>442</v>
      </c>
      <c r="C15" s="258">
        <v>119112</v>
      </c>
      <c r="D15" s="258">
        <v>169479</v>
      </c>
      <c r="E15" s="258">
        <f t="shared" si="0"/>
        <v>50367</v>
      </c>
      <c r="F15" s="259">
        <f t="shared" si="1"/>
        <v>0.42285412049163812</v>
      </c>
    </row>
    <row r="16" spans="1:7" ht="20.25" customHeight="1" x14ac:dyDescent="0.3">
      <c r="A16" s="256">
        <v>3</v>
      </c>
      <c r="B16" s="257" t="s">
        <v>443</v>
      </c>
      <c r="C16" s="258">
        <v>614679</v>
      </c>
      <c r="D16" s="258">
        <v>1693895</v>
      </c>
      <c r="E16" s="258">
        <f t="shared" si="0"/>
        <v>1079216</v>
      </c>
      <c r="F16" s="259">
        <f t="shared" si="1"/>
        <v>1.7557391744308819</v>
      </c>
    </row>
    <row r="17" spans="1:6" ht="20.25" customHeight="1" x14ac:dyDescent="0.3">
      <c r="A17" s="256">
        <v>4</v>
      </c>
      <c r="B17" s="257" t="s">
        <v>444</v>
      </c>
      <c r="C17" s="258">
        <v>128847</v>
      </c>
      <c r="D17" s="258">
        <v>386688</v>
      </c>
      <c r="E17" s="258">
        <f t="shared" si="0"/>
        <v>257841</v>
      </c>
      <c r="F17" s="259">
        <f t="shared" si="1"/>
        <v>2.001140888029989</v>
      </c>
    </row>
    <row r="18" spans="1:6" ht="20.25" customHeight="1" x14ac:dyDescent="0.3">
      <c r="A18" s="256">
        <v>5</v>
      </c>
      <c r="B18" s="257" t="s">
        <v>381</v>
      </c>
      <c r="C18" s="260">
        <v>15</v>
      </c>
      <c r="D18" s="260">
        <v>20</v>
      </c>
      <c r="E18" s="260">
        <f t="shared" si="0"/>
        <v>5</v>
      </c>
      <c r="F18" s="259">
        <f t="shared" si="1"/>
        <v>0.33333333333333331</v>
      </c>
    </row>
    <row r="19" spans="1:6" ht="20.25" customHeight="1" x14ac:dyDescent="0.3">
      <c r="A19" s="256">
        <v>6</v>
      </c>
      <c r="B19" s="257" t="s">
        <v>380</v>
      </c>
      <c r="C19" s="260">
        <v>48</v>
      </c>
      <c r="D19" s="260">
        <v>80</v>
      </c>
      <c r="E19" s="260">
        <f t="shared" si="0"/>
        <v>32</v>
      </c>
      <c r="F19" s="259">
        <f t="shared" si="1"/>
        <v>0.66666666666666663</v>
      </c>
    </row>
    <row r="20" spans="1:6" ht="20.25" customHeight="1" x14ac:dyDescent="0.3">
      <c r="A20" s="256">
        <v>7</v>
      </c>
      <c r="B20" s="257" t="s">
        <v>445</v>
      </c>
      <c r="C20" s="260">
        <v>162</v>
      </c>
      <c r="D20" s="260">
        <v>376</v>
      </c>
      <c r="E20" s="260">
        <f t="shared" si="0"/>
        <v>214</v>
      </c>
      <c r="F20" s="259">
        <f t="shared" si="1"/>
        <v>1.3209876543209877</v>
      </c>
    </row>
    <row r="21" spans="1:6" ht="20.25" customHeight="1" x14ac:dyDescent="0.3">
      <c r="A21" s="256">
        <v>8</v>
      </c>
      <c r="B21" s="257" t="s">
        <v>446</v>
      </c>
      <c r="C21" s="260">
        <v>41</v>
      </c>
      <c r="D21" s="260">
        <v>67</v>
      </c>
      <c r="E21" s="260">
        <f t="shared" si="0"/>
        <v>26</v>
      </c>
      <c r="F21" s="259">
        <f t="shared" si="1"/>
        <v>0.63414634146341464</v>
      </c>
    </row>
    <row r="22" spans="1:6" ht="20.25" customHeight="1" x14ac:dyDescent="0.3">
      <c r="A22" s="256">
        <v>9</v>
      </c>
      <c r="B22" s="257" t="s">
        <v>447</v>
      </c>
      <c r="C22" s="260">
        <v>13</v>
      </c>
      <c r="D22" s="260">
        <v>18</v>
      </c>
      <c r="E22" s="260">
        <f t="shared" si="0"/>
        <v>5</v>
      </c>
      <c r="F22" s="259">
        <f t="shared" si="1"/>
        <v>0.38461538461538464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967219</v>
      </c>
      <c r="D23" s="263">
        <f>+D14+D16</f>
        <v>2180598</v>
      </c>
      <c r="E23" s="263">
        <f t="shared" si="0"/>
        <v>1213379</v>
      </c>
      <c r="F23" s="264">
        <f t="shared" si="1"/>
        <v>1.254502858194473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247959</v>
      </c>
      <c r="D24" s="263">
        <f>+D15+D17</f>
        <v>556167</v>
      </c>
      <c r="E24" s="263">
        <f t="shared" si="0"/>
        <v>308208</v>
      </c>
      <c r="F24" s="264">
        <f t="shared" si="1"/>
        <v>1.2429796861577922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2</v>
      </c>
      <c r="E34" s="260">
        <f t="shared" si="2"/>
        <v>2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426032</v>
      </c>
      <c r="D40" s="258">
        <v>531312</v>
      </c>
      <c r="E40" s="258">
        <f t="shared" ref="E40:E50" si="4">D40-C40</f>
        <v>105280</v>
      </c>
      <c r="F40" s="259">
        <f t="shared" ref="F40:F50" si="5">IF(C40=0,0,E40/C40)</f>
        <v>0.24711758741127426</v>
      </c>
    </row>
    <row r="41" spans="1:6" ht="20.25" customHeight="1" x14ac:dyDescent="0.3">
      <c r="A41" s="256">
        <v>2</v>
      </c>
      <c r="B41" s="257" t="s">
        <v>442</v>
      </c>
      <c r="C41" s="258">
        <v>143943</v>
      </c>
      <c r="D41" s="258">
        <v>185013</v>
      </c>
      <c r="E41" s="258">
        <f t="shared" si="4"/>
        <v>41070</v>
      </c>
      <c r="F41" s="259">
        <f t="shared" si="5"/>
        <v>0.28532127300389737</v>
      </c>
    </row>
    <row r="42" spans="1:6" ht="20.25" customHeight="1" x14ac:dyDescent="0.3">
      <c r="A42" s="256">
        <v>3</v>
      </c>
      <c r="B42" s="257" t="s">
        <v>443</v>
      </c>
      <c r="C42" s="258">
        <v>1511026</v>
      </c>
      <c r="D42" s="258">
        <v>1036106</v>
      </c>
      <c r="E42" s="258">
        <f t="shared" si="4"/>
        <v>-474920</v>
      </c>
      <c r="F42" s="259">
        <f t="shared" si="5"/>
        <v>-0.31430299677172996</v>
      </c>
    </row>
    <row r="43" spans="1:6" ht="20.25" customHeight="1" x14ac:dyDescent="0.3">
      <c r="A43" s="256">
        <v>4</v>
      </c>
      <c r="B43" s="257" t="s">
        <v>444</v>
      </c>
      <c r="C43" s="258">
        <v>316737</v>
      </c>
      <c r="D43" s="258">
        <v>236526</v>
      </c>
      <c r="E43" s="258">
        <f t="shared" si="4"/>
        <v>-80211</v>
      </c>
      <c r="F43" s="259">
        <f t="shared" si="5"/>
        <v>-0.25324164843387414</v>
      </c>
    </row>
    <row r="44" spans="1:6" ht="20.25" customHeight="1" x14ac:dyDescent="0.3">
      <c r="A44" s="256">
        <v>5</v>
      </c>
      <c r="B44" s="257" t="s">
        <v>381</v>
      </c>
      <c r="C44" s="260">
        <v>15</v>
      </c>
      <c r="D44" s="260">
        <v>21</v>
      </c>
      <c r="E44" s="260">
        <f t="shared" si="4"/>
        <v>6</v>
      </c>
      <c r="F44" s="259">
        <f t="shared" si="5"/>
        <v>0.4</v>
      </c>
    </row>
    <row r="45" spans="1:6" ht="20.25" customHeight="1" x14ac:dyDescent="0.3">
      <c r="A45" s="256">
        <v>6</v>
      </c>
      <c r="B45" s="257" t="s">
        <v>380</v>
      </c>
      <c r="C45" s="260">
        <v>55</v>
      </c>
      <c r="D45" s="260">
        <v>81</v>
      </c>
      <c r="E45" s="260">
        <f t="shared" si="4"/>
        <v>26</v>
      </c>
      <c r="F45" s="259">
        <f t="shared" si="5"/>
        <v>0.47272727272727272</v>
      </c>
    </row>
    <row r="46" spans="1:6" ht="20.25" customHeight="1" x14ac:dyDescent="0.3">
      <c r="A46" s="256">
        <v>7</v>
      </c>
      <c r="B46" s="257" t="s">
        <v>445</v>
      </c>
      <c r="C46" s="260">
        <v>418</v>
      </c>
      <c r="D46" s="260">
        <v>233</v>
      </c>
      <c r="E46" s="260">
        <f t="shared" si="4"/>
        <v>-185</v>
      </c>
      <c r="F46" s="259">
        <f t="shared" si="5"/>
        <v>-0.44258373205741625</v>
      </c>
    </row>
    <row r="47" spans="1:6" ht="20.25" customHeight="1" x14ac:dyDescent="0.3">
      <c r="A47" s="256">
        <v>8</v>
      </c>
      <c r="B47" s="257" t="s">
        <v>446</v>
      </c>
      <c r="C47" s="260">
        <v>68</v>
      </c>
      <c r="D47" s="260">
        <v>61</v>
      </c>
      <c r="E47" s="260">
        <f t="shared" si="4"/>
        <v>-7</v>
      </c>
      <c r="F47" s="259">
        <f t="shared" si="5"/>
        <v>-0.10294117647058823</v>
      </c>
    </row>
    <row r="48" spans="1:6" ht="20.25" customHeight="1" x14ac:dyDescent="0.3">
      <c r="A48" s="256">
        <v>9</v>
      </c>
      <c r="B48" s="257" t="s">
        <v>447</v>
      </c>
      <c r="C48" s="260">
        <v>8</v>
      </c>
      <c r="D48" s="260">
        <v>18</v>
      </c>
      <c r="E48" s="260">
        <f t="shared" si="4"/>
        <v>10</v>
      </c>
      <c r="F48" s="259">
        <f t="shared" si="5"/>
        <v>1.25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1937058</v>
      </c>
      <c r="D49" s="263">
        <f>+D40+D42</f>
        <v>1567418</v>
      </c>
      <c r="E49" s="263">
        <f t="shared" si="4"/>
        <v>-369640</v>
      </c>
      <c r="F49" s="264">
        <f t="shared" si="5"/>
        <v>-0.19082546831328748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460680</v>
      </c>
      <c r="D50" s="263">
        <f>+D41+D43</f>
        <v>421539</v>
      </c>
      <c r="E50" s="263">
        <f t="shared" si="4"/>
        <v>-39141</v>
      </c>
      <c r="F50" s="264">
        <f t="shared" si="5"/>
        <v>-8.496353216983589E-2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44619</v>
      </c>
      <c r="D66" s="258">
        <v>141333</v>
      </c>
      <c r="E66" s="258">
        <f t="shared" ref="E66:E76" si="8">D66-C66</f>
        <v>96714</v>
      </c>
      <c r="F66" s="259">
        <f t="shared" ref="F66:F76" si="9">IF(C66=0,0,E66/C66)</f>
        <v>2.1675519397566059</v>
      </c>
    </row>
    <row r="67" spans="1:6" ht="20.25" customHeight="1" x14ac:dyDescent="0.3">
      <c r="A67" s="256">
        <v>2</v>
      </c>
      <c r="B67" s="257" t="s">
        <v>442</v>
      </c>
      <c r="C67" s="258">
        <v>15076</v>
      </c>
      <c r="D67" s="258">
        <v>49215</v>
      </c>
      <c r="E67" s="258">
        <f t="shared" si="8"/>
        <v>34139</v>
      </c>
      <c r="F67" s="259">
        <f t="shared" si="9"/>
        <v>2.2644600689838152</v>
      </c>
    </row>
    <row r="68" spans="1:6" ht="20.25" customHeight="1" x14ac:dyDescent="0.3">
      <c r="A68" s="256">
        <v>3</v>
      </c>
      <c r="B68" s="257" t="s">
        <v>443</v>
      </c>
      <c r="C68" s="258">
        <v>41615</v>
      </c>
      <c r="D68" s="258">
        <v>68085</v>
      </c>
      <c r="E68" s="258">
        <f t="shared" si="8"/>
        <v>26470</v>
      </c>
      <c r="F68" s="259">
        <f t="shared" si="9"/>
        <v>0.63606872521927194</v>
      </c>
    </row>
    <row r="69" spans="1:6" ht="20.25" customHeight="1" x14ac:dyDescent="0.3">
      <c r="A69" s="256">
        <v>4</v>
      </c>
      <c r="B69" s="257" t="s">
        <v>444</v>
      </c>
      <c r="C69" s="258">
        <v>8723</v>
      </c>
      <c r="D69" s="258">
        <v>15542</v>
      </c>
      <c r="E69" s="258">
        <f t="shared" si="8"/>
        <v>6819</v>
      </c>
      <c r="F69" s="259">
        <f t="shared" si="9"/>
        <v>0.78172647025106046</v>
      </c>
    </row>
    <row r="70" spans="1:6" ht="20.25" customHeight="1" x14ac:dyDescent="0.3">
      <c r="A70" s="256">
        <v>5</v>
      </c>
      <c r="B70" s="257" t="s">
        <v>381</v>
      </c>
      <c r="C70" s="260">
        <v>3</v>
      </c>
      <c r="D70" s="260">
        <v>3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8</v>
      </c>
      <c r="D71" s="260">
        <v>62</v>
      </c>
      <c r="E71" s="260">
        <f t="shared" si="8"/>
        <v>54</v>
      </c>
      <c r="F71" s="259">
        <f t="shared" si="9"/>
        <v>6.75</v>
      </c>
    </row>
    <row r="72" spans="1:6" ht="20.25" customHeight="1" x14ac:dyDescent="0.3">
      <c r="A72" s="256">
        <v>7</v>
      </c>
      <c r="B72" s="257" t="s">
        <v>445</v>
      </c>
      <c r="C72" s="260">
        <v>22</v>
      </c>
      <c r="D72" s="260">
        <v>4</v>
      </c>
      <c r="E72" s="260">
        <f t="shared" si="8"/>
        <v>-18</v>
      </c>
      <c r="F72" s="259">
        <f t="shared" si="9"/>
        <v>-0.81818181818181823</v>
      </c>
    </row>
    <row r="73" spans="1:6" ht="20.25" customHeight="1" x14ac:dyDescent="0.3">
      <c r="A73" s="256">
        <v>8</v>
      </c>
      <c r="B73" s="257" t="s">
        <v>446</v>
      </c>
      <c r="C73" s="260">
        <v>16</v>
      </c>
      <c r="D73" s="260">
        <v>23</v>
      </c>
      <c r="E73" s="260">
        <f t="shared" si="8"/>
        <v>7</v>
      </c>
      <c r="F73" s="259">
        <f t="shared" si="9"/>
        <v>0.4375</v>
      </c>
    </row>
    <row r="74" spans="1:6" ht="20.25" customHeight="1" x14ac:dyDescent="0.3">
      <c r="A74" s="256">
        <v>9</v>
      </c>
      <c r="B74" s="257" t="s">
        <v>447</v>
      </c>
      <c r="C74" s="260">
        <v>3</v>
      </c>
      <c r="D74" s="260">
        <v>3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86234</v>
      </c>
      <c r="D75" s="263">
        <f>+D66+D68</f>
        <v>209418</v>
      </c>
      <c r="E75" s="263">
        <f t="shared" si="8"/>
        <v>123184</v>
      </c>
      <c r="F75" s="264">
        <f t="shared" si="9"/>
        <v>1.4284852842266391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23799</v>
      </c>
      <c r="D76" s="263">
        <f>+D67+D69</f>
        <v>64757</v>
      </c>
      <c r="E76" s="263">
        <f t="shared" si="8"/>
        <v>40958</v>
      </c>
      <c r="F76" s="264">
        <f t="shared" si="9"/>
        <v>1.7209966805327954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3687</v>
      </c>
      <c r="D81" s="258">
        <v>0</v>
      </c>
      <c r="E81" s="258">
        <f t="shared" si="10"/>
        <v>-3687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773</v>
      </c>
      <c r="D82" s="258">
        <v>0</v>
      </c>
      <c r="E82" s="258">
        <f t="shared" si="10"/>
        <v>-773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1</v>
      </c>
      <c r="D85" s="260">
        <v>0</v>
      </c>
      <c r="E85" s="260">
        <f t="shared" si="10"/>
        <v>-1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3</v>
      </c>
      <c r="D86" s="260">
        <v>0</v>
      </c>
      <c r="E86" s="260">
        <f t="shared" si="10"/>
        <v>-3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3687</v>
      </c>
      <c r="D88" s="263">
        <f>+D79+D81</f>
        <v>0</v>
      </c>
      <c r="E88" s="263">
        <f t="shared" si="10"/>
        <v>-3687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773</v>
      </c>
      <c r="D89" s="263">
        <f>+D80+D82</f>
        <v>0</v>
      </c>
      <c r="E89" s="263">
        <f t="shared" si="10"/>
        <v>-773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2150514</v>
      </c>
      <c r="D92" s="258">
        <v>1714344</v>
      </c>
      <c r="E92" s="258">
        <f t="shared" ref="E92:E102" si="12">D92-C92</f>
        <v>-436170</v>
      </c>
      <c r="F92" s="259">
        <f t="shared" ref="F92:F102" si="13">IF(C92=0,0,E92/C92)</f>
        <v>-0.20282127900585628</v>
      </c>
    </row>
    <row r="93" spans="1:6" ht="20.25" customHeight="1" x14ac:dyDescent="0.3">
      <c r="A93" s="256">
        <v>2</v>
      </c>
      <c r="B93" s="257" t="s">
        <v>442</v>
      </c>
      <c r="C93" s="258">
        <v>726591</v>
      </c>
      <c r="D93" s="258">
        <v>596967</v>
      </c>
      <c r="E93" s="258">
        <f t="shared" si="12"/>
        <v>-129624</v>
      </c>
      <c r="F93" s="259">
        <f t="shared" si="13"/>
        <v>-0.17840022791364055</v>
      </c>
    </row>
    <row r="94" spans="1:6" ht="20.25" customHeight="1" x14ac:dyDescent="0.3">
      <c r="A94" s="256">
        <v>3</v>
      </c>
      <c r="B94" s="257" t="s">
        <v>443</v>
      </c>
      <c r="C94" s="258">
        <v>2642634</v>
      </c>
      <c r="D94" s="258">
        <v>2426419</v>
      </c>
      <c r="E94" s="258">
        <f t="shared" si="12"/>
        <v>-216215</v>
      </c>
      <c r="F94" s="259">
        <f t="shared" si="13"/>
        <v>-8.1817989172923683E-2</v>
      </c>
    </row>
    <row r="95" spans="1:6" ht="20.25" customHeight="1" x14ac:dyDescent="0.3">
      <c r="A95" s="256">
        <v>4</v>
      </c>
      <c r="B95" s="257" t="s">
        <v>444</v>
      </c>
      <c r="C95" s="258">
        <v>553943</v>
      </c>
      <c r="D95" s="258">
        <v>553911</v>
      </c>
      <c r="E95" s="258">
        <f t="shared" si="12"/>
        <v>-32</v>
      </c>
      <c r="F95" s="259">
        <f t="shared" si="13"/>
        <v>-5.7767676457686081E-5</v>
      </c>
    </row>
    <row r="96" spans="1:6" ht="20.25" customHeight="1" x14ac:dyDescent="0.3">
      <c r="A96" s="256">
        <v>5</v>
      </c>
      <c r="B96" s="257" t="s">
        <v>381</v>
      </c>
      <c r="C96" s="260">
        <v>56</v>
      </c>
      <c r="D96" s="260">
        <v>61</v>
      </c>
      <c r="E96" s="260">
        <f t="shared" si="12"/>
        <v>5</v>
      </c>
      <c r="F96" s="259">
        <f t="shared" si="13"/>
        <v>8.9285714285714288E-2</v>
      </c>
    </row>
    <row r="97" spans="1:6" ht="20.25" customHeight="1" x14ac:dyDescent="0.3">
      <c r="A97" s="256">
        <v>6</v>
      </c>
      <c r="B97" s="257" t="s">
        <v>380</v>
      </c>
      <c r="C97" s="260">
        <v>274</v>
      </c>
      <c r="D97" s="260">
        <v>246</v>
      </c>
      <c r="E97" s="260">
        <f t="shared" si="12"/>
        <v>-28</v>
      </c>
      <c r="F97" s="259">
        <f t="shared" si="13"/>
        <v>-0.10218978102189781</v>
      </c>
    </row>
    <row r="98" spans="1:6" ht="20.25" customHeight="1" x14ac:dyDescent="0.3">
      <c r="A98" s="256">
        <v>7</v>
      </c>
      <c r="B98" s="257" t="s">
        <v>445</v>
      </c>
      <c r="C98" s="260">
        <v>1391</v>
      </c>
      <c r="D98" s="260">
        <v>791</v>
      </c>
      <c r="E98" s="260">
        <f t="shared" si="12"/>
        <v>-600</v>
      </c>
      <c r="F98" s="259">
        <f t="shared" si="13"/>
        <v>-0.43134435657800146</v>
      </c>
    </row>
    <row r="99" spans="1:6" ht="20.25" customHeight="1" x14ac:dyDescent="0.3">
      <c r="A99" s="256">
        <v>8</v>
      </c>
      <c r="B99" s="257" t="s">
        <v>446</v>
      </c>
      <c r="C99" s="260">
        <v>100</v>
      </c>
      <c r="D99" s="260">
        <v>125</v>
      </c>
      <c r="E99" s="260">
        <f t="shared" si="12"/>
        <v>25</v>
      </c>
      <c r="F99" s="259">
        <f t="shared" si="13"/>
        <v>0.25</v>
      </c>
    </row>
    <row r="100" spans="1:6" ht="20.25" customHeight="1" x14ac:dyDescent="0.3">
      <c r="A100" s="256">
        <v>9</v>
      </c>
      <c r="B100" s="257" t="s">
        <v>447</v>
      </c>
      <c r="C100" s="260">
        <v>44</v>
      </c>
      <c r="D100" s="260">
        <v>51</v>
      </c>
      <c r="E100" s="260">
        <f t="shared" si="12"/>
        <v>7</v>
      </c>
      <c r="F100" s="259">
        <f t="shared" si="13"/>
        <v>0.15909090909090909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4793148</v>
      </c>
      <c r="D101" s="263">
        <f>+D92+D94</f>
        <v>4140763</v>
      </c>
      <c r="E101" s="263">
        <f t="shared" si="12"/>
        <v>-652385</v>
      </c>
      <c r="F101" s="264">
        <f t="shared" si="13"/>
        <v>-0.1361078356019885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1280534</v>
      </c>
      <c r="D102" s="263">
        <f>+D93+D95</f>
        <v>1150878</v>
      </c>
      <c r="E102" s="263">
        <f t="shared" si="12"/>
        <v>-129656</v>
      </c>
      <c r="F102" s="264">
        <f t="shared" si="13"/>
        <v>-0.10125150913603231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2128</v>
      </c>
      <c r="D107" s="258">
        <v>320</v>
      </c>
      <c r="E107" s="258">
        <f t="shared" si="14"/>
        <v>-1808</v>
      </c>
      <c r="F107" s="259">
        <f t="shared" si="15"/>
        <v>-0.84962406015037595</v>
      </c>
    </row>
    <row r="108" spans="1:6" ht="20.25" customHeight="1" x14ac:dyDescent="0.3">
      <c r="A108" s="256">
        <v>4</v>
      </c>
      <c r="B108" s="257" t="s">
        <v>444</v>
      </c>
      <c r="C108" s="258">
        <v>446</v>
      </c>
      <c r="D108" s="258">
        <v>73</v>
      </c>
      <c r="E108" s="258">
        <f t="shared" si="14"/>
        <v>-373</v>
      </c>
      <c r="F108" s="259">
        <f t="shared" si="15"/>
        <v>-0.83632286995515692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1</v>
      </c>
      <c r="E111" s="260">
        <f t="shared" si="14"/>
        <v>1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1</v>
      </c>
      <c r="D112" s="260">
        <v>2</v>
      </c>
      <c r="E112" s="260">
        <f t="shared" si="14"/>
        <v>1</v>
      </c>
      <c r="F112" s="259">
        <f t="shared" si="15"/>
        <v>1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2128</v>
      </c>
      <c r="D114" s="263">
        <f>+D105+D107</f>
        <v>320</v>
      </c>
      <c r="E114" s="263">
        <f t="shared" si="14"/>
        <v>-1808</v>
      </c>
      <c r="F114" s="264">
        <f t="shared" si="15"/>
        <v>-0.84962406015037595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446</v>
      </c>
      <c r="D115" s="263">
        <f>+D106+D108</f>
        <v>73</v>
      </c>
      <c r="E115" s="263">
        <f t="shared" si="14"/>
        <v>-373</v>
      </c>
      <c r="F115" s="264">
        <f t="shared" si="15"/>
        <v>-0.83632286995515692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293994</v>
      </c>
      <c r="D118" s="258">
        <v>365376</v>
      </c>
      <c r="E118" s="258">
        <f t="shared" ref="E118:E128" si="16">D118-C118</f>
        <v>71382</v>
      </c>
      <c r="F118" s="259">
        <f t="shared" ref="F118:F128" si="17">IF(C118=0,0,E118/C118)</f>
        <v>0.24280087348721402</v>
      </c>
    </row>
    <row r="119" spans="1:6" ht="20.25" customHeight="1" x14ac:dyDescent="0.3">
      <c r="A119" s="256">
        <v>2</v>
      </c>
      <c r="B119" s="257" t="s">
        <v>442</v>
      </c>
      <c r="C119" s="258">
        <v>99331</v>
      </c>
      <c r="D119" s="258">
        <v>127231</v>
      </c>
      <c r="E119" s="258">
        <f t="shared" si="16"/>
        <v>27900</v>
      </c>
      <c r="F119" s="259">
        <f t="shared" si="17"/>
        <v>0.28087908105223947</v>
      </c>
    </row>
    <row r="120" spans="1:6" ht="20.25" customHeight="1" x14ac:dyDescent="0.3">
      <c r="A120" s="256">
        <v>3</v>
      </c>
      <c r="B120" s="257" t="s">
        <v>443</v>
      </c>
      <c r="C120" s="258">
        <v>785612</v>
      </c>
      <c r="D120" s="258">
        <v>1066664</v>
      </c>
      <c r="E120" s="258">
        <f t="shared" si="16"/>
        <v>281052</v>
      </c>
      <c r="F120" s="259">
        <f t="shared" si="17"/>
        <v>0.35774911788516467</v>
      </c>
    </row>
    <row r="121" spans="1:6" ht="20.25" customHeight="1" x14ac:dyDescent="0.3">
      <c r="A121" s="256">
        <v>4</v>
      </c>
      <c r="B121" s="257" t="s">
        <v>444</v>
      </c>
      <c r="C121" s="258">
        <v>164678</v>
      </c>
      <c r="D121" s="258">
        <v>243502</v>
      </c>
      <c r="E121" s="258">
        <f t="shared" si="16"/>
        <v>78824</v>
      </c>
      <c r="F121" s="259">
        <f t="shared" si="17"/>
        <v>0.47865531522121957</v>
      </c>
    </row>
    <row r="122" spans="1:6" ht="20.25" customHeight="1" x14ac:dyDescent="0.3">
      <c r="A122" s="256">
        <v>5</v>
      </c>
      <c r="B122" s="257" t="s">
        <v>381</v>
      </c>
      <c r="C122" s="260">
        <v>11</v>
      </c>
      <c r="D122" s="260">
        <v>18</v>
      </c>
      <c r="E122" s="260">
        <f t="shared" si="16"/>
        <v>7</v>
      </c>
      <c r="F122" s="259">
        <f t="shared" si="17"/>
        <v>0.63636363636363635</v>
      </c>
    </row>
    <row r="123" spans="1:6" ht="20.25" customHeight="1" x14ac:dyDescent="0.3">
      <c r="A123" s="256">
        <v>6</v>
      </c>
      <c r="B123" s="257" t="s">
        <v>380</v>
      </c>
      <c r="C123" s="260">
        <v>33</v>
      </c>
      <c r="D123" s="260">
        <v>51</v>
      </c>
      <c r="E123" s="260">
        <f t="shared" si="16"/>
        <v>18</v>
      </c>
      <c r="F123" s="259">
        <f t="shared" si="17"/>
        <v>0.54545454545454541</v>
      </c>
    </row>
    <row r="124" spans="1:6" ht="20.25" customHeight="1" x14ac:dyDescent="0.3">
      <c r="A124" s="256">
        <v>7</v>
      </c>
      <c r="B124" s="257" t="s">
        <v>445</v>
      </c>
      <c r="C124" s="260">
        <v>298</v>
      </c>
      <c r="D124" s="260">
        <v>297</v>
      </c>
      <c r="E124" s="260">
        <f t="shared" si="16"/>
        <v>-1</v>
      </c>
      <c r="F124" s="259">
        <f t="shared" si="17"/>
        <v>-3.3557046979865771E-3</v>
      </c>
    </row>
    <row r="125" spans="1:6" ht="20.25" customHeight="1" x14ac:dyDescent="0.3">
      <c r="A125" s="256">
        <v>8</v>
      </c>
      <c r="B125" s="257" t="s">
        <v>446</v>
      </c>
      <c r="C125" s="260">
        <v>41</v>
      </c>
      <c r="D125" s="260">
        <v>97</v>
      </c>
      <c r="E125" s="260">
        <f t="shared" si="16"/>
        <v>56</v>
      </c>
      <c r="F125" s="259">
        <f t="shared" si="17"/>
        <v>1.3658536585365855</v>
      </c>
    </row>
    <row r="126" spans="1:6" ht="20.25" customHeight="1" x14ac:dyDescent="0.3">
      <c r="A126" s="256">
        <v>9</v>
      </c>
      <c r="B126" s="257" t="s">
        <v>447</v>
      </c>
      <c r="C126" s="260">
        <v>8</v>
      </c>
      <c r="D126" s="260">
        <v>15</v>
      </c>
      <c r="E126" s="260">
        <f t="shared" si="16"/>
        <v>7</v>
      </c>
      <c r="F126" s="259">
        <f t="shared" si="17"/>
        <v>0.875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1079606</v>
      </c>
      <c r="D127" s="263">
        <f>+D118+D120</f>
        <v>1432040</v>
      </c>
      <c r="E127" s="263">
        <f t="shared" si="16"/>
        <v>352434</v>
      </c>
      <c r="F127" s="264">
        <f t="shared" si="17"/>
        <v>0.32644687043236142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264009</v>
      </c>
      <c r="D128" s="263">
        <f>+D119+D121</f>
        <v>370733</v>
      </c>
      <c r="E128" s="263">
        <f t="shared" si="16"/>
        <v>106724</v>
      </c>
      <c r="F128" s="264">
        <f t="shared" si="17"/>
        <v>0.40424379471911942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139926</v>
      </c>
      <c r="D131" s="258">
        <v>35643</v>
      </c>
      <c r="E131" s="258">
        <f t="shared" ref="E131:E141" si="18">D131-C131</f>
        <v>-104283</v>
      </c>
      <c r="F131" s="259">
        <f t="shared" ref="F131:F141" si="19">IF(C131=0,0,E131/C131)</f>
        <v>-0.74527250117919475</v>
      </c>
    </row>
    <row r="132" spans="1:6" ht="20.25" customHeight="1" x14ac:dyDescent="0.3">
      <c r="A132" s="256">
        <v>2</v>
      </c>
      <c r="B132" s="257" t="s">
        <v>442</v>
      </c>
      <c r="C132" s="258">
        <v>47276</v>
      </c>
      <c r="D132" s="258">
        <v>12412</v>
      </c>
      <c r="E132" s="258">
        <f t="shared" si="18"/>
        <v>-34864</v>
      </c>
      <c r="F132" s="259">
        <f t="shared" si="19"/>
        <v>-0.73745663761739577</v>
      </c>
    </row>
    <row r="133" spans="1:6" ht="20.25" customHeight="1" x14ac:dyDescent="0.3">
      <c r="A133" s="256">
        <v>3</v>
      </c>
      <c r="B133" s="257" t="s">
        <v>443</v>
      </c>
      <c r="C133" s="258">
        <v>69495</v>
      </c>
      <c r="D133" s="258">
        <v>37717</v>
      </c>
      <c r="E133" s="258">
        <f t="shared" si="18"/>
        <v>-31778</v>
      </c>
      <c r="F133" s="259">
        <f t="shared" si="19"/>
        <v>-0.45727030721634648</v>
      </c>
    </row>
    <row r="134" spans="1:6" ht="20.25" customHeight="1" x14ac:dyDescent="0.3">
      <c r="A134" s="256">
        <v>4</v>
      </c>
      <c r="B134" s="257" t="s">
        <v>444</v>
      </c>
      <c r="C134" s="258">
        <v>14567</v>
      </c>
      <c r="D134" s="258">
        <v>8610</v>
      </c>
      <c r="E134" s="258">
        <f t="shared" si="18"/>
        <v>-5957</v>
      </c>
      <c r="F134" s="259">
        <f t="shared" si="19"/>
        <v>-0.40893801057184048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2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14</v>
      </c>
      <c r="D136" s="260">
        <v>4</v>
      </c>
      <c r="E136" s="260">
        <f t="shared" si="18"/>
        <v>-10</v>
      </c>
      <c r="F136" s="259">
        <f t="shared" si="19"/>
        <v>-0.7142857142857143</v>
      </c>
    </row>
    <row r="137" spans="1:6" ht="20.25" customHeight="1" x14ac:dyDescent="0.3">
      <c r="A137" s="256">
        <v>7</v>
      </c>
      <c r="B137" s="257" t="s">
        <v>445</v>
      </c>
      <c r="C137" s="260">
        <v>15</v>
      </c>
      <c r="D137" s="260">
        <v>7</v>
      </c>
      <c r="E137" s="260">
        <f t="shared" si="18"/>
        <v>-8</v>
      </c>
      <c r="F137" s="259">
        <f t="shared" si="19"/>
        <v>-0.53333333333333333</v>
      </c>
    </row>
    <row r="138" spans="1:6" ht="20.25" customHeight="1" x14ac:dyDescent="0.3">
      <c r="A138" s="256">
        <v>8</v>
      </c>
      <c r="B138" s="257" t="s">
        <v>446</v>
      </c>
      <c r="C138" s="260">
        <v>8</v>
      </c>
      <c r="D138" s="260">
        <v>5</v>
      </c>
      <c r="E138" s="260">
        <f t="shared" si="18"/>
        <v>-3</v>
      </c>
      <c r="F138" s="259">
        <f t="shared" si="19"/>
        <v>-0.375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2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209421</v>
      </c>
      <c r="D140" s="263">
        <f>+D131+D133</f>
        <v>73360</v>
      </c>
      <c r="E140" s="263">
        <f t="shared" si="18"/>
        <v>-136061</v>
      </c>
      <c r="F140" s="264">
        <f t="shared" si="19"/>
        <v>-0.64970084184489618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61843</v>
      </c>
      <c r="D141" s="263">
        <f>+D132+D134</f>
        <v>21022</v>
      </c>
      <c r="E141" s="263">
        <f t="shared" si="18"/>
        <v>-40821</v>
      </c>
      <c r="F141" s="264">
        <f t="shared" si="19"/>
        <v>-0.66007470530213608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3407625</v>
      </c>
      <c r="D198" s="263">
        <f t="shared" si="28"/>
        <v>3274711</v>
      </c>
      <c r="E198" s="263">
        <f t="shared" ref="E198:E208" si="29">D198-C198</f>
        <v>-132914</v>
      </c>
      <c r="F198" s="273">
        <f t="shared" ref="F198:F208" si="30">IF(C198=0,0,E198/C198)</f>
        <v>-3.9004878764535414E-2</v>
      </c>
    </row>
    <row r="199" spans="1:9" ht="20.25" customHeight="1" x14ac:dyDescent="0.3">
      <c r="A199" s="271"/>
      <c r="B199" s="272" t="s">
        <v>466</v>
      </c>
      <c r="C199" s="263">
        <f t="shared" si="28"/>
        <v>1151329</v>
      </c>
      <c r="D199" s="263">
        <f t="shared" si="28"/>
        <v>1140317</v>
      </c>
      <c r="E199" s="263">
        <f t="shared" si="29"/>
        <v>-11012</v>
      </c>
      <c r="F199" s="273">
        <f t="shared" si="30"/>
        <v>-9.5645988244889169E-3</v>
      </c>
    </row>
    <row r="200" spans="1:9" ht="20.25" customHeight="1" x14ac:dyDescent="0.3">
      <c r="A200" s="271"/>
      <c r="B200" s="272" t="s">
        <v>467</v>
      </c>
      <c r="C200" s="263">
        <f t="shared" si="28"/>
        <v>5670876</v>
      </c>
      <c r="D200" s="263">
        <f t="shared" si="28"/>
        <v>6329206</v>
      </c>
      <c r="E200" s="263">
        <f t="shared" si="29"/>
        <v>658330</v>
      </c>
      <c r="F200" s="273">
        <f t="shared" si="30"/>
        <v>0.11608964823071427</v>
      </c>
    </row>
    <row r="201" spans="1:9" ht="20.25" customHeight="1" x14ac:dyDescent="0.3">
      <c r="A201" s="271"/>
      <c r="B201" s="272" t="s">
        <v>468</v>
      </c>
      <c r="C201" s="263">
        <f t="shared" si="28"/>
        <v>1188714</v>
      </c>
      <c r="D201" s="263">
        <f t="shared" si="28"/>
        <v>1444852</v>
      </c>
      <c r="E201" s="263">
        <f t="shared" si="29"/>
        <v>256138</v>
      </c>
      <c r="F201" s="273">
        <f t="shared" si="30"/>
        <v>0.21547487452827174</v>
      </c>
    </row>
    <row r="202" spans="1:9" ht="20.25" customHeight="1" x14ac:dyDescent="0.3">
      <c r="A202" s="271"/>
      <c r="B202" s="272" t="s">
        <v>138</v>
      </c>
      <c r="C202" s="274">
        <f t="shared" si="28"/>
        <v>102</v>
      </c>
      <c r="D202" s="274">
        <f t="shared" si="28"/>
        <v>125</v>
      </c>
      <c r="E202" s="274">
        <f t="shared" si="29"/>
        <v>23</v>
      </c>
      <c r="F202" s="273">
        <f t="shared" si="30"/>
        <v>0.22549019607843138</v>
      </c>
    </row>
    <row r="203" spans="1:9" ht="20.25" customHeight="1" x14ac:dyDescent="0.3">
      <c r="A203" s="271"/>
      <c r="B203" s="272" t="s">
        <v>140</v>
      </c>
      <c r="C203" s="274">
        <f t="shared" si="28"/>
        <v>432</v>
      </c>
      <c r="D203" s="274">
        <f t="shared" si="28"/>
        <v>524</v>
      </c>
      <c r="E203" s="274">
        <f t="shared" si="29"/>
        <v>92</v>
      </c>
      <c r="F203" s="273">
        <f t="shared" si="30"/>
        <v>0.21296296296296297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2307</v>
      </c>
      <c r="D204" s="274">
        <f t="shared" si="28"/>
        <v>1709</v>
      </c>
      <c r="E204" s="274">
        <f t="shared" si="29"/>
        <v>-598</v>
      </c>
      <c r="F204" s="273">
        <f t="shared" si="30"/>
        <v>-0.25921109666233205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278</v>
      </c>
      <c r="D205" s="274">
        <f t="shared" si="28"/>
        <v>382</v>
      </c>
      <c r="E205" s="274">
        <f t="shared" si="29"/>
        <v>104</v>
      </c>
      <c r="F205" s="273">
        <f t="shared" si="30"/>
        <v>0.37410071942446044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78</v>
      </c>
      <c r="D206" s="274">
        <f t="shared" si="28"/>
        <v>107</v>
      </c>
      <c r="E206" s="274">
        <f t="shared" si="29"/>
        <v>29</v>
      </c>
      <c r="F206" s="273">
        <f t="shared" si="30"/>
        <v>0.37179487179487181</v>
      </c>
    </row>
    <row r="207" spans="1:9" ht="20.25" customHeight="1" x14ac:dyDescent="0.3">
      <c r="A207" s="271"/>
      <c r="B207" s="262" t="s">
        <v>471</v>
      </c>
      <c r="C207" s="263">
        <f>+C198+C200</f>
        <v>9078501</v>
      </c>
      <c r="D207" s="263">
        <f>+D198+D200</f>
        <v>9603917</v>
      </c>
      <c r="E207" s="263">
        <f t="shared" si="29"/>
        <v>525416</v>
      </c>
      <c r="F207" s="273">
        <f t="shared" si="30"/>
        <v>5.7874752671173355E-2</v>
      </c>
    </row>
    <row r="208" spans="1:9" ht="20.25" customHeight="1" x14ac:dyDescent="0.3">
      <c r="A208" s="271"/>
      <c r="B208" s="262" t="s">
        <v>472</v>
      </c>
      <c r="C208" s="263">
        <f>+C199+C201</f>
        <v>2340043</v>
      </c>
      <c r="D208" s="263">
        <f>+D199+D201</f>
        <v>2585169</v>
      </c>
      <c r="E208" s="263">
        <f t="shared" si="29"/>
        <v>245126</v>
      </c>
      <c r="F208" s="273">
        <f t="shared" si="30"/>
        <v>0.10475277591052815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140507</v>
      </c>
      <c r="D26" s="258">
        <v>0</v>
      </c>
      <c r="E26" s="258">
        <f t="shared" ref="E26:E36" si="2">D26-C26</f>
        <v>-140507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53200</v>
      </c>
      <c r="D27" s="258">
        <v>0</v>
      </c>
      <c r="E27" s="258">
        <f t="shared" si="2"/>
        <v>-53200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793624</v>
      </c>
      <c r="D28" s="258">
        <v>0</v>
      </c>
      <c r="E28" s="258">
        <f t="shared" si="2"/>
        <v>-793624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189239</v>
      </c>
      <c r="D29" s="258">
        <v>0</v>
      </c>
      <c r="E29" s="258">
        <f t="shared" si="2"/>
        <v>-189239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8</v>
      </c>
      <c r="D30" s="260">
        <v>0</v>
      </c>
      <c r="E30" s="260">
        <f t="shared" si="2"/>
        <v>-8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26</v>
      </c>
      <c r="D31" s="260">
        <v>0</v>
      </c>
      <c r="E31" s="260">
        <f t="shared" si="2"/>
        <v>-26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580</v>
      </c>
      <c r="D32" s="260">
        <v>0</v>
      </c>
      <c r="E32" s="260">
        <f t="shared" si="2"/>
        <v>-580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308</v>
      </c>
      <c r="D33" s="260">
        <v>0</v>
      </c>
      <c r="E33" s="260">
        <f t="shared" si="2"/>
        <v>-308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3</v>
      </c>
      <c r="D34" s="260">
        <v>0</v>
      </c>
      <c r="E34" s="260">
        <f t="shared" si="2"/>
        <v>-3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934131</v>
      </c>
      <c r="D35" s="263">
        <f>+D26+D28</f>
        <v>0</v>
      </c>
      <c r="E35" s="263">
        <f t="shared" si="2"/>
        <v>-934131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242439</v>
      </c>
      <c r="D36" s="263">
        <f>+D27+D29</f>
        <v>0</v>
      </c>
      <c r="E36" s="263">
        <f t="shared" si="2"/>
        <v>-242439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63035</v>
      </c>
      <c r="D86" s="258">
        <v>0</v>
      </c>
      <c r="E86" s="258">
        <f t="shared" ref="E86:E96" si="12">D86-C86</f>
        <v>-63035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23867</v>
      </c>
      <c r="D87" s="258">
        <v>0</v>
      </c>
      <c r="E87" s="258">
        <f t="shared" si="12"/>
        <v>-23867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145871</v>
      </c>
      <c r="D88" s="258">
        <v>0</v>
      </c>
      <c r="E88" s="258">
        <f t="shared" si="12"/>
        <v>-145871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34783</v>
      </c>
      <c r="D89" s="258">
        <v>0</v>
      </c>
      <c r="E89" s="258">
        <f t="shared" si="12"/>
        <v>-34783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7</v>
      </c>
      <c r="D90" s="260">
        <v>0</v>
      </c>
      <c r="E90" s="260">
        <f t="shared" si="12"/>
        <v>-7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16</v>
      </c>
      <c r="D91" s="260">
        <v>0</v>
      </c>
      <c r="E91" s="260">
        <f t="shared" si="12"/>
        <v>-16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73</v>
      </c>
      <c r="D92" s="260">
        <v>0</v>
      </c>
      <c r="E92" s="260">
        <f t="shared" si="12"/>
        <v>-73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57</v>
      </c>
      <c r="D93" s="260">
        <v>0</v>
      </c>
      <c r="E93" s="260">
        <f t="shared" si="12"/>
        <v>-57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</v>
      </c>
      <c r="D94" s="260">
        <v>0</v>
      </c>
      <c r="E94" s="260">
        <f t="shared" si="12"/>
        <v>-1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208906</v>
      </c>
      <c r="D95" s="263">
        <f>+D86+D88</f>
        <v>0</v>
      </c>
      <c r="E95" s="263">
        <f t="shared" si="12"/>
        <v>-208906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58650</v>
      </c>
      <c r="D96" s="263">
        <f>+D87+D89</f>
        <v>0</v>
      </c>
      <c r="E96" s="263">
        <f t="shared" si="12"/>
        <v>-58650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176789</v>
      </c>
      <c r="D98" s="258">
        <v>0</v>
      </c>
      <c r="E98" s="258">
        <f t="shared" ref="E98:E108" si="14">D98-C98</f>
        <v>-176789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66938</v>
      </c>
      <c r="D99" s="258">
        <v>0</v>
      </c>
      <c r="E99" s="258">
        <f t="shared" si="14"/>
        <v>-66938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522700</v>
      </c>
      <c r="D100" s="258">
        <v>0</v>
      </c>
      <c r="E100" s="258">
        <f t="shared" si="14"/>
        <v>-522700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124638</v>
      </c>
      <c r="D101" s="258">
        <v>0</v>
      </c>
      <c r="E101" s="258">
        <f t="shared" si="14"/>
        <v>-124638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14</v>
      </c>
      <c r="D102" s="260">
        <v>0</v>
      </c>
      <c r="E102" s="260">
        <f t="shared" si="14"/>
        <v>-14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36</v>
      </c>
      <c r="D103" s="260">
        <v>0</v>
      </c>
      <c r="E103" s="260">
        <f t="shared" si="14"/>
        <v>-36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273</v>
      </c>
      <c r="D104" s="260">
        <v>0</v>
      </c>
      <c r="E104" s="260">
        <f t="shared" si="14"/>
        <v>-273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165</v>
      </c>
      <c r="D105" s="260">
        <v>0</v>
      </c>
      <c r="E105" s="260">
        <f t="shared" si="14"/>
        <v>-165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3</v>
      </c>
      <c r="D106" s="260">
        <v>0</v>
      </c>
      <c r="E106" s="260">
        <f t="shared" si="14"/>
        <v>-3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699489</v>
      </c>
      <c r="D107" s="263">
        <f>+D98+D100</f>
        <v>0</v>
      </c>
      <c r="E107" s="263">
        <f t="shared" si="14"/>
        <v>-699489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191576</v>
      </c>
      <c r="D108" s="263">
        <f>+D99+D101</f>
        <v>0</v>
      </c>
      <c r="E108" s="263">
        <f t="shared" si="14"/>
        <v>-191576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380331</v>
      </c>
      <c r="D112" s="263">
        <f t="shared" si="16"/>
        <v>0</v>
      </c>
      <c r="E112" s="263">
        <f t="shared" ref="E112:E122" si="17">D112-C112</f>
        <v>-380331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144005</v>
      </c>
      <c r="D113" s="263">
        <f t="shared" si="16"/>
        <v>0</v>
      </c>
      <c r="E113" s="263">
        <f t="shared" si="17"/>
        <v>-144005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1462195</v>
      </c>
      <c r="D114" s="263">
        <f t="shared" si="16"/>
        <v>0</v>
      </c>
      <c r="E114" s="263">
        <f t="shared" si="17"/>
        <v>-1462195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348660</v>
      </c>
      <c r="D115" s="263">
        <f t="shared" si="16"/>
        <v>0</v>
      </c>
      <c r="E115" s="263">
        <f t="shared" si="17"/>
        <v>-348660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29</v>
      </c>
      <c r="D116" s="287">
        <f t="shared" si="16"/>
        <v>0</v>
      </c>
      <c r="E116" s="287">
        <f t="shared" si="17"/>
        <v>-29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78</v>
      </c>
      <c r="D117" s="287">
        <f t="shared" si="16"/>
        <v>0</v>
      </c>
      <c r="E117" s="287">
        <f t="shared" si="17"/>
        <v>-78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926</v>
      </c>
      <c r="D118" s="287">
        <f t="shared" si="16"/>
        <v>0</v>
      </c>
      <c r="E118" s="287">
        <f t="shared" si="17"/>
        <v>-926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530</v>
      </c>
      <c r="D119" s="287">
        <f t="shared" si="16"/>
        <v>0</v>
      </c>
      <c r="E119" s="287">
        <f t="shared" si="17"/>
        <v>-530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7</v>
      </c>
      <c r="D120" s="287">
        <f t="shared" si="16"/>
        <v>0</v>
      </c>
      <c r="E120" s="287">
        <f t="shared" si="17"/>
        <v>-7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1842526</v>
      </c>
      <c r="D121" s="263">
        <f>+D112+D114</f>
        <v>0</v>
      </c>
      <c r="E121" s="263">
        <f t="shared" si="17"/>
        <v>-1842526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492665</v>
      </c>
      <c r="D122" s="263">
        <f>+D113+D115</f>
        <v>0</v>
      </c>
      <c r="E122" s="263">
        <f t="shared" si="17"/>
        <v>-492665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74083960</v>
      </c>
      <c r="D13" s="22">
        <v>71777507</v>
      </c>
      <c r="E13" s="22">
        <f t="shared" ref="E13:E22" si="0">D13-C13</f>
        <v>-2306453</v>
      </c>
      <c r="F13" s="306">
        <f t="shared" ref="F13:F22" si="1">IF(C13=0,0,E13/C13)</f>
        <v>-3.1132960495092326E-2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79495132</v>
      </c>
      <c r="D15" s="22">
        <v>76374995</v>
      </c>
      <c r="E15" s="22">
        <f t="shared" si="0"/>
        <v>-3120137</v>
      </c>
      <c r="F15" s="306">
        <f t="shared" si="1"/>
        <v>-3.924940963680644E-2</v>
      </c>
    </row>
    <row r="16" spans="1:8" ht="35.1" customHeight="1" x14ac:dyDescent="0.2">
      <c r="A16" s="304">
        <v>4</v>
      </c>
      <c r="B16" s="305" t="s">
        <v>19</v>
      </c>
      <c r="C16" s="22">
        <v>2100896</v>
      </c>
      <c r="D16" s="22">
        <v>6189827</v>
      </c>
      <c r="E16" s="22">
        <f t="shared" si="0"/>
        <v>4088931</v>
      </c>
      <c r="F16" s="306">
        <f t="shared" si="1"/>
        <v>1.9462795873760528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11357589</v>
      </c>
      <c r="D19" s="22">
        <v>11258609</v>
      </c>
      <c r="E19" s="22">
        <f t="shared" si="0"/>
        <v>-98980</v>
      </c>
      <c r="F19" s="306">
        <f t="shared" si="1"/>
        <v>-8.7148777790779369E-3</v>
      </c>
    </row>
    <row r="20" spans="1:11" ht="24" customHeight="1" x14ac:dyDescent="0.2">
      <c r="A20" s="304">
        <v>8</v>
      </c>
      <c r="B20" s="305" t="s">
        <v>23</v>
      </c>
      <c r="C20" s="22">
        <v>17443644</v>
      </c>
      <c r="D20" s="22">
        <v>15085296</v>
      </c>
      <c r="E20" s="22">
        <f t="shared" si="0"/>
        <v>-2358348</v>
      </c>
      <c r="F20" s="306">
        <f t="shared" si="1"/>
        <v>-0.13519812718030705</v>
      </c>
    </row>
    <row r="21" spans="1:11" ht="24" customHeight="1" x14ac:dyDescent="0.2">
      <c r="A21" s="304">
        <v>9</v>
      </c>
      <c r="B21" s="305" t="s">
        <v>24</v>
      </c>
      <c r="C21" s="22">
        <v>3008962</v>
      </c>
      <c r="D21" s="22">
        <v>13627769</v>
      </c>
      <c r="E21" s="22">
        <f t="shared" si="0"/>
        <v>10618807</v>
      </c>
      <c r="F21" s="306">
        <f t="shared" si="1"/>
        <v>3.529059855192588</v>
      </c>
    </row>
    <row r="22" spans="1:11" ht="24" customHeight="1" x14ac:dyDescent="0.25">
      <c r="A22" s="307"/>
      <c r="B22" s="308" t="s">
        <v>25</v>
      </c>
      <c r="C22" s="309">
        <f>SUM(C13:C21)</f>
        <v>187490183</v>
      </c>
      <c r="D22" s="309">
        <f>SUM(D13:D21)</f>
        <v>194314003</v>
      </c>
      <c r="E22" s="309">
        <f t="shared" si="0"/>
        <v>6823820</v>
      </c>
      <c r="F22" s="310">
        <f t="shared" si="1"/>
        <v>3.6395612243868787E-2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7262631</v>
      </c>
      <c r="D25" s="22">
        <v>7593627</v>
      </c>
      <c r="E25" s="22">
        <f>D25-C25</f>
        <v>330996</v>
      </c>
      <c r="F25" s="306">
        <f>IF(C25=0,0,E25/C25)</f>
        <v>4.5575219228403588E-2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157837082</v>
      </c>
      <c r="D28" s="22">
        <v>102677901</v>
      </c>
      <c r="E28" s="22">
        <f>D28-C28</f>
        <v>-55159181</v>
      </c>
      <c r="F28" s="306">
        <f>IF(C28=0,0,E28/C28)</f>
        <v>-0.349469087372003</v>
      </c>
    </row>
    <row r="29" spans="1:11" ht="35.1" customHeight="1" x14ac:dyDescent="0.25">
      <c r="A29" s="307"/>
      <c r="B29" s="308" t="s">
        <v>32</v>
      </c>
      <c r="C29" s="309">
        <f>SUM(C25:C28)</f>
        <v>165099713</v>
      </c>
      <c r="D29" s="309">
        <f>SUM(D25:D28)</f>
        <v>110271528</v>
      </c>
      <c r="E29" s="309">
        <f>D29-C29</f>
        <v>-54828185</v>
      </c>
      <c r="F29" s="310">
        <f>IF(C29=0,0,E29/C29)</f>
        <v>-0.33209134046162758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245357292</v>
      </c>
      <c r="D32" s="22">
        <v>269214330</v>
      </c>
      <c r="E32" s="22">
        <f>D32-C32</f>
        <v>23857038</v>
      </c>
      <c r="F32" s="306">
        <f>IF(C32=0,0,E32/C32)</f>
        <v>9.7233865786226559E-2</v>
      </c>
    </row>
    <row r="33" spans="1:8" ht="24" customHeight="1" x14ac:dyDescent="0.2">
      <c r="A33" s="304">
        <v>7</v>
      </c>
      <c r="B33" s="305" t="s">
        <v>35</v>
      </c>
      <c r="C33" s="22">
        <v>28601760</v>
      </c>
      <c r="D33" s="22">
        <v>49578607</v>
      </c>
      <c r="E33" s="22">
        <f>D33-C33</f>
        <v>20976847</v>
      </c>
      <c r="F33" s="306">
        <f>IF(C33=0,0,E33/C33)</f>
        <v>0.73341105582313815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663576198</v>
      </c>
      <c r="D36" s="22">
        <v>647668638</v>
      </c>
      <c r="E36" s="22">
        <f>D36-C36</f>
        <v>-15907560</v>
      </c>
      <c r="F36" s="306">
        <f>IF(C36=0,0,E36/C36)</f>
        <v>-2.3972469247608548E-2</v>
      </c>
    </row>
    <row r="37" spans="1:8" ht="24" customHeight="1" x14ac:dyDescent="0.2">
      <c r="A37" s="304">
        <v>2</v>
      </c>
      <c r="B37" s="305" t="s">
        <v>39</v>
      </c>
      <c r="C37" s="22">
        <v>417555078</v>
      </c>
      <c r="D37" s="22">
        <v>408828028</v>
      </c>
      <c r="E37" s="22">
        <f>D37-C37</f>
        <v>-8727050</v>
      </c>
      <c r="F37" s="22">
        <f>IF(C37=0,0,E37/C37)</f>
        <v>-2.0900356527336975E-2</v>
      </c>
    </row>
    <row r="38" spans="1:8" ht="24" customHeight="1" x14ac:dyDescent="0.25">
      <c r="A38" s="307"/>
      <c r="B38" s="308" t="s">
        <v>40</v>
      </c>
      <c r="C38" s="309">
        <f>C36-C37</f>
        <v>246021120</v>
      </c>
      <c r="D38" s="309">
        <f>D36-D37</f>
        <v>238840610</v>
      </c>
      <c r="E38" s="309">
        <f>D38-C38</f>
        <v>-7180510</v>
      </c>
      <c r="F38" s="310">
        <f>IF(C38=0,0,E38/C38)</f>
        <v>-2.9186559267757175E-2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39399365</v>
      </c>
      <c r="D40" s="22">
        <v>110954585</v>
      </c>
      <c r="E40" s="22">
        <f>D40-C40</f>
        <v>71555220</v>
      </c>
      <c r="F40" s="306">
        <f>IF(C40=0,0,E40/C40)</f>
        <v>1.8161516054890732</v>
      </c>
    </row>
    <row r="41" spans="1:8" ht="24" customHeight="1" x14ac:dyDescent="0.25">
      <c r="A41" s="307"/>
      <c r="B41" s="308" t="s">
        <v>42</v>
      </c>
      <c r="C41" s="309">
        <f>+C38+C40</f>
        <v>285420485</v>
      </c>
      <c r="D41" s="309">
        <f>+D38+D40</f>
        <v>349795195</v>
      </c>
      <c r="E41" s="309">
        <f>D41-C41</f>
        <v>64374710</v>
      </c>
      <c r="F41" s="310">
        <f>IF(C41=0,0,E41/C41)</f>
        <v>0.22554341185426827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911969433</v>
      </c>
      <c r="D43" s="309">
        <f>D22+D29+D31+D32+D33+D41</f>
        <v>973173663</v>
      </c>
      <c r="E43" s="309">
        <f>D43-C43</f>
        <v>61204230</v>
      </c>
      <c r="F43" s="310">
        <f>IF(C43=0,0,E43/C43)</f>
        <v>6.7112150676655408E-2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34549615</v>
      </c>
      <c r="D49" s="22">
        <v>41394472</v>
      </c>
      <c r="E49" s="22">
        <f t="shared" ref="E49:E56" si="2">D49-C49</f>
        <v>6844857</v>
      </c>
      <c r="F49" s="306">
        <f t="shared" ref="F49:F56" si="3">IF(C49=0,0,E49/C49)</f>
        <v>0.19811673733556801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33802144</v>
      </c>
      <c r="D50" s="22">
        <v>44842213</v>
      </c>
      <c r="E50" s="22">
        <f t="shared" si="2"/>
        <v>11040069</v>
      </c>
      <c r="F50" s="306">
        <f t="shared" si="3"/>
        <v>0.32660854293739472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12492073</v>
      </c>
      <c r="D51" s="22">
        <v>10798195</v>
      </c>
      <c r="E51" s="22">
        <f t="shared" si="2"/>
        <v>-1693878</v>
      </c>
      <c r="F51" s="306">
        <f t="shared" si="3"/>
        <v>-0.13559622970502974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2050090</v>
      </c>
      <c r="D53" s="22">
        <v>2880000</v>
      </c>
      <c r="E53" s="22">
        <f t="shared" si="2"/>
        <v>829910</v>
      </c>
      <c r="F53" s="306">
        <f t="shared" si="3"/>
        <v>0.40481637391529152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82893922</v>
      </c>
      <c r="D56" s="309">
        <f>SUM(D49:D55)</f>
        <v>99914880</v>
      </c>
      <c r="E56" s="309">
        <f t="shared" si="2"/>
        <v>17020958</v>
      </c>
      <c r="F56" s="310">
        <f t="shared" si="3"/>
        <v>0.20533421014872477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250593765</v>
      </c>
      <c r="D60" s="22">
        <v>246700000</v>
      </c>
      <c r="E60" s="22">
        <f>D60-C60</f>
        <v>-3893765</v>
      </c>
      <c r="F60" s="306">
        <f>IF(C60=0,0,E60/C60)</f>
        <v>-1.553815594733572E-2</v>
      </c>
    </row>
    <row r="61" spans="1:6" ht="24" customHeight="1" x14ac:dyDescent="0.25">
      <c r="A61" s="307"/>
      <c r="B61" s="308" t="s">
        <v>58</v>
      </c>
      <c r="C61" s="309">
        <f>SUM(C59:C60)</f>
        <v>250593765</v>
      </c>
      <c r="D61" s="309">
        <f>SUM(D59:D60)</f>
        <v>246700000</v>
      </c>
      <c r="E61" s="309">
        <f>D61-C61</f>
        <v>-3893765</v>
      </c>
      <c r="F61" s="310">
        <f>IF(C61=0,0,E61/C61)</f>
        <v>-1.553815594733572E-2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42317667</v>
      </c>
      <c r="D63" s="22">
        <v>46380935</v>
      </c>
      <c r="E63" s="22">
        <f>D63-C63</f>
        <v>4063268</v>
      </c>
      <c r="F63" s="306">
        <f>IF(C63=0,0,E63/C63)</f>
        <v>9.6018242215479416E-2</v>
      </c>
    </row>
    <row r="64" spans="1:6" ht="24" customHeight="1" x14ac:dyDescent="0.2">
      <c r="A64" s="304">
        <v>4</v>
      </c>
      <c r="B64" s="305" t="s">
        <v>60</v>
      </c>
      <c r="C64" s="22">
        <v>192289498</v>
      </c>
      <c r="D64" s="22">
        <v>79978708</v>
      </c>
      <c r="E64" s="22">
        <f>D64-C64</f>
        <v>-112310790</v>
      </c>
      <c r="F64" s="306">
        <f>IF(C64=0,0,E64/C64)</f>
        <v>-0.58407136722568176</v>
      </c>
    </row>
    <row r="65" spans="1:6" ht="24" customHeight="1" x14ac:dyDescent="0.25">
      <c r="A65" s="307"/>
      <c r="B65" s="308" t="s">
        <v>61</v>
      </c>
      <c r="C65" s="309">
        <f>SUM(C61:C64)</f>
        <v>485200930</v>
      </c>
      <c r="D65" s="309">
        <f>SUM(D61:D64)</f>
        <v>373059643</v>
      </c>
      <c r="E65" s="309">
        <f>D65-C65</f>
        <v>-112141287</v>
      </c>
      <c r="F65" s="310">
        <f>IF(C65=0,0,E65/C65)</f>
        <v>-0.23112339665136256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277089185</v>
      </c>
      <c r="D70" s="22">
        <v>404480146</v>
      </c>
      <c r="E70" s="22">
        <f>D70-C70</f>
        <v>127390961</v>
      </c>
      <c r="F70" s="306">
        <f>IF(C70=0,0,E70/C70)</f>
        <v>0.45974714242275461</v>
      </c>
    </row>
    <row r="71" spans="1:6" ht="24" customHeight="1" x14ac:dyDescent="0.2">
      <c r="A71" s="304">
        <v>2</v>
      </c>
      <c r="B71" s="305" t="s">
        <v>65</v>
      </c>
      <c r="C71" s="22">
        <v>33826104</v>
      </c>
      <c r="D71" s="22">
        <v>62336151</v>
      </c>
      <c r="E71" s="22">
        <f>D71-C71</f>
        <v>28510047</v>
      </c>
      <c r="F71" s="306">
        <f>IF(C71=0,0,E71/C71)</f>
        <v>0.84284158175591251</v>
      </c>
    </row>
    <row r="72" spans="1:6" ht="24" customHeight="1" x14ac:dyDescent="0.2">
      <c r="A72" s="304">
        <v>3</v>
      </c>
      <c r="B72" s="305" t="s">
        <v>66</v>
      </c>
      <c r="C72" s="22">
        <v>32959292</v>
      </c>
      <c r="D72" s="22">
        <v>33382843</v>
      </c>
      <c r="E72" s="22">
        <f>D72-C72</f>
        <v>423551</v>
      </c>
      <c r="F72" s="306">
        <f>IF(C72=0,0,E72/C72)</f>
        <v>1.2850731138278091E-2</v>
      </c>
    </row>
    <row r="73" spans="1:6" ht="24" customHeight="1" x14ac:dyDescent="0.25">
      <c r="A73" s="304"/>
      <c r="B73" s="308" t="s">
        <v>67</v>
      </c>
      <c r="C73" s="309">
        <f>SUM(C70:C72)</f>
        <v>343874581</v>
      </c>
      <c r="D73" s="309">
        <f>SUM(D70:D72)</f>
        <v>500199140</v>
      </c>
      <c r="E73" s="309">
        <f>D73-C73</f>
        <v>156324559</v>
      </c>
      <c r="F73" s="310">
        <f>IF(C73=0,0,E73/C73)</f>
        <v>0.45459759934974664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911969433</v>
      </c>
      <c r="D75" s="309">
        <f>D56+D65+D67+D73</f>
        <v>973173663</v>
      </c>
      <c r="E75" s="309">
        <f>D75-C75</f>
        <v>61204230</v>
      </c>
      <c r="F75" s="310">
        <f>IF(C75=0,0,E75/C75)</f>
        <v>6.7112150676655408E-2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1649794278</v>
      </c>
      <c r="D11" s="76">
        <v>1675013713</v>
      </c>
      <c r="E11" s="76">
        <f t="shared" ref="E11:E20" si="0">D11-C11</f>
        <v>25219435</v>
      </c>
      <c r="F11" s="77">
        <f t="shared" ref="F11:F20" si="1">IF(C11=0,0,E11/C11)</f>
        <v>1.5286411970450536E-2</v>
      </c>
    </row>
    <row r="12" spans="1:7" ht="23.1" customHeight="1" x14ac:dyDescent="0.2">
      <c r="A12" s="74">
        <v>2</v>
      </c>
      <c r="B12" s="75" t="s">
        <v>72</v>
      </c>
      <c r="C12" s="76">
        <v>895739602</v>
      </c>
      <c r="D12" s="76">
        <v>943746574</v>
      </c>
      <c r="E12" s="76">
        <f t="shared" si="0"/>
        <v>48006972</v>
      </c>
      <c r="F12" s="77">
        <f t="shared" si="1"/>
        <v>5.359478568638746E-2</v>
      </c>
    </row>
    <row r="13" spans="1:7" ht="23.1" customHeight="1" x14ac:dyDescent="0.2">
      <c r="A13" s="74">
        <v>3</v>
      </c>
      <c r="B13" s="75" t="s">
        <v>73</v>
      </c>
      <c r="C13" s="76">
        <v>17133307</v>
      </c>
      <c r="D13" s="76">
        <v>15612154</v>
      </c>
      <c r="E13" s="76">
        <f t="shared" si="0"/>
        <v>-1521153</v>
      </c>
      <c r="F13" s="77">
        <f t="shared" si="1"/>
        <v>-8.8783385484191693E-2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736921369</v>
      </c>
      <c r="D15" s="79">
        <f>D11-D12-D13-D14</f>
        <v>715654985</v>
      </c>
      <c r="E15" s="79">
        <f t="shared" si="0"/>
        <v>-21266384</v>
      </c>
      <c r="F15" s="80">
        <f t="shared" si="1"/>
        <v>-2.885841677906344E-2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22024123</v>
      </c>
      <c r="E16" s="76">
        <f t="shared" si="0"/>
        <v>22024123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736921369</v>
      </c>
      <c r="D17" s="79">
        <f>D15-D16</f>
        <v>693630862</v>
      </c>
      <c r="E17" s="79">
        <f t="shared" si="0"/>
        <v>-43290507</v>
      </c>
      <c r="F17" s="80">
        <f t="shared" si="1"/>
        <v>-5.8745083018484162E-2</v>
      </c>
    </row>
    <row r="18" spans="1:7" ht="23.1" customHeight="1" x14ac:dyDescent="0.2">
      <c r="A18" s="74">
        <v>6</v>
      </c>
      <c r="B18" s="75" t="s">
        <v>78</v>
      </c>
      <c r="C18" s="76">
        <v>26582697</v>
      </c>
      <c r="D18" s="76">
        <v>13364145</v>
      </c>
      <c r="E18" s="76">
        <f t="shared" si="0"/>
        <v>-13218552</v>
      </c>
      <c r="F18" s="77">
        <f t="shared" si="1"/>
        <v>-0.49726150811559866</v>
      </c>
      <c r="G18" s="65"/>
    </row>
    <row r="19" spans="1:7" ht="33" customHeight="1" x14ac:dyDescent="0.2">
      <c r="A19" s="74">
        <v>7</v>
      </c>
      <c r="B19" s="82" t="s">
        <v>79</v>
      </c>
      <c r="C19" s="76">
        <v>3324588</v>
      </c>
      <c r="D19" s="76">
        <v>5514055</v>
      </c>
      <c r="E19" s="76">
        <f t="shared" si="0"/>
        <v>2189467</v>
      </c>
      <c r="F19" s="77">
        <f t="shared" si="1"/>
        <v>0.65856791879174204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766828654</v>
      </c>
      <c r="D20" s="79">
        <f>SUM(D17:D19)</f>
        <v>712509062</v>
      </c>
      <c r="E20" s="79">
        <f t="shared" si="0"/>
        <v>-54319592</v>
      </c>
      <c r="F20" s="80">
        <f t="shared" si="1"/>
        <v>-7.0836674812102152E-2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351374481</v>
      </c>
      <c r="D23" s="76">
        <v>347618831</v>
      </c>
      <c r="E23" s="76">
        <f t="shared" ref="E23:E32" si="2">D23-C23</f>
        <v>-3755650</v>
      </c>
      <c r="F23" s="77">
        <f t="shared" ref="F23:F32" si="3">IF(C23=0,0,E23/C23)</f>
        <v>-1.0688454065621231E-2</v>
      </c>
    </row>
    <row r="24" spans="1:7" ht="23.1" customHeight="1" x14ac:dyDescent="0.2">
      <c r="A24" s="74">
        <v>2</v>
      </c>
      <c r="B24" s="75" t="s">
        <v>83</v>
      </c>
      <c r="C24" s="76">
        <v>105429884</v>
      </c>
      <c r="D24" s="76">
        <v>81025978</v>
      </c>
      <c r="E24" s="76">
        <f t="shared" si="2"/>
        <v>-24403906</v>
      </c>
      <c r="F24" s="77">
        <f t="shared" si="3"/>
        <v>-0.23147048136750298</v>
      </c>
    </row>
    <row r="25" spans="1:7" ht="23.1" customHeight="1" x14ac:dyDescent="0.2">
      <c r="A25" s="74">
        <v>3</v>
      </c>
      <c r="B25" s="75" t="s">
        <v>84</v>
      </c>
      <c r="C25" s="76">
        <v>6170979</v>
      </c>
      <c r="D25" s="76">
        <v>6963831</v>
      </c>
      <c r="E25" s="76">
        <f t="shared" si="2"/>
        <v>792852</v>
      </c>
      <c r="F25" s="77">
        <f t="shared" si="3"/>
        <v>0.12848074835451556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192464356</v>
      </c>
      <c r="D26" s="76">
        <v>183503640</v>
      </c>
      <c r="E26" s="76">
        <f t="shared" si="2"/>
        <v>-8960716</v>
      </c>
      <c r="F26" s="77">
        <f t="shared" si="3"/>
        <v>-4.6557794836567037E-2</v>
      </c>
    </row>
    <row r="27" spans="1:7" ht="23.1" customHeight="1" x14ac:dyDescent="0.2">
      <c r="A27" s="74">
        <v>5</v>
      </c>
      <c r="B27" s="75" t="s">
        <v>86</v>
      </c>
      <c r="C27" s="76">
        <v>39029252</v>
      </c>
      <c r="D27" s="76">
        <v>37300840</v>
      </c>
      <c r="E27" s="76">
        <f t="shared" si="2"/>
        <v>-1728412</v>
      </c>
      <c r="F27" s="77">
        <f t="shared" si="3"/>
        <v>-4.4285040358959478E-2</v>
      </c>
    </row>
    <row r="28" spans="1:7" ht="23.1" customHeight="1" x14ac:dyDescent="0.2">
      <c r="A28" s="74">
        <v>6</v>
      </c>
      <c r="B28" s="75" t="s">
        <v>87</v>
      </c>
      <c r="C28" s="76">
        <v>24771952</v>
      </c>
      <c r="D28" s="76">
        <v>0</v>
      </c>
      <c r="E28" s="76">
        <f t="shared" si="2"/>
        <v>-24771952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4322562</v>
      </c>
      <c r="D29" s="76">
        <v>4067031</v>
      </c>
      <c r="E29" s="76">
        <f t="shared" si="2"/>
        <v>-255531</v>
      </c>
      <c r="F29" s="77">
        <f t="shared" si="3"/>
        <v>-5.9115635588338586E-2</v>
      </c>
    </row>
    <row r="30" spans="1:7" ht="23.1" customHeight="1" x14ac:dyDescent="0.2">
      <c r="A30" s="74">
        <v>8</v>
      </c>
      <c r="B30" s="75" t="s">
        <v>89</v>
      </c>
      <c r="C30" s="76">
        <v>11680311</v>
      </c>
      <c r="D30" s="76">
        <v>15709626</v>
      </c>
      <c r="E30" s="76">
        <f t="shared" si="2"/>
        <v>4029315</v>
      </c>
      <c r="F30" s="77">
        <f t="shared" si="3"/>
        <v>0.34496641399360001</v>
      </c>
    </row>
    <row r="31" spans="1:7" ht="23.1" customHeight="1" x14ac:dyDescent="0.2">
      <c r="A31" s="74">
        <v>9</v>
      </c>
      <c r="B31" s="75" t="s">
        <v>90</v>
      </c>
      <c r="C31" s="76">
        <v>13721517</v>
      </c>
      <c r="D31" s="76">
        <v>13082673</v>
      </c>
      <c r="E31" s="76">
        <f t="shared" si="2"/>
        <v>-638844</v>
      </c>
      <c r="F31" s="77">
        <f t="shared" si="3"/>
        <v>-4.6557825931345637E-2</v>
      </c>
    </row>
    <row r="32" spans="1:7" ht="23.1" customHeight="1" x14ac:dyDescent="0.25">
      <c r="A32" s="71"/>
      <c r="B32" s="78" t="s">
        <v>91</v>
      </c>
      <c r="C32" s="79">
        <f>SUM(C23:C31)</f>
        <v>748965294</v>
      </c>
      <c r="D32" s="79">
        <f>SUM(D23:D31)</f>
        <v>689272450</v>
      </c>
      <c r="E32" s="79">
        <f t="shared" si="2"/>
        <v>-59692844</v>
      </c>
      <c r="F32" s="80">
        <f t="shared" si="3"/>
        <v>-7.9700413995418051E-2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17863360</v>
      </c>
      <c r="D34" s="79">
        <f>+D20-D32</f>
        <v>23236612</v>
      </c>
      <c r="E34" s="79">
        <f>D34-C34</f>
        <v>5373252</v>
      </c>
      <c r="F34" s="80">
        <f>IF(C34=0,0,E34/C34)</f>
        <v>0.30079738638195724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2445895</v>
      </c>
      <c r="D37" s="76">
        <v>7054057</v>
      </c>
      <c r="E37" s="76">
        <f>D37-C37</f>
        <v>4608162</v>
      </c>
      <c r="F37" s="77">
        <f>IF(C37=0,0,E37/C37)</f>
        <v>1.8840391758436073</v>
      </c>
    </row>
    <row r="38" spans="1:6" ht="23.1" customHeight="1" x14ac:dyDescent="0.2">
      <c r="A38" s="85">
        <v>2</v>
      </c>
      <c r="B38" s="75" t="s">
        <v>95</v>
      </c>
      <c r="C38" s="76">
        <v>1936206</v>
      </c>
      <c r="D38" s="76">
        <v>653873</v>
      </c>
      <c r="E38" s="76">
        <f>D38-C38</f>
        <v>-1282333</v>
      </c>
      <c r="F38" s="77">
        <f>IF(C38=0,0,E38/C38)</f>
        <v>-0.66229161566486205</v>
      </c>
    </row>
    <row r="39" spans="1:6" ht="23.1" customHeight="1" x14ac:dyDescent="0.2">
      <c r="A39" s="85">
        <v>3</v>
      </c>
      <c r="B39" s="75" t="s">
        <v>96</v>
      </c>
      <c r="C39" s="76">
        <v>20266992</v>
      </c>
      <c r="D39" s="76">
        <v>2778053</v>
      </c>
      <c r="E39" s="76">
        <f>D39-C39</f>
        <v>-17488939</v>
      </c>
      <c r="F39" s="77">
        <f>IF(C39=0,0,E39/C39)</f>
        <v>-0.86292721682625617</v>
      </c>
    </row>
    <row r="40" spans="1:6" ht="23.1" customHeight="1" x14ac:dyDescent="0.25">
      <c r="A40" s="83"/>
      <c r="B40" s="78" t="s">
        <v>97</v>
      </c>
      <c r="C40" s="79">
        <f>SUM(C37:C39)</f>
        <v>24649093</v>
      </c>
      <c r="D40" s="79">
        <f>SUM(D37:D39)</f>
        <v>10485983</v>
      </c>
      <c r="E40" s="79">
        <f>D40-C40</f>
        <v>-14163110</v>
      </c>
      <c r="F40" s="80">
        <f>IF(C40=0,0,E40/C40)</f>
        <v>-0.57458949909434798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42512453</v>
      </c>
      <c r="D42" s="79">
        <f>D34+D40</f>
        <v>33722595</v>
      </c>
      <c r="E42" s="79">
        <f>D42-C42</f>
        <v>-8789858</v>
      </c>
      <c r="F42" s="80">
        <f>IF(C42=0,0,E42/C42)</f>
        <v>-0.20675960523849329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42512453</v>
      </c>
      <c r="D49" s="79">
        <f>D42+D47</f>
        <v>33722595</v>
      </c>
      <c r="E49" s="79">
        <f>D49-C49</f>
        <v>-8789858</v>
      </c>
      <c r="F49" s="80">
        <f>IF(C49=0,0,E49/C49)</f>
        <v>-0.20675960523849329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FILING&amp;RNEW MILFORD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2014-10-07T13:10:20Z</cp:lastPrinted>
  <dcterms:created xsi:type="dcterms:W3CDTF">2014-10-06T18:51:17Z</dcterms:created>
  <dcterms:modified xsi:type="dcterms:W3CDTF">2014-10-09T18:42:41Z</dcterms:modified>
</cp:coreProperties>
</file>