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E295" i="14" s="1"/>
  <c r="D294" i="14"/>
  <c r="D250" i="14"/>
  <c r="E250" i="14" s="1"/>
  <c r="D238" i="14"/>
  <c r="D237" i="14"/>
  <c r="D239" i="14" s="1"/>
  <c r="D230" i="14"/>
  <c r="D229" i="14"/>
  <c r="D226" i="14"/>
  <c r="D227" i="14" s="1"/>
  <c r="D223" i="14"/>
  <c r="D204" i="14"/>
  <c r="D269" i="14"/>
  <c r="D203" i="14"/>
  <c r="D198" i="14"/>
  <c r="D191" i="14"/>
  <c r="D280" i="14" s="1"/>
  <c r="D189" i="14"/>
  <c r="D188" i="14"/>
  <c r="D261" i="14" s="1"/>
  <c r="D180" i="14"/>
  <c r="D179" i="14"/>
  <c r="D171" i="14"/>
  <c r="D172" i="14" s="1"/>
  <c r="D170" i="14"/>
  <c r="D165" i="14"/>
  <c r="D164" i="14"/>
  <c r="D158" i="14"/>
  <c r="D155" i="14"/>
  <c r="D145" i="14"/>
  <c r="D144" i="14"/>
  <c r="D136" i="14"/>
  <c r="D135" i="14"/>
  <c r="D130" i="14"/>
  <c r="D129" i="14"/>
  <c r="D123" i="14"/>
  <c r="D120" i="14"/>
  <c r="D110" i="14"/>
  <c r="D109" i="14"/>
  <c r="D101" i="14"/>
  <c r="D102" i="14" s="1"/>
  <c r="D100" i="14"/>
  <c r="D95" i="14"/>
  <c r="D94" i="14"/>
  <c r="D88" i="14"/>
  <c r="D89" i="14" s="1"/>
  <c r="D85" i="14"/>
  <c r="D76" i="14"/>
  <c r="D77" i="14" s="1"/>
  <c r="D67" i="14"/>
  <c r="D66" i="14"/>
  <c r="D68" i="14" s="1"/>
  <c r="D59" i="14"/>
  <c r="D58" i="14"/>
  <c r="D53" i="14"/>
  <c r="D52" i="14"/>
  <c r="D47" i="14"/>
  <c r="D48" i="14" s="1"/>
  <c r="D90" i="14" s="1"/>
  <c r="D44" i="14"/>
  <c r="D36" i="14"/>
  <c r="D35" i="14"/>
  <c r="D30" i="14"/>
  <c r="D31" i="14"/>
  <c r="D32" i="14" s="1"/>
  <c r="D29" i="14"/>
  <c r="D24" i="14"/>
  <c r="D23" i="14"/>
  <c r="D20" i="14"/>
  <c r="D17" i="14"/>
  <c r="E97" i="19"/>
  <c r="D97" i="19"/>
  <c r="C97" i="19"/>
  <c r="E96" i="19"/>
  <c r="D96" i="19"/>
  <c r="C96" i="19"/>
  <c r="E92" i="19"/>
  <c r="D92" i="19"/>
  <c r="C92" i="19"/>
  <c r="E91" i="19"/>
  <c r="D91" i="19"/>
  <c r="D93" i="19" s="1"/>
  <c r="C91" i="19"/>
  <c r="E87" i="19"/>
  <c r="D87" i="19"/>
  <c r="C87" i="19"/>
  <c r="E86" i="19"/>
  <c r="E88" i="19" s="1"/>
  <c r="D86" i="19"/>
  <c r="C86" i="19"/>
  <c r="C88" i="19" s="1"/>
  <c r="E83" i="19"/>
  <c r="E102" i="19" s="1"/>
  <c r="D83" i="19"/>
  <c r="C83" i="19"/>
  <c r="E76" i="19"/>
  <c r="D76" i="19"/>
  <c r="C76" i="19"/>
  <c r="C102" i="19" s="1"/>
  <c r="E75" i="19"/>
  <c r="D75" i="19"/>
  <c r="D77" i="19" s="1"/>
  <c r="C75" i="19"/>
  <c r="C77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34" i="19" s="1"/>
  <c r="D12" i="19"/>
  <c r="D33" i="19" s="1"/>
  <c r="C12" i="19"/>
  <c r="C23" i="19" s="1"/>
  <c r="D21" i="18"/>
  <c r="C21" i="18"/>
  <c r="D19" i="18"/>
  <c r="E19" i="18" s="1"/>
  <c r="F19" i="18" s="1"/>
  <c r="C19" i="18"/>
  <c r="E17" i="18"/>
  <c r="F17" i="18"/>
  <c r="E15" i="18"/>
  <c r="F15" i="18" s="1"/>
  <c r="D45" i="17"/>
  <c r="C45" i="17"/>
  <c r="D44" i="17"/>
  <c r="C44" i="17"/>
  <c r="D43" i="17"/>
  <c r="D46" i="17" s="1"/>
  <c r="C43" i="17"/>
  <c r="D36" i="17"/>
  <c r="D40" i="17" s="1"/>
  <c r="C36" i="17"/>
  <c r="E35" i="17"/>
  <c r="F35" i="17" s="1"/>
  <c r="F34" i="17"/>
  <c r="E34" i="17"/>
  <c r="E33" i="17"/>
  <c r="E30" i="17"/>
  <c r="F30" i="17" s="1"/>
  <c r="E29" i="17"/>
  <c r="F29" i="17" s="1"/>
  <c r="F28" i="17"/>
  <c r="E28" i="17"/>
  <c r="F27" i="17"/>
  <c r="E27" i="17"/>
  <c r="D25" i="17"/>
  <c r="D39" i="17" s="1"/>
  <c r="C25" i="17"/>
  <c r="C39" i="17"/>
  <c r="E24" i="17"/>
  <c r="F24" i="17" s="1"/>
  <c r="E23" i="17"/>
  <c r="F23" i="17" s="1"/>
  <c r="E22" i="17"/>
  <c r="D19" i="17"/>
  <c r="D20" i="17" s="1"/>
  <c r="C19" i="17"/>
  <c r="E18" i="17"/>
  <c r="F18" i="17" s="1"/>
  <c r="D16" i="17"/>
  <c r="C16" i="17"/>
  <c r="E15" i="17"/>
  <c r="F15" i="17" s="1"/>
  <c r="E13" i="17"/>
  <c r="F13" i="17" s="1"/>
  <c r="F12" i="17"/>
  <c r="E12" i="17"/>
  <c r="C115" i="16"/>
  <c r="C105" i="16"/>
  <c r="C137" i="16" s="1"/>
  <c r="C139" i="16" s="1"/>
  <c r="C143" i="16" s="1"/>
  <c r="C96" i="16"/>
  <c r="C95" i="16"/>
  <c r="C89" i="16"/>
  <c r="C88" i="16"/>
  <c r="C83" i="16"/>
  <c r="C77" i="16"/>
  <c r="C78" i="16" s="1"/>
  <c r="C63" i="16"/>
  <c r="C59" i="16"/>
  <c r="C60" i="16"/>
  <c r="C48" i="16"/>
  <c r="C64" i="16"/>
  <c r="C36" i="16"/>
  <c r="C33" i="16"/>
  <c r="C32" i="16"/>
  <c r="C21" i="16"/>
  <c r="C37" i="16" s="1"/>
  <c r="C38" i="16" s="1"/>
  <c r="C127" i="16" s="1"/>
  <c r="C129" i="16" s="1"/>
  <c r="C133" i="16" s="1"/>
  <c r="E328" i="15"/>
  <c r="E325" i="15"/>
  <c r="D324" i="15"/>
  <c r="C324" i="15"/>
  <c r="E318" i="15"/>
  <c r="E315" i="15"/>
  <c r="D314" i="15"/>
  <c r="C314" i="15"/>
  <c r="C316" i="15" s="1"/>
  <c r="C320" i="15" s="1"/>
  <c r="E308" i="15"/>
  <c r="E305" i="15"/>
  <c r="D301" i="15"/>
  <c r="C301" i="15"/>
  <c r="D293" i="15"/>
  <c r="C293" i="15"/>
  <c r="D292" i="15"/>
  <c r="C292" i="15"/>
  <c r="E292" i="15" s="1"/>
  <c r="D291" i="15"/>
  <c r="E291" i="15"/>
  <c r="C291" i="15"/>
  <c r="D290" i="15"/>
  <c r="C290" i="15"/>
  <c r="D288" i="15"/>
  <c r="E288" i="15" s="1"/>
  <c r="C288" i="15"/>
  <c r="D287" i="15"/>
  <c r="C287" i="15"/>
  <c r="D282" i="15"/>
  <c r="E282" i="15" s="1"/>
  <c r="C282" i="15"/>
  <c r="D281" i="15"/>
  <c r="C281" i="15"/>
  <c r="D280" i="15"/>
  <c r="E280" i="15" s="1"/>
  <c r="C280" i="15"/>
  <c r="D279" i="15"/>
  <c r="C279" i="15"/>
  <c r="D278" i="15"/>
  <c r="C278" i="15"/>
  <c r="D277" i="15"/>
  <c r="C277" i="15"/>
  <c r="D276" i="15"/>
  <c r="E276" i="15"/>
  <c r="C276" i="15"/>
  <c r="E270" i="15"/>
  <c r="D265" i="15"/>
  <c r="E265" i="15"/>
  <c r="C265" i="15"/>
  <c r="C302" i="15"/>
  <c r="D262" i="15"/>
  <c r="C262" i="15"/>
  <c r="D251" i="15"/>
  <c r="C251" i="15"/>
  <c r="D240" i="15"/>
  <c r="D233" i="15"/>
  <c r="C233" i="15"/>
  <c r="D232" i="15"/>
  <c r="E232" i="15"/>
  <c r="C232" i="15"/>
  <c r="D231" i="15"/>
  <c r="C231" i="15"/>
  <c r="D230" i="15"/>
  <c r="C230" i="15"/>
  <c r="D228" i="15"/>
  <c r="E228" i="15" s="1"/>
  <c r="C228" i="15"/>
  <c r="D227" i="15"/>
  <c r="E227" i="15" s="1"/>
  <c r="C227" i="15"/>
  <c r="D221" i="15"/>
  <c r="C221" i="15"/>
  <c r="C245" i="15" s="1"/>
  <c r="D220" i="15"/>
  <c r="D244" i="15" s="1"/>
  <c r="C220" i="15"/>
  <c r="C244" i="15" s="1"/>
  <c r="D219" i="15"/>
  <c r="E219" i="15" s="1"/>
  <c r="C219" i="15"/>
  <c r="C243" i="15" s="1"/>
  <c r="D218" i="15"/>
  <c r="D242" i="15" s="1"/>
  <c r="C218" i="15"/>
  <c r="D216" i="15"/>
  <c r="C216" i="15"/>
  <c r="C222" i="15" s="1"/>
  <c r="D215" i="15"/>
  <c r="C215" i="15"/>
  <c r="C239" i="15" s="1"/>
  <c r="E209" i="15"/>
  <c r="E208" i="15"/>
  <c r="E207" i="15"/>
  <c r="E206" i="15"/>
  <c r="D205" i="15"/>
  <c r="D229" i="15" s="1"/>
  <c r="C205" i="15"/>
  <c r="C229" i="15" s="1"/>
  <c r="E204" i="15"/>
  <c r="E203" i="15"/>
  <c r="E197" i="15"/>
  <c r="E196" i="15"/>
  <c r="D195" i="15"/>
  <c r="D260" i="15"/>
  <c r="C195" i="15"/>
  <c r="C260" i="15"/>
  <c r="E194" i="15"/>
  <c r="E193" i="15"/>
  <c r="E192" i="15"/>
  <c r="E191" i="15"/>
  <c r="E190" i="15"/>
  <c r="D188" i="15"/>
  <c r="D189" i="15" s="1"/>
  <c r="C188" i="15"/>
  <c r="C189" i="15" s="1"/>
  <c r="E186" i="15"/>
  <c r="E185" i="15"/>
  <c r="D179" i="15"/>
  <c r="C179" i="15"/>
  <c r="D178" i="15"/>
  <c r="E178" i="15" s="1"/>
  <c r="C178" i="15"/>
  <c r="D177" i="15"/>
  <c r="C177" i="15"/>
  <c r="D176" i="15"/>
  <c r="E176" i="15" s="1"/>
  <c r="C176" i="15"/>
  <c r="D174" i="15"/>
  <c r="C174" i="15"/>
  <c r="E174" i="15" s="1"/>
  <c r="D173" i="15"/>
  <c r="E173" i="15"/>
  <c r="C173" i="15"/>
  <c r="D167" i="15"/>
  <c r="C167" i="15"/>
  <c r="D166" i="15"/>
  <c r="C166" i="15"/>
  <c r="D165" i="15"/>
  <c r="C165" i="15"/>
  <c r="D164" i="15"/>
  <c r="E164" i="15"/>
  <c r="C164" i="15"/>
  <c r="D162" i="15"/>
  <c r="C162" i="15"/>
  <c r="D161" i="15"/>
  <c r="E161" i="15" s="1"/>
  <c r="C161" i="15"/>
  <c r="E155" i="15"/>
  <c r="E154" i="15"/>
  <c r="E153" i="15"/>
  <c r="E152" i="15"/>
  <c r="D151" i="15"/>
  <c r="D156" i="15" s="1"/>
  <c r="C151" i="15"/>
  <c r="C156" i="15" s="1"/>
  <c r="C157" i="15" s="1"/>
  <c r="E150" i="15"/>
  <c r="E149" i="15"/>
  <c r="E143" i="15"/>
  <c r="E142" i="15"/>
  <c r="E141" i="15"/>
  <c r="E140" i="15"/>
  <c r="D139" i="15"/>
  <c r="D163" i="15"/>
  <c r="C139" i="15"/>
  <c r="C144" i="15"/>
  <c r="E138" i="15"/>
  <c r="E137" i="15"/>
  <c r="D75" i="15"/>
  <c r="E75" i="15"/>
  <c r="C75" i="15"/>
  <c r="D74" i="15"/>
  <c r="E74" i="15" s="1"/>
  <c r="C74" i="15"/>
  <c r="D73" i="15"/>
  <c r="C73" i="15"/>
  <c r="D72" i="15"/>
  <c r="C72" i="15"/>
  <c r="E72" i="15" s="1"/>
  <c r="D70" i="15"/>
  <c r="C70" i="15"/>
  <c r="D69" i="15"/>
  <c r="E69" i="15"/>
  <c r="C69" i="15"/>
  <c r="E64" i="15"/>
  <c r="E63" i="15"/>
  <c r="E62" i="15"/>
  <c r="E61" i="15"/>
  <c r="D60" i="15"/>
  <c r="D71" i="15" s="1"/>
  <c r="C60" i="15"/>
  <c r="C71" i="15" s="1"/>
  <c r="E59" i="15"/>
  <c r="E58" i="15"/>
  <c r="D54" i="15"/>
  <c r="C54" i="15"/>
  <c r="C55" i="15" s="1"/>
  <c r="E53" i="15"/>
  <c r="E52" i="15"/>
  <c r="E51" i="15"/>
  <c r="E50" i="15"/>
  <c r="E49" i="15"/>
  <c r="E48" i="15"/>
  <c r="E47" i="15"/>
  <c r="D42" i="15"/>
  <c r="C42" i="15"/>
  <c r="D41" i="15"/>
  <c r="E41" i="15"/>
  <c r="C41" i="15"/>
  <c r="D40" i="15"/>
  <c r="C40" i="15"/>
  <c r="D39" i="15"/>
  <c r="E39" i="15" s="1"/>
  <c r="C39" i="15"/>
  <c r="D38" i="15"/>
  <c r="C38" i="15"/>
  <c r="D37" i="15"/>
  <c r="D43" i="15" s="1"/>
  <c r="E37" i="15"/>
  <c r="C37" i="15"/>
  <c r="C43" i="15"/>
  <c r="D36" i="15"/>
  <c r="C36" i="15"/>
  <c r="D32" i="15"/>
  <c r="D33" i="15" s="1"/>
  <c r="C32" i="15"/>
  <c r="C33" i="15" s="1"/>
  <c r="E31" i="15"/>
  <c r="E30" i="15"/>
  <c r="E29" i="15"/>
  <c r="E28" i="15"/>
  <c r="E27" i="15"/>
  <c r="E26" i="15"/>
  <c r="E25" i="15"/>
  <c r="D21" i="15"/>
  <c r="D22" i="15" s="1"/>
  <c r="C21" i="15"/>
  <c r="E20" i="15"/>
  <c r="E19" i="15"/>
  <c r="E18" i="15"/>
  <c r="E17" i="15"/>
  <c r="E16" i="15"/>
  <c r="E15" i="15"/>
  <c r="E14" i="15"/>
  <c r="E335" i="14"/>
  <c r="F335" i="14" s="1"/>
  <c r="E334" i="14"/>
  <c r="F334" i="14" s="1"/>
  <c r="E333" i="14"/>
  <c r="F333" i="14" s="1"/>
  <c r="F332" i="14"/>
  <c r="E332" i="14"/>
  <c r="E331" i="14"/>
  <c r="F331" i="14" s="1"/>
  <c r="E330" i="14"/>
  <c r="F330" i="14" s="1"/>
  <c r="F329" i="14"/>
  <c r="E329" i="14"/>
  <c r="F316" i="14"/>
  <c r="E316" i="14"/>
  <c r="C311" i="14"/>
  <c r="F308" i="14"/>
  <c r="E308" i="14"/>
  <c r="C307" i="14"/>
  <c r="C299" i="14"/>
  <c r="C298" i="14"/>
  <c r="C297" i="14"/>
  <c r="C296" i="14"/>
  <c r="C295" i="14"/>
  <c r="C294" i="14"/>
  <c r="C250" i="14"/>
  <c r="C306" i="14" s="1"/>
  <c r="E249" i="14"/>
  <c r="F249" i="14" s="1"/>
  <c r="E248" i="14"/>
  <c r="F248" i="14" s="1"/>
  <c r="E245" i="14"/>
  <c r="F245" i="14" s="1"/>
  <c r="E244" i="14"/>
  <c r="F244" i="14" s="1"/>
  <c r="E243" i="14"/>
  <c r="F243" i="14" s="1"/>
  <c r="C238" i="14"/>
  <c r="C237" i="14"/>
  <c r="F234" i="14"/>
  <c r="E234" i="14"/>
  <c r="E233" i="14"/>
  <c r="F233" i="14" s="1"/>
  <c r="C230" i="14"/>
  <c r="C229" i="14"/>
  <c r="E228" i="14"/>
  <c r="F228" i="14" s="1"/>
  <c r="C226" i="14"/>
  <c r="E225" i="14"/>
  <c r="F225" i="14" s="1"/>
  <c r="E224" i="14"/>
  <c r="F224" i="14" s="1"/>
  <c r="C223" i="14"/>
  <c r="E222" i="14"/>
  <c r="F222" i="14" s="1"/>
  <c r="E221" i="14"/>
  <c r="F221" i="14" s="1"/>
  <c r="C204" i="14"/>
  <c r="C203" i="14"/>
  <c r="C198" i="14"/>
  <c r="C191" i="14"/>
  <c r="C280" i="14" s="1"/>
  <c r="C264" i="14"/>
  <c r="C189" i="14"/>
  <c r="C188" i="14"/>
  <c r="C277" i="14" s="1"/>
  <c r="C180" i="14"/>
  <c r="C179" i="14"/>
  <c r="C171" i="14"/>
  <c r="C170" i="14"/>
  <c r="E170" i="14"/>
  <c r="E169" i="14"/>
  <c r="F169" i="14"/>
  <c r="E168" i="14"/>
  <c r="F168" i="14" s="1"/>
  <c r="C165" i="14"/>
  <c r="C164" i="14"/>
  <c r="E163" i="14"/>
  <c r="F163" i="14"/>
  <c r="C158" i="14"/>
  <c r="E157" i="14"/>
  <c r="F157" i="14" s="1"/>
  <c r="E156" i="14"/>
  <c r="F156" i="14" s="1"/>
  <c r="C155" i="14"/>
  <c r="E154" i="14"/>
  <c r="F154" i="14" s="1"/>
  <c r="E153" i="14"/>
  <c r="F153" i="14" s="1"/>
  <c r="E145" i="14"/>
  <c r="C145" i="14"/>
  <c r="C144" i="14"/>
  <c r="C136" i="14"/>
  <c r="C137" i="14" s="1"/>
  <c r="C138" i="14" s="1"/>
  <c r="C135" i="14"/>
  <c r="E134" i="14"/>
  <c r="F134" i="14" s="1"/>
  <c r="E133" i="14"/>
  <c r="F133" i="14" s="1"/>
  <c r="C130" i="14"/>
  <c r="C129" i="14"/>
  <c r="E128" i="14"/>
  <c r="F128" i="14"/>
  <c r="C123" i="14"/>
  <c r="F122" i="14"/>
  <c r="E122" i="14"/>
  <c r="E121" i="14"/>
  <c r="F121" i="14" s="1"/>
  <c r="C120" i="14"/>
  <c r="E120" i="14" s="1"/>
  <c r="E119" i="14"/>
  <c r="F119" i="14"/>
  <c r="E118" i="14"/>
  <c r="F118" i="14"/>
  <c r="C110" i="14"/>
  <c r="E110" i="14"/>
  <c r="C109" i="14"/>
  <c r="E101" i="14"/>
  <c r="C101" i="14"/>
  <c r="C102" i="14" s="1"/>
  <c r="C103" i="14" s="1"/>
  <c r="C100" i="14"/>
  <c r="E99" i="14"/>
  <c r="F99" i="14" s="1"/>
  <c r="E98" i="14"/>
  <c r="F98" i="14" s="1"/>
  <c r="C95" i="14"/>
  <c r="E95" i="14" s="1"/>
  <c r="F95" i="14" s="1"/>
  <c r="C94" i="14"/>
  <c r="E93" i="14"/>
  <c r="F93" i="14" s="1"/>
  <c r="C88" i="14"/>
  <c r="E88" i="14" s="1"/>
  <c r="E87" i="14"/>
  <c r="F87" i="14"/>
  <c r="E86" i="14"/>
  <c r="F86" i="14"/>
  <c r="C85" i="14"/>
  <c r="E85" i="14"/>
  <c r="E84" i="14"/>
  <c r="F84" i="14"/>
  <c r="E83" i="14"/>
  <c r="F83" i="14"/>
  <c r="C76" i="14"/>
  <c r="E74" i="14"/>
  <c r="F74" i="14" s="1"/>
  <c r="E73" i="14"/>
  <c r="F73" i="14" s="1"/>
  <c r="C67" i="14"/>
  <c r="E66" i="14"/>
  <c r="C66" i="14"/>
  <c r="C59" i="14"/>
  <c r="F58" i="14"/>
  <c r="C58" i="14"/>
  <c r="E58" i="14" s="1"/>
  <c r="F57" i="14"/>
  <c r="E57" i="14"/>
  <c r="F56" i="14"/>
  <c r="E56" i="14"/>
  <c r="C53" i="14"/>
  <c r="E53" i="14" s="1"/>
  <c r="C52" i="14"/>
  <c r="E51" i="14"/>
  <c r="F51" i="14" s="1"/>
  <c r="E47" i="14"/>
  <c r="C47" i="14"/>
  <c r="E46" i="14"/>
  <c r="F46" i="14" s="1"/>
  <c r="E45" i="14"/>
  <c r="F45" i="14" s="1"/>
  <c r="C44" i="14"/>
  <c r="E44" i="14" s="1"/>
  <c r="E43" i="14"/>
  <c r="F43" i="14" s="1"/>
  <c r="E42" i="14"/>
  <c r="F42" i="14" s="1"/>
  <c r="C36" i="14"/>
  <c r="E36" i="14" s="1"/>
  <c r="C35" i="14"/>
  <c r="C30" i="14"/>
  <c r="E30" i="14" s="1"/>
  <c r="C29" i="14"/>
  <c r="E28" i="14"/>
  <c r="F28" i="14" s="1"/>
  <c r="E27" i="14"/>
  <c r="F27" i="14" s="1"/>
  <c r="C24" i="14"/>
  <c r="E24" i="14" s="1"/>
  <c r="C23" i="14"/>
  <c r="E23" i="14" s="1"/>
  <c r="E22" i="14"/>
  <c r="F22" i="14" s="1"/>
  <c r="C20" i="14"/>
  <c r="C21" i="14" s="1"/>
  <c r="E19" i="14"/>
  <c r="F19" i="14"/>
  <c r="E18" i="14"/>
  <c r="F18" i="14"/>
  <c r="C17" i="14"/>
  <c r="E17" i="14"/>
  <c r="F17" i="14" s="1"/>
  <c r="E16" i="14"/>
  <c r="F16" i="14" s="1"/>
  <c r="E15" i="14"/>
  <c r="F15" i="14" s="1"/>
  <c r="D21" i="13"/>
  <c r="C21" i="13"/>
  <c r="E21" i="13" s="1"/>
  <c r="E20" i="13"/>
  <c r="F20" i="13" s="1"/>
  <c r="D17" i="13"/>
  <c r="C17" i="13"/>
  <c r="E16" i="13"/>
  <c r="F16" i="13" s="1"/>
  <c r="D13" i="13"/>
  <c r="E13" i="13" s="1"/>
  <c r="C13" i="13"/>
  <c r="F13" i="13"/>
  <c r="E12" i="13"/>
  <c r="F12" i="13"/>
  <c r="D99" i="12"/>
  <c r="C99" i="12"/>
  <c r="E98" i="12"/>
  <c r="F98" i="12"/>
  <c r="E97" i="12"/>
  <c r="F97" i="12"/>
  <c r="E96" i="12"/>
  <c r="F96" i="12"/>
  <c r="D92" i="12"/>
  <c r="C92" i="12"/>
  <c r="E92" i="12" s="1"/>
  <c r="E91" i="12"/>
  <c r="F91" i="12" s="1"/>
  <c r="F90" i="12"/>
  <c r="E90" i="12"/>
  <c r="E89" i="12"/>
  <c r="F89" i="12" s="1"/>
  <c r="E88" i="12"/>
  <c r="F88" i="12" s="1"/>
  <c r="E87" i="12"/>
  <c r="F87" i="12" s="1"/>
  <c r="D84" i="12"/>
  <c r="C84" i="12"/>
  <c r="F83" i="12"/>
  <c r="E83" i="12"/>
  <c r="F82" i="12"/>
  <c r="E82" i="12"/>
  <c r="E81" i="12"/>
  <c r="F81" i="12" s="1"/>
  <c r="F80" i="12"/>
  <c r="E80" i="12"/>
  <c r="F79" i="12"/>
  <c r="E79" i="12"/>
  <c r="D75" i="12"/>
  <c r="C75" i="12"/>
  <c r="E74" i="12"/>
  <c r="F74" i="12" s="1"/>
  <c r="E73" i="12"/>
  <c r="F73" i="12" s="1"/>
  <c r="D70" i="12"/>
  <c r="C70" i="12"/>
  <c r="E70" i="12"/>
  <c r="E69" i="12"/>
  <c r="F69" i="12"/>
  <c r="E68" i="12"/>
  <c r="F68" i="12"/>
  <c r="D65" i="12"/>
  <c r="C65" i="12"/>
  <c r="E65" i="12" s="1"/>
  <c r="E64" i="12"/>
  <c r="F64" i="12" s="1"/>
  <c r="E63" i="12"/>
  <c r="F63" i="12" s="1"/>
  <c r="D60" i="12"/>
  <c r="C60" i="12"/>
  <c r="F60" i="12" s="1"/>
  <c r="F59" i="12"/>
  <c r="E59" i="12"/>
  <c r="F58" i="12"/>
  <c r="E58" i="12"/>
  <c r="E60" i="12" s="1"/>
  <c r="D55" i="12"/>
  <c r="C55" i="12"/>
  <c r="E55" i="12"/>
  <c r="F54" i="12"/>
  <c r="E54" i="12"/>
  <c r="F53" i="12"/>
  <c r="E53" i="12"/>
  <c r="D50" i="12"/>
  <c r="C50" i="12"/>
  <c r="F49" i="12"/>
  <c r="E49" i="12"/>
  <c r="F48" i="12"/>
  <c r="E48" i="12"/>
  <c r="D45" i="12"/>
  <c r="C45" i="12"/>
  <c r="F45" i="12" s="1"/>
  <c r="F44" i="12"/>
  <c r="E44" i="12"/>
  <c r="F43" i="12"/>
  <c r="E43" i="12"/>
  <c r="D37" i="12"/>
  <c r="E37" i="12" s="1"/>
  <c r="C37" i="12"/>
  <c r="F36" i="12"/>
  <c r="E36" i="12"/>
  <c r="F35" i="12"/>
  <c r="E35" i="12"/>
  <c r="E34" i="12"/>
  <c r="F34" i="12" s="1"/>
  <c r="E33" i="12"/>
  <c r="F33" i="12" s="1"/>
  <c r="D30" i="12"/>
  <c r="C30" i="12"/>
  <c r="F30" i="12"/>
  <c r="F29" i="12"/>
  <c r="E29" i="12"/>
  <c r="F28" i="12"/>
  <c r="E28" i="12"/>
  <c r="F27" i="12"/>
  <c r="E27" i="12"/>
  <c r="F26" i="12"/>
  <c r="E26" i="12"/>
  <c r="D23" i="12"/>
  <c r="C23" i="12"/>
  <c r="F22" i="12"/>
  <c r="E22" i="12"/>
  <c r="E21" i="12"/>
  <c r="F21" i="12" s="1"/>
  <c r="E20" i="12"/>
  <c r="F20" i="12" s="1"/>
  <c r="E19" i="12"/>
  <c r="F19" i="12" s="1"/>
  <c r="D16" i="12"/>
  <c r="C16" i="12"/>
  <c r="F15" i="12"/>
  <c r="E15" i="12"/>
  <c r="E14" i="12"/>
  <c r="F14" i="12" s="1"/>
  <c r="E13" i="12"/>
  <c r="F13" i="12" s="1"/>
  <c r="E12" i="12"/>
  <c r="F12" i="12" s="1"/>
  <c r="E40" i="11"/>
  <c r="D40" i="11"/>
  <c r="I37" i="11"/>
  <c r="H37" i="11"/>
  <c r="I29" i="11"/>
  <c r="H29" i="11"/>
  <c r="I27" i="11"/>
  <c r="H27" i="11"/>
  <c r="I25" i="11"/>
  <c r="H25" i="11"/>
  <c r="I23" i="11"/>
  <c r="H23" i="11"/>
  <c r="I21" i="11"/>
  <c r="H21" i="11"/>
  <c r="I19" i="11"/>
  <c r="H19" i="11"/>
  <c r="G17" i="11"/>
  <c r="F17" i="11"/>
  <c r="E17" i="11"/>
  <c r="D17" i="11"/>
  <c r="D31" i="11" s="1"/>
  <c r="C17" i="11"/>
  <c r="I16" i="11"/>
  <c r="H16" i="11"/>
  <c r="I15" i="11"/>
  <c r="H15" i="11"/>
  <c r="I13" i="11"/>
  <c r="H13" i="11"/>
  <c r="I11" i="11"/>
  <c r="H11" i="11"/>
  <c r="E79" i="10"/>
  <c r="D79" i="10"/>
  <c r="C79" i="10"/>
  <c r="E78" i="10"/>
  <c r="D78" i="10"/>
  <c r="C78" i="10"/>
  <c r="E73" i="10"/>
  <c r="E75" i="10" s="1"/>
  <c r="D73" i="10"/>
  <c r="D75" i="10" s="1"/>
  <c r="C73" i="10"/>
  <c r="C75" i="10" s="1"/>
  <c r="E71" i="10"/>
  <c r="D71" i="10"/>
  <c r="C71" i="10"/>
  <c r="E66" i="10"/>
  <c r="D66" i="10"/>
  <c r="D65" i="10" s="1"/>
  <c r="C66" i="10"/>
  <c r="E65" i="10"/>
  <c r="C65" i="10"/>
  <c r="E60" i="10"/>
  <c r="D60" i="10"/>
  <c r="C60" i="10"/>
  <c r="E58" i="10"/>
  <c r="D58" i="10"/>
  <c r="C58" i="10"/>
  <c r="E55" i="10"/>
  <c r="D55" i="10"/>
  <c r="C55" i="10"/>
  <c r="C50" i="10"/>
  <c r="E54" i="10"/>
  <c r="D54" i="10"/>
  <c r="C54" i="10"/>
  <c r="E50" i="10"/>
  <c r="E46" i="10"/>
  <c r="D46" i="10"/>
  <c r="C46" i="10"/>
  <c r="E45" i="10"/>
  <c r="D45" i="10"/>
  <c r="C45" i="10"/>
  <c r="E38" i="10"/>
  <c r="D38" i="10"/>
  <c r="C38" i="10"/>
  <c r="E34" i="10"/>
  <c r="E33" i="10"/>
  <c r="D33" i="10"/>
  <c r="D34" i="10" s="1"/>
  <c r="E26" i="10"/>
  <c r="D26" i="10"/>
  <c r="C26" i="10"/>
  <c r="E13" i="10"/>
  <c r="D13" i="10"/>
  <c r="D25" i="10" s="1"/>
  <c r="C13" i="10"/>
  <c r="D46" i="9"/>
  <c r="C46" i="9"/>
  <c r="F46" i="9" s="1"/>
  <c r="F45" i="9"/>
  <c r="E45" i="9"/>
  <c r="F44" i="9"/>
  <c r="E44" i="9"/>
  <c r="D39" i="9"/>
  <c r="C39" i="9"/>
  <c r="E39" i="9" s="1"/>
  <c r="E38" i="9"/>
  <c r="F38" i="9" s="1"/>
  <c r="E37" i="9"/>
  <c r="F37" i="9" s="1"/>
  <c r="E36" i="9"/>
  <c r="F36" i="9" s="1"/>
  <c r="D31" i="9"/>
  <c r="C31" i="9"/>
  <c r="E30" i="9"/>
  <c r="F30" i="9" s="1"/>
  <c r="F29" i="9"/>
  <c r="E29" i="9"/>
  <c r="E28" i="9"/>
  <c r="F28" i="9" s="1"/>
  <c r="E27" i="9"/>
  <c r="F27" i="9" s="1"/>
  <c r="E26" i="9"/>
  <c r="F26" i="9" s="1"/>
  <c r="F25" i="9"/>
  <c r="E25" i="9"/>
  <c r="F24" i="9"/>
  <c r="E24" i="9"/>
  <c r="F23" i="9"/>
  <c r="E23" i="9"/>
  <c r="E22" i="9"/>
  <c r="F22" i="9" s="1"/>
  <c r="E18" i="9"/>
  <c r="F18" i="9" s="1"/>
  <c r="E17" i="9"/>
  <c r="F17" i="9" s="1"/>
  <c r="D16" i="9"/>
  <c r="D19" i="9" s="1"/>
  <c r="C16" i="9"/>
  <c r="C19" i="9" s="1"/>
  <c r="F15" i="9"/>
  <c r="E15" i="9"/>
  <c r="E14" i="9"/>
  <c r="F14" i="9" s="1"/>
  <c r="E13" i="9"/>
  <c r="F13" i="9" s="1"/>
  <c r="E12" i="9"/>
  <c r="F12" i="9" s="1"/>
  <c r="D73" i="8"/>
  <c r="C73" i="8"/>
  <c r="E72" i="8"/>
  <c r="F72" i="8" s="1"/>
  <c r="E71" i="8"/>
  <c r="F71" i="8" s="1"/>
  <c r="E70" i="8"/>
  <c r="F70" i="8" s="1"/>
  <c r="F67" i="8"/>
  <c r="E67" i="8"/>
  <c r="E64" i="8"/>
  <c r="F64" i="8" s="1"/>
  <c r="F63" i="8"/>
  <c r="E63" i="8"/>
  <c r="D61" i="8"/>
  <c r="D65" i="8" s="1"/>
  <c r="D75" i="8" s="1"/>
  <c r="C61" i="8"/>
  <c r="E60" i="8"/>
  <c r="F60" i="8" s="1"/>
  <c r="F59" i="8"/>
  <c r="E59" i="8"/>
  <c r="D56" i="8"/>
  <c r="C56" i="8"/>
  <c r="E56" i="8" s="1"/>
  <c r="F56" i="8" s="1"/>
  <c r="E55" i="8"/>
  <c r="F55" i="8" s="1"/>
  <c r="F54" i="8"/>
  <c r="E54" i="8"/>
  <c r="E53" i="8"/>
  <c r="F53" i="8" s="1"/>
  <c r="F52" i="8"/>
  <c r="E52" i="8"/>
  <c r="E51" i="8"/>
  <c r="F51" i="8" s="1"/>
  <c r="F50" i="8"/>
  <c r="E50" i="8"/>
  <c r="A50" i="8"/>
  <c r="A51" i="8" s="1"/>
  <c r="A52" i="8" s="1"/>
  <c r="A53" i="8" s="1"/>
  <c r="A54" i="8" s="1"/>
  <c r="A55" i="8" s="1"/>
  <c r="E49" i="8"/>
  <c r="F49" i="8" s="1"/>
  <c r="E40" i="8"/>
  <c r="F40" i="8" s="1"/>
  <c r="D38" i="8"/>
  <c r="D41" i="8"/>
  <c r="C38" i="8"/>
  <c r="E37" i="8"/>
  <c r="F37" i="8" s="1"/>
  <c r="E36" i="8"/>
  <c r="F36" i="8" s="1"/>
  <c r="E33" i="8"/>
  <c r="F33" i="8" s="1"/>
  <c r="E32" i="8"/>
  <c r="F32" i="8" s="1"/>
  <c r="F31" i="8"/>
  <c r="E31" i="8"/>
  <c r="D29" i="8"/>
  <c r="C29" i="8"/>
  <c r="E28" i="8"/>
  <c r="F28" i="8" s="1"/>
  <c r="F27" i="8"/>
  <c r="E27" i="8"/>
  <c r="F26" i="8"/>
  <c r="E26" i="8"/>
  <c r="E25" i="8"/>
  <c r="F25" i="8" s="1"/>
  <c r="D22" i="8"/>
  <c r="D43" i="8" s="1"/>
  <c r="C22" i="8"/>
  <c r="E21" i="8"/>
  <c r="F21" i="8" s="1"/>
  <c r="E20" i="8"/>
  <c r="F20" i="8" s="1"/>
  <c r="E19" i="8"/>
  <c r="F19" i="8" s="1"/>
  <c r="F18" i="8"/>
  <c r="E18" i="8"/>
  <c r="E17" i="8"/>
  <c r="F17" i="8" s="1"/>
  <c r="E16" i="8"/>
  <c r="F16" i="8" s="1"/>
  <c r="E15" i="8"/>
  <c r="F15" i="8" s="1"/>
  <c r="F14" i="8"/>
  <c r="E14" i="8"/>
  <c r="E13" i="8"/>
  <c r="F13" i="8" s="1"/>
  <c r="D120" i="7"/>
  <c r="C120" i="7"/>
  <c r="D119" i="7"/>
  <c r="C119" i="7"/>
  <c r="E119" i="7" s="1"/>
  <c r="D118" i="7"/>
  <c r="C118" i="7"/>
  <c r="D117" i="7"/>
  <c r="C117" i="7"/>
  <c r="D116" i="7"/>
  <c r="C116" i="7"/>
  <c r="D115" i="7"/>
  <c r="C115" i="7"/>
  <c r="E115" i="7" s="1"/>
  <c r="D114" i="7"/>
  <c r="C114" i="7"/>
  <c r="D113" i="7"/>
  <c r="D122" i="7" s="1"/>
  <c r="C113" i="7"/>
  <c r="D112" i="7"/>
  <c r="D121" i="7"/>
  <c r="C112" i="7"/>
  <c r="D108" i="7"/>
  <c r="C108" i="7"/>
  <c r="D107" i="7"/>
  <c r="E107" i="7" s="1"/>
  <c r="C107" i="7"/>
  <c r="E106" i="7"/>
  <c r="F106" i="7" s="1"/>
  <c r="E105" i="7"/>
  <c r="F105" i="7" s="1"/>
  <c r="E104" i="7"/>
  <c r="F104" i="7" s="1"/>
  <c r="E103" i="7"/>
  <c r="F103" i="7" s="1"/>
  <c r="E102" i="7"/>
  <c r="F102" i="7" s="1"/>
  <c r="E101" i="7"/>
  <c r="F101" i="7" s="1"/>
  <c r="E100" i="7"/>
  <c r="F100" i="7" s="1"/>
  <c r="E99" i="7"/>
  <c r="F99" i="7" s="1"/>
  <c r="E98" i="7"/>
  <c r="F98" i="7" s="1"/>
  <c r="D96" i="7"/>
  <c r="C96" i="7"/>
  <c r="E96" i="7" s="1"/>
  <c r="D95" i="7"/>
  <c r="C95" i="7"/>
  <c r="F94" i="7"/>
  <c r="E94" i="7"/>
  <c r="E93" i="7"/>
  <c r="F93" i="7"/>
  <c r="E92" i="7"/>
  <c r="F92" i="7"/>
  <c r="E91" i="7"/>
  <c r="F91" i="7"/>
  <c r="E90" i="7"/>
  <c r="F90" i="7"/>
  <c r="E89" i="7"/>
  <c r="F89" i="7"/>
  <c r="E88" i="7"/>
  <c r="F88" i="7"/>
  <c r="E87" i="7"/>
  <c r="F87" i="7"/>
  <c r="E86" i="7"/>
  <c r="F86" i="7"/>
  <c r="D84" i="7"/>
  <c r="C84" i="7"/>
  <c r="F84" i="7" s="1"/>
  <c r="D83" i="7"/>
  <c r="C83" i="7"/>
  <c r="F83" i="7" s="1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C72" i="7"/>
  <c r="F72" i="7" s="1"/>
  <c r="D71" i="7"/>
  <c r="C71" i="7"/>
  <c r="F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C60" i="7"/>
  <c r="F60" i="7" s="1"/>
  <c r="D59" i="7"/>
  <c r="C59" i="7"/>
  <c r="F59" i="7" s="1"/>
  <c r="F58" i="7"/>
  <c r="E58" i="7"/>
  <c r="F57" i="7"/>
  <c r="E57" i="7"/>
  <c r="F56" i="7"/>
  <c r="E56" i="7"/>
  <c r="F55" i="7"/>
  <c r="E55" i="7"/>
  <c r="F54" i="7"/>
  <c r="E54" i="7"/>
  <c r="F53" i="7"/>
  <c r="E53" i="7"/>
  <c r="F52" i="7"/>
  <c r="E52" i="7"/>
  <c r="F51" i="7"/>
  <c r="E51" i="7"/>
  <c r="F50" i="7"/>
  <c r="E50" i="7"/>
  <c r="D48" i="7"/>
  <c r="C48" i="7"/>
  <c r="F48" i="7"/>
  <c r="D47" i="7"/>
  <c r="C47" i="7"/>
  <c r="F47" i="7" s="1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C36" i="7"/>
  <c r="E36" i="7" s="1"/>
  <c r="D35" i="7"/>
  <c r="C35" i="7"/>
  <c r="E34" i="7"/>
  <c r="F34" i="7" s="1"/>
  <c r="E33" i="7"/>
  <c r="F33" i="7" s="1"/>
  <c r="E32" i="7"/>
  <c r="F32" i="7" s="1"/>
  <c r="E31" i="7"/>
  <c r="F31" i="7" s="1"/>
  <c r="E30" i="7"/>
  <c r="F30" i="7" s="1"/>
  <c r="E29" i="7"/>
  <c r="F29" i="7" s="1"/>
  <c r="E28" i="7"/>
  <c r="F28" i="7" s="1"/>
  <c r="E27" i="7"/>
  <c r="F27" i="7" s="1"/>
  <c r="E26" i="7"/>
  <c r="F26" i="7" s="1"/>
  <c r="D24" i="7"/>
  <c r="C24" i="7"/>
  <c r="F24" i="7" s="1"/>
  <c r="D23" i="7"/>
  <c r="C23" i="7"/>
  <c r="F23" i="7" s="1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D206" i="6"/>
  <c r="C206" i="6"/>
  <c r="D205" i="6"/>
  <c r="C205" i="6"/>
  <c r="D204" i="6"/>
  <c r="C204" i="6"/>
  <c r="D203" i="6"/>
  <c r="C203" i="6"/>
  <c r="E203" i="6" s="1"/>
  <c r="F203" i="6" s="1"/>
  <c r="D202" i="6"/>
  <c r="C202" i="6"/>
  <c r="D201" i="6"/>
  <c r="C201" i="6"/>
  <c r="D200" i="6"/>
  <c r="C200" i="6"/>
  <c r="C207" i="6" s="1"/>
  <c r="D199" i="6"/>
  <c r="D208" i="6"/>
  <c r="C199" i="6"/>
  <c r="D198" i="6"/>
  <c r="D207" i="6" s="1"/>
  <c r="C198" i="6"/>
  <c r="D193" i="6"/>
  <c r="C193" i="6"/>
  <c r="F193" i="6" s="1"/>
  <c r="D192" i="6"/>
  <c r="E192" i="6" s="1"/>
  <c r="C192" i="6"/>
  <c r="F192" i="6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D180" i="6"/>
  <c r="C180" i="6"/>
  <c r="F180" i="6" s="1"/>
  <c r="D179" i="6"/>
  <c r="E179" i="6" s="1"/>
  <c r="C179" i="6"/>
  <c r="F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C167" i="6"/>
  <c r="F167" i="6" s="1"/>
  <c r="D166" i="6"/>
  <c r="C166" i="6"/>
  <c r="F166" i="6" s="1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C154" i="6"/>
  <c r="F154" i="6" s="1"/>
  <c r="D153" i="6"/>
  <c r="C153" i="6"/>
  <c r="F153" i="6" s="1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C141" i="6"/>
  <c r="F141" i="6" s="1"/>
  <c r="D140" i="6"/>
  <c r="C140" i="6"/>
  <c r="F140" i="6" s="1"/>
  <c r="F139" i="6"/>
  <c r="E139" i="6"/>
  <c r="F138" i="6"/>
  <c r="E138" i="6"/>
  <c r="F137" i="6"/>
  <c r="E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D128" i="6"/>
  <c r="C128" i="6"/>
  <c r="F128" i="6" s="1"/>
  <c r="D127" i="6"/>
  <c r="E127" i="6" s="1"/>
  <c r="C127" i="6"/>
  <c r="F127" i="6"/>
  <c r="F126" i="6"/>
  <c r="E126" i="6"/>
  <c r="F125" i="6"/>
  <c r="E125" i="6"/>
  <c r="F124" i="6"/>
  <c r="E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D115" i="6"/>
  <c r="C115" i="6"/>
  <c r="D114" i="6"/>
  <c r="C114" i="6"/>
  <c r="E114" i="6" s="1"/>
  <c r="F114" i="6" s="1"/>
  <c r="F113" i="6"/>
  <c r="E113" i="6"/>
  <c r="E112" i="6"/>
  <c r="F112" i="6"/>
  <c r="F111" i="6"/>
  <c r="E111" i="6"/>
  <c r="F110" i="6"/>
  <c r="E110" i="6"/>
  <c r="F109" i="6"/>
  <c r="E109" i="6"/>
  <c r="E108" i="6"/>
  <c r="F108" i="6"/>
  <c r="E107" i="6"/>
  <c r="F107" i="6"/>
  <c r="F106" i="6"/>
  <c r="E106" i="6"/>
  <c r="F105" i="6"/>
  <c r="E105" i="6"/>
  <c r="D102" i="6"/>
  <c r="C102" i="6"/>
  <c r="D101" i="6"/>
  <c r="C101" i="6"/>
  <c r="E100" i="6"/>
  <c r="F100" i="6"/>
  <c r="E99" i="6"/>
  <c r="F99" i="6"/>
  <c r="E98" i="6"/>
  <c r="F98" i="6"/>
  <c r="E97" i="6"/>
  <c r="F97" i="6"/>
  <c r="E96" i="6"/>
  <c r="F96" i="6"/>
  <c r="E95" i="6"/>
  <c r="F95" i="6"/>
  <c r="E94" i="6"/>
  <c r="F94" i="6"/>
  <c r="E93" i="6"/>
  <c r="F93" i="6"/>
  <c r="E92" i="6"/>
  <c r="F92" i="6"/>
  <c r="D89" i="6"/>
  <c r="C89" i="6"/>
  <c r="D88" i="6"/>
  <c r="E88" i="6" s="1"/>
  <c r="C88" i="6"/>
  <c r="F87" i="6"/>
  <c r="E87" i="6"/>
  <c r="E86" i="6"/>
  <c r="F86" i="6" s="1"/>
  <c r="E85" i="6"/>
  <c r="F85" i="6" s="1"/>
  <c r="F84" i="6"/>
  <c r="E84" i="6"/>
  <c r="F83" i="6"/>
  <c r="E83" i="6"/>
  <c r="E82" i="6"/>
  <c r="F82" i="6" s="1"/>
  <c r="E81" i="6"/>
  <c r="F81" i="6" s="1"/>
  <c r="F80" i="6"/>
  <c r="E80" i="6"/>
  <c r="F79" i="6"/>
  <c r="E79" i="6"/>
  <c r="D76" i="6"/>
  <c r="C76" i="6"/>
  <c r="D75" i="6"/>
  <c r="E75" i="6" s="1"/>
  <c r="C75" i="6"/>
  <c r="E74" i="6"/>
  <c r="F74" i="6" s="1"/>
  <c r="E73" i="6"/>
  <c r="F73" i="6" s="1"/>
  <c r="E72" i="6"/>
  <c r="F72" i="6" s="1"/>
  <c r="E71" i="6"/>
  <c r="F71" i="6" s="1"/>
  <c r="E70" i="6"/>
  <c r="F70" i="6" s="1"/>
  <c r="E69" i="6"/>
  <c r="F69" i="6" s="1"/>
  <c r="E68" i="6"/>
  <c r="F68" i="6" s="1"/>
  <c r="E67" i="6"/>
  <c r="F67" i="6" s="1"/>
  <c r="E66" i="6"/>
  <c r="F66" i="6" s="1"/>
  <c r="D63" i="6"/>
  <c r="C63" i="6"/>
  <c r="E63" i="6" s="1"/>
  <c r="F63" i="6" s="1"/>
  <c r="D62" i="6"/>
  <c r="C62" i="6"/>
  <c r="E61" i="6"/>
  <c r="F61" i="6" s="1"/>
  <c r="E60" i="6"/>
  <c r="F60" i="6" s="1"/>
  <c r="E59" i="6"/>
  <c r="F59" i="6" s="1"/>
  <c r="E58" i="6"/>
  <c r="F58" i="6" s="1"/>
  <c r="E57" i="6"/>
  <c r="F57" i="6" s="1"/>
  <c r="E56" i="6"/>
  <c r="F56" i="6" s="1"/>
  <c r="E55" i="6"/>
  <c r="F55" i="6" s="1"/>
  <c r="E54" i="6"/>
  <c r="F54" i="6" s="1"/>
  <c r="E53" i="6"/>
  <c r="F53" i="6" s="1"/>
  <c r="D50" i="6"/>
  <c r="C50" i="6"/>
  <c r="E50" i="6"/>
  <c r="D49" i="6"/>
  <c r="C49" i="6"/>
  <c r="E48" i="6"/>
  <c r="F48" i="6"/>
  <c r="E47" i="6"/>
  <c r="F47" i="6"/>
  <c r="E46" i="6"/>
  <c r="F46" i="6"/>
  <c r="E45" i="6"/>
  <c r="F45" i="6"/>
  <c r="E44" i="6"/>
  <c r="F44" i="6"/>
  <c r="E43" i="6"/>
  <c r="F43" i="6"/>
  <c r="E42" i="6"/>
  <c r="F42" i="6"/>
  <c r="E41" i="6"/>
  <c r="F41" i="6"/>
  <c r="E40" i="6"/>
  <c r="F40" i="6"/>
  <c r="D37" i="6"/>
  <c r="C37" i="6"/>
  <c r="D36" i="6"/>
  <c r="C36" i="6"/>
  <c r="F35" i="6"/>
  <c r="E35" i="6"/>
  <c r="F34" i="6"/>
  <c r="E34" i="6"/>
  <c r="E33" i="6"/>
  <c r="F33" i="6" s="1"/>
  <c r="F32" i="6"/>
  <c r="E32" i="6"/>
  <c r="F31" i="6"/>
  <c r="E31" i="6"/>
  <c r="E30" i="6"/>
  <c r="F30" i="6" s="1"/>
  <c r="E29" i="6"/>
  <c r="F29" i="6" s="1"/>
  <c r="F28" i="6"/>
  <c r="E28" i="6"/>
  <c r="F27" i="6"/>
  <c r="E27" i="6"/>
  <c r="D24" i="6"/>
  <c r="C24" i="6"/>
  <c r="E24" i="6"/>
  <c r="D23" i="6"/>
  <c r="C23" i="6"/>
  <c r="E22" i="6"/>
  <c r="F22" i="6"/>
  <c r="E21" i="6"/>
  <c r="F21" i="6"/>
  <c r="E20" i="6"/>
  <c r="F20" i="6"/>
  <c r="E19" i="6"/>
  <c r="F19" i="6"/>
  <c r="E18" i="6"/>
  <c r="F18" i="6"/>
  <c r="E17" i="6"/>
  <c r="F17" i="6"/>
  <c r="E16" i="6"/>
  <c r="F16" i="6"/>
  <c r="E15" i="6"/>
  <c r="F15" i="6"/>
  <c r="E14" i="6"/>
  <c r="F14" i="6"/>
  <c r="E191" i="5"/>
  <c r="D191" i="5"/>
  <c r="C191" i="5"/>
  <c r="E176" i="5"/>
  <c r="D176" i="5"/>
  <c r="C176" i="5"/>
  <c r="E164" i="5"/>
  <c r="E160" i="5"/>
  <c r="D164" i="5"/>
  <c r="C164" i="5"/>
  <c r="C160" i="5" s="1"/>
  <c r="E162" i="5"/>
  <c r="D162" i="5"/>
  <c r="C162" i="5"/>
  <c r="E161" i="5"/>
  <c r="D161" i="5"/>
  <c r="C161" i="5"/>
  <c r="D160" i="5"/>
  <c r="D166" i="5" s="1"/>
  <c r="E147" i="5"/>
  <c r="E143" i="5" s="1"/>
  <c r="D147" i="5"/>
  <c r="C147" i="5"/>
  <c r="C143" i="5" s="1"/>
  <c r="E145" i="5"/>
  <c r="E149" i="5" s="1"/>
  <c r="D145" i="5"/>
  <c r="C145" i="5"/>
  <c r="E144" i="5"/>
  <c r="D144" i="5"/>
  <c r="C144" i="5"/>
  <c r="D143" i="5"/>
  <c r="D149" i="5" s="1"/>
  <c r="E126" i="5"/>
  <c r="D126" i="5"/>
  <c r="C126" i="5"/>
  <c r="E119" i="5"/>
  <c r="D119" i="5"/>
  <c r="C119" i="5"/>
  <c r="E108" i="5"/>
  <c r="D108" i="5"/>
  <c r="C108" i="5"/>
  <c r="E107" i="5"/>
  <c r="E109" i="5" s="1"/>
  <c r="E106" i="5" s="1"/>
  <c r="D107" i="5"/>
  <c r="C107" i="5"/>
  <c r="C109" i="5" s="1"/>
  <c r="C106" i="5" s="1"/>
  <c r="E102" i="5"/>
  <c r="E104" i="5" s="1"/>
  <c r="D102" i="5"/>
  <c r="D104" i="5" s="1"/>
  <c r="C102" i="5"/>
  <c r="C104" i="5" s="1"/>
  <c r="E100" i="5"/>
  <c r="D100" i="5"/>
  <c r="C100" i="5"/>
  <c r="E95" i="5"/>
  <c r="D95" i="5"/>
  <c r="D94" i="5" s="1"/>
  <c r="C95" i="5"/>
  <c r="E94" i="5"/>
  <c r="C94" i="5"/>
  <c r="E89" i="5"/>
  <c r="D89" i="5"/>
  <c r="C89" i="5"/>
  <c r="E87" i="5"/>
  <c r="D87" i="5"/>
  <c r="C87" i="5"/>
  <c r="E84" i="5"/>
  <c r="D84" i="5"/>
  <c r="D79" i="5" s="1"/>
  <c r="C84" i="5"/>
  <c r="E83" i="5"/>
  <c r="D83" i="5"/>
  <c r="C83" i="5"/>
  <c r="C79" i="5" s="1"/>
  <c r="E75" i="5"/>
  <c r="D75" i="5"/>
  <c r="D88" i="5" s="1"/>
  <c r="C75" i="5"/>
  <c r="C77" i="5" s="1"/>
  <c r="E74" i="5"/>
  <c r="D74" i="5"/>
  <c r="C74" i="5"/>
  <c r="C71" i="5"/>
  <c r="E67" i="5"/>
  <c r="D67" i="5"/>
  <c r="C67" i="5"/>
  <c r="E53" i="5"/>
  <c r="E38" i="5"/>
  <c r="E49" i="5" s="1"/>
  <c r="E57" i="5"/>
  <c r="E62" i="5" s="1"/>
  <c r="D38" i="5"/>
  <c r="D53" i="5" s="1"/>
  <c r="C38" i="5"/>
  <c r="E33" i="5"/>
  <c r="E34" i="5" s="1"/>
  <c r="D33" i="5"/>
  <c r="D34" i="5" s="1"/>
  <c r="E26" i="5"/>
  <c r="D26" i="5"/>
  <c r="C26" i="5"/>
  <c r="E13" i="5"/>
  <c r="E25" i="5" s="1"/>
  <c r="E27" i="5" s="1"/>
  <c r="D13" i="5"/>
  <c r="C13" i="5"/>
  <c r="E174" i="4"/>
  <c r="F174" i="4"/>
  <c r="D171" i="4"/>
  <c r="C171" i="4"/>
  <c r="C176" i="4" s="1"/>
  <c r="E170" i="4"/>
  <c r="F170" i="4" s="1"/>
  <c r="E169" i="4"/>
  <c r="F169" i="4" s="1"/>
  <c r="F168" i="4"/>
  <c r="E168" i="4"/>
  <c r="E167" i="4"/>
  <c r="F167" i="4" s="1"/>
  <c r="F166" i="4"/>
  <c r="E166" i="4"/>
  <c r="F165" i="4"/>
  <c r="E165" i="4"/>
  <c r="E164" i="4"/>
  <c r="F164" i="4" s="1"/>
  <c r="E163" i="4"/>
  <c r="F163" i="4" s="1"/>
  <c r="F162" i="4"/>
  <c r="E162" i="4"/>
  <c r="F161" i="4"/>
  <c r="E161" i="4"/>
  <c r="F160" i="4"/>
  <c r="E160" i="4"/>
  <c r="E159" i="4"/>
  <c r="F159" i="4" s="1"/>
  <c r="E158" i="4"/>
  <c r="F158" i="4" s="1"/>
  <c r="D155" i="4"/>
  <c r="E155" i="4" s="1"/>
  <c r="C155" i="4"/>
  <c r="E154" i="4"/>
  <c r="F154" i="4" s="1"/>
  <c r="F153" i="4"/>
  <c r="E153" i="4"/>
  <c r="E152" i="4"/>
  <c r="F152" i="4" s="1"/>
  <c r="E151" i="4"/>
  <c r="F151" i="4" s="1"/>
  <c r="E150" i="4"/>
  <c r="F150" i="4"/>
  <c r="E149" i="4"/>
  <c r="F149" i="4"/>
  <c r="E148" i="4"/>
  <c r="F148" i="4"/>
  <c r="F147" i="4"/>
  <c r="E147" i="4"/>
  <c r="E146" i="4"/>
  <c r="F146" i="4"/>
  <c r="E145" i="4"/>
  <c r="F145" i="4"/>
  <c r="E144" i="4"/>
  <c r="F144" i="4"/>
  <c r="F143" i="4"/>
  <c r="E143" i="4"/>
  <c r="E142" i="4"/>
  <c r="F142" i="4"/>
  <c r="F141" i="4"/>
  <c r="E141" i="4"/>
  <c r="E140" i="4"/>
  <c r="F140" i="4"/>
  <c r="F139" i="4"/>
  <c r="E139" i="4"/>
  <c r="E138" i="4"/>
  <c r="F138" i="4"/>
  <c r="F137" i="4"/>
  <c r="E137" i="4"/>
  <c r="E136" i="4"/>
  <c r="F136" i="4"/>
  <c r="F135" i="4"/>
  <c r="E135" i="4"/>
  <c r="F134" i="4"/>
  <c r="E134" i="4"/>
  <c r="E133" i="4"/>
  <c r="F133" i="4" s="1"/>
  <c r="E132" i="4"/>
  <c r="F132" i="4" s="1"/>
  <c r="E131" i="4"/>
  <c r="F131" i="4" s="1"/>
  <c r="E130" i="4"/>
  <c r="F130" i="4" s="1"/>
  <c r="E129" i="4"/>
  <c r="F129" i="4" s="1"/>
  <c r="E128" i="4"/>
  <c r="F128" i="4"/>
  <c r="E127" i="4"/>
  <c r="F127" i="4"/>
  <c r="F126" i="4"/>
  <c r="E126" i="4"/>
  <c r="E125" i="4"/>
  <c r="F125" i="4"/>
  <c r="F124" i="4"/>
  <c r="E124" i="4"/>
  <c r="E123" i="4"/>
  <c r="F123" i="4"/>
  <c r="E122" i="4"/>
  <c r="F122" i="4"/>
  <c r="E121" i="4"/>
  <c r="F121" i="4" s="1"/>
  <c r="D118" i="4"/>
  <c r="C118" i="4"/>
  <c r="E117" i="4"/>
  <c r="F117" i="4" s="1"/>
  <c r="E116" i="4"/>
  <c r="F116" i="4" s="1"/>
  <c r="E115" i="4"/>
  <c r="F115" i="4" s="1"/>
  <c r="E114" i="4"/>
  <c r="F114" i="4" s="1"/>
  <c r="F113" i="4"/>
  <c r="E113" i="4"/>
  <c r="E112" i="4"/>
  <c r="F112" i="4" s="1"/>
  <c r="D109" i="4"/>
  <c r="E109" i="4" s="1"/>
  <c r="C109" i="4"/>
  <c r="E108" i="4"/>
  <c r="F108" i="4" s="1"/>
  <c r="E107" i="4"/>
  <c r="F107" i="4" s="1"/>
  <c r="E106" i="4"/>
  <c r="F106" i="4" s="1"/>
  <c r="E105" i="4"/>
  <c r="F105" i="4" s="1"/>
  <c r="E104" i="4"/>
  <c r="F104" i="4"/>
  <c r="E103" i="4"/>
  <c r="F103" i="4"/>
  <c r="E102" i="4"/>
  <c r="F102" i="4"/>
  <c r="E101" i="4"/>
  <c r="F101" i="4" s="1"/>
  <c r="E100" i="4"/>
  <c r="F100" i="4" s="1"/>
  <c r="E99" i="4"/>
  <c r="F99" i="4" s="1"/>
  <c r="E98" i="4"/>
  <c r="F98" i="4" s="1"/>
  <c r="E97" i="4"/>
  <c r="F97" i="4" s="1"/>
  <c r="E96" i="4"/>
  <c r="F96" i="4"/>
  <c r="E95" i="4"/>
  <c r="F95" i="4"/>
  <c r="E94" i="4"/>
  <c r="F94" i="4"/>
  <c r="E93" i="4"/>
  <c r="F93" i="4" s="1"/>
  <c r="E92" i="4"/>
  <c r="F92" i="4" s="1"/>
  <c r="E91" i="4"/>
  <c r="F91" i="4" s="1"/>
  <c r="E81" i="4"/>
  <c r="F81" i="4" s="1"/>
  <c r="D78" i="4"/>
  <c r="C78" i="4"/>
  <c r="F77" i="4"/>
  <c r="E77" i="4"/>
  <c r="E76" i="4"/>
  <c r="F76" i="4" s="1"/>
  <c r="E75" i="4"/>
  <c r="F75" i="4" s="1"/>
  <c r="E74" i="4"/>
  <c r="F74" i="4" s="1"/>
  <c r="E73" i="4"/>
  <c r="F73" i="4" s="1"/>
  <c r="E72" i="4"/>
  <c r="F72" i="4" s="1"/>
  <c r="F71" i="4"/>
  <c r="E71" i="4"/>
  <c r="E70" i="4"/>
  <c r="F70" i="4" s="1"/>
  <c r="E69" i="4"/>
  <c r="F69" i="4" s="1"/>
  <c r="E68" i="4"/>
  <c r="F68" i="4" s="1"/>
  <c r="E67" i="4"/>
  <c r="F67" i="4" s="1"/>
  <c r="E66" i="4"/>
  <c r="F66" i="4" s="1"/>
  <c r="E65" i="4"/>
  <c r="F65" i="4" s="1"/>
  <c r="E64" i="4"/>
  <c r="F64" i="4" s="1"/>
  <c r="E63" i="4"/>
  <c r="F63" i="4" s="1"/>
  <c r="E62" i="4"/>
  <c r="F62" i="4" s="1"/>
  <c r="D59" i="4"/>
  <c r="C59" i="4"/>
  <c r="F58" i="4"/>
  <c r="E58" i="4"/>
  <c r="E57" i="4"/>
  <c r="F57" i="4" s="1"/>
  <c r="E56" i="4"/>
  <c r="F56" i="4" s="1"/>
  <c r="E55" i="4"/>
  <c r="F55" i="4" s="1"/>
  <c r="E54" i="4"/>
  <c r="F54" i="4" s="1"/>
  <c r="E53" i="4"/>
  <c r="F53" i="4" s="1"/>
  <c r="E50" i="4"/>
  <c r="F50" i="4" s="1"/>
  <c r="E47" i="4"/>
  <c r="F47" i="4" s="1"/>
  <c r="E44" i="4"/>
  <c r="F44" i="4" s="1"/>
  <c r="D41" i="4"/>
  <c r="C41" i="4"/>
  <c r="E41" i="4" s="1"/>
  <c r="E40" i="4"/>
  <c r="F40" i="4" s="1"/>
  <c r="E39" i="4"/>
  <c r="F39" i="4" s="1"/>
  <c r="E38" i="4"/>
  <c r="F38" i="4" s="1"/>
  <c r="D35" i="4"/>
  <c r="E35" i="4" s="1"/>
  <c r="C35" i="4"/>
  <c r="F35" i="4"/>
  <c r="E34" i="4"/>
  <c r="F34" i="4"/>
  <c r="E33" i="4"/>
  <c r="F33" i="4"/>
  <c r="D30" i="4"/>
  <c r="C30" i="4"/>
  <c r="E29" i="4"/>
  <c r="F29" i="4" s="1"/>
  <c r="E28" i="4"/>
  <c r="F28" i="4" s="1"/>
  <c r="F27" i="4"/>
  <c r="E27" i="4"/>
  <c r="D24" i="4"/>
  <c r="C24" i="4"/>
  <c r="E23" i="4"/>
  <c r="F23" i="4" s="1"/>
  <c r="E22" i="4"/>
  <c r="F22" i="4" s="1"/>
  <c r="E21" i="4"/>
  <c r="F21" i="4" s="1"/>
  <c r="D18" i="4"/>
  <c r="C18" i="4"/>
  <c r="E17" i="4"/>
  <c r="F17" i="4" s="1"/>
  <c r="E16" i="4"/>
  <c r="F16" i="4" s="1"/>
  <c r="E15" i="4"/>
  <c r="F15" i="4" s="1"/>
  <c r="D179" i="3"/>
  <c r="C179" i="3"/>
  <c r="E179" i="3"/>
  <c r="E178" i="3"/>
  <c r="F178" i="3"/>
  <c r="E177" i="3"/>
  <c r="F177" i="3"/>
  <c r="E176" i="3"/>
  <c r="F176" i="3"/>
  <c r="E175" i="3"/>
  <c r="F175" i="3"/>
  <c r="E174" i="3"/>
  <c r="F174" i="3"/>
  <c r="E173" i="3"/>
  <c r="F173" i="3"/>
  <c r="E172" i="3"/>
  <c r="F172" i="3"/>
  <c r="E171" i="3"/>
  <c r="F171" i="3"/>
  <c r="E170" i="3"/>
  <c r="F170" i="3"/>
  <c r="E169" i="3"/>
  <c r="F169" i="3"/>
  <c r="E168" i="3"/>
  <c r="F168" i="3"/>
  <c r="D166" i="3"/>
  <c r="C166" i="3"/>
  <c r="E165" i="3"/>
  <c r="F165" i="3" s="1"/>
  <c r="E164" i="3"/>
  <c r="F164" i="3" s="1"/>
  <c r="E163" i="3"/>
  <c r="F163" i="3" s="1"/>
  <c r="E162" i="3"/>
  <c r="F162" i="3" s="1"/>
  <c r="E161" i="3"/>
  <c r="F161" i="3" s="1"/>
  <c r="E160" i="3"/>
  <c r="F160" i="3" s="1"/>
  <c r="E159" i="3"/>
  <c r="F159" i="3" s="1"/>
  <c r="E158" i="3"/>
  <c r="F158" i="3" s="1"/>
  <c r="E157" i="3"/>
  <c r="F157" i="3" s="1"/>
  <c r="E156" i="3"/>
  <c r="F156" i="3" s="1"/>
  <c r="E155" i="3"/>
  <c r="F155" i="3" s="1"/>
  <c r="D153" i="3"/>
  <c r="C153" i="3"/>
  <c r="E152" i="3"/>
  <c r="F152" i="3" s="1"/>
  <c r="E151" i="3"/>
  <c r="F151" i="3" s="1"/>
  <c r="E150" i="3"/>
  <c r="F150" i="3" s="1"/>
  <c r="E149" i="3"/>
  <c r="F149" i="3" s="1"/>
  <c r="E148" i="3"/>
  <c r="F148" i="3" s="1"/>
  <c r="E147" i="3"/>
  <c r="F147" i="3" s="1"/>
  <c r="E146" i="3"/>
  <c r="F146" i="3" s="1"/>
  <c r="E145" i="3"/>
  <c r="F145" i="3" s="1"/>
  <c r="E144" i="3"/>
  <c r="F144" i="3" s="1"/>
  <c r="E143" i="3"/>
  <c r="F143" i="3" s="1"/>
  <c r="E142" i="3"/>
  <c r="F142" i="3" s="1"/>
  <c r="D137" i="3"/>
  <c r="C137" i="3"/>
  <c r="E136" i="3"/>
  <c r="F136" i="3" s="1"/>
  <c r="E135" i="3"/>
  <c r="F135" i="3" s="1"/>
  <c r="E134" i="3"/>
  <c r="F134" i="3" s="1"/>
  <c r="E133" i="3"/>
  <c r="F133" i="3" s="1"/>
  <c r="E132" i="3"/>
  <c r="F132" i="3" s="1"/>
  <c r="E131" i="3"/>
  <c r="F131" i="3" s="1"/>
  <c r="E130" i="3"/>
  <c r="F130" i="3" s="1"/>
  <c r="E129" i="3"/>
  <c r="F129" i="3" s="1"/>
  <c r="E128" i="3"/>
  <c r="F128" i="3" s="1"/>
  <c r="E127" i="3"/>
  <c r="F127" i="3" s="1"/>
  <c r="E126" i="3"/>
  <c r="F126" i="3" s="1"/>
  <c r="D124" i="3"/>
  <c r="C124" i="3"/>
  <c r="E124" i="3"/>
  <c r="E123" i="3"/>
  <c r="F123" i="3"/>
  <c r="E122" i="3"/>
  <c r="F122" i="3"/>
  <c r="E121" i="3"/>
  <c r="F121" i="3"/>
  <c r="E120" i="3"/>
  <c r="F120" i="3"/>
  <c r="E119" i="3"/>
  <c r="F119" i="3"/>
  <c r="E118" i="3"/>
  <c r="F118" i="3"/>
  <c r="E117" i="3"/>
  <c r="F117" i="3"/>
  <c r="E116" i="3"/>
  <c r="F116" i="3"/>
  <c r="E115" i="3"/>
  <c r="F115" i="3"/>
  <c r="E114" i="3"/>
  <c r="F114" i="3"/>
  <c r="E113" i="3"/>
  <c r="F113" i="3"/>
  <c r="D111" i="3"/>
  <c r="C111" i="3"/>
  <c r="E110" i="3"/>
  <c r="F110" i="3" s="1"/>
  <c r="E109" i="3"/>
  <c r="F109" i="3" s="1"/>
  <c r="E108" i="3"/>
  <c r="F108" i="3" s="1"/>
  <c r="E107" i="3"/>
  <c r="F107" i="3" s="1"/>
  <c r="E106" i="3"/>
  <c r="F106" i="3" s="1"/>
  <c r="E105" i="3"/>
  <c r="F105" i="3" s="1"/>
  <c r="E104" i="3"/>
  <c r="F104" i="3" s="1"/>
  <c r="E103" i="3"/>
  <c r="F103" i="3" s="1"/>
  <c r="E102" i="3"/>
  <c r="F102" i="3" s="1"/>
  <c r="E101" i="3"/>
  <c r="F101" i="3" s="1"/>
  <c r="E100" i="3"/>
  <c r="F100" i="3" s="1"/>
  <c r="D94" i="3"/>
  <c r="C94" i="3"/>
  <c r="D93" i="3"/>
  <c r="C93" i="3"/>
  <c r="E93" i="3"/>
  <c r="D92" i="3"/>
  <c r="C92" i="3"/>
  <c r="E92" i="3" s="1"/>
  <c r="D91" i="3"/>
  <c r="C91" i="3"/>
  <c r="E91" i="3" s="1"/>
  <c r="D90" i="3"/>
  <c r="C90" i="3"/>
  <c r="D89" i="3"/>
  <c r="D95" i="3" s="1"/>
  <c r="C89" i="3"/>
  <c r="E89" i="3"/>
  <c r="D88" i="3"/>
  <c r="C88" i="3"/>
  <c r="E88" i="3" s="1"/>
  <c r="D87" i="3"/>
  <c r="C87" i="3"/>
  <c r="E87" i="3" s="1"/>
  <c r="D86" i="3"/>
  <c r="C86" i="3"/>
  <c r="D85" i="3"/>
  <c r="C85" i="3"/>
  <c r="E85" i="3"/>
  <c r="D84" i="3"/>
  <c r="C84" i="3"/>
  <c r="E84" i="3"/>
  <c r="D81" i="3"/>
  <c r="C81" i="3"/>
  <c r="E81" i="3" s="1"/>
  <c r="E80" i="3"/>
  <c r="F80" i="3" s="1"/>
  <c r="E79" i="3"/>
  <c r="F79" i="3" s="1"/>
  <c r="E78" i="3"/>
  <c r="F78" i="3" s="1"/>
  <c r="E77" i="3"/>
  <c r="F77" i="3" s="1"/>
  <c r="E76" i="3"/>
  <c r="F76" i="3" s="1"/>
  <c r="E75" i="3"/>
  <c r="F75" i="3" s="1"/>
  <c r="E74" i="3"/>
  <c r="F74" i="3" s="1"/>
  <c r="E73" i="3"/>
  <c r="F73" i="3" s="1"/>
  <c r="E72" i="3"/>
  <c r="F72" i="3" s="1"/>
  <c r="E71" i="3"/>
  <c r="F71" i="3" s="1"/>
  <c r="E70" i="3"/>
  <c r="F70" i="3" s="1"/>
  <c r="D68" i="3"/>
  <c r="C68" i="3"/>
  <c r="E67" i="3"/>
  <c r="F67" i="3" s="1"/>
  <c r="E66" i="3"/>
  <c r="F66" i="3" s="1"/>
  <c r="E65" i="3"/>
  <c r="F65" i="3" s="1"/>
  <c r="E64" i="3"/>
  <c r="F64" i="3" s="1"/>
  <c r="E63" i="3"/>
  <c r="F63" i="3" s="1"/>
  <c r="E62" i="3"/>
  <c r="F62" i="3" s="1"/>
  <c r="E61" i="3"/>
  <c r="F61" i="3" s="1"/>
  <c r="E60" i="3"/>
  <c r="F60" i="3" s="1"/>
  <c r="E59" i="3"/>
  <c r="F59" i="3" s="1"/>
  <c r="E58" i="3"/>
  <c r="F58" i="3" s="1"/>
  <c r="E57" i="3"/>
  <c r="F57" i="3" s="1"/>
  <c r="D51" i="3"/>
  <c r="C51" i="3"/>
  <c r="E51" i="3" s="1"/>
  <c r="D50" i="3"/>
  <c r="C50" i="3"/>
  <c r="D49" i="3"/>
  <c r="C49" i="3"/>
  <c r="E49" i="3"/>
  <c r="D48" i="3"/>
  <c r="C48" i="3"/>
  <c r="E48" i="3" s="1"/>
  <c r="D47" i="3"/>
  <c r="C47" i="3"/>
  <c r="E47" i="3" s="1"/>
  <c r="D46" i="3"/>
  <c r="C46" i="3"/>
  <c r="D45" i="3"/>
  <c r="C45" i="3"/>
  <c r="E45" i="3"/>
  <c r="D44" i="3"/>
  <c r="C44" i="3"/>
  <c r="E44" i="3" s="1"/>
  <c r="D43" i="3"/>
  <c r="C43" i="3"/>
  <c r="E43" i="3" s="1"/>
  <c r="D42" i="3"/>
  <c r="C42" i="3"/>
  <c r="D41" i="3"/>
  <c r="C41" i="3"/>
  <c r="D38" i="3"/>
  <c r="C38" i="3"/>
  <c r="E38" i="3"/>
  <c r="E37" i="3"/>
  <c r="F37" i="3"/>
  <c r="E36" i="3"/>
  <c r="F36" i="3"/>
  <c r="E35" i="3"/>
  <c r="F35" i="3"/>
  <c r="E34" i="3"/>
  <c r="F34" i="3"/>
  <c r="E33" i="3"/>
  <c r="F33" i="3"/>
  <c r="E32" i="3"/>
  <c r="F32" i="3"/>
  <c r="E31" i="3"/>
  <c r="F31" i="3"/>
  <c r="E30" i="3"/>
  <c r="F30" i="3"/>
  <c r="E29" i="3"/>
  <c r="F29" i="3"/>
  <c r="E28" i="3"/>
  <c r="F28" i="3"/>
  <c r="E27" i="3"/>
  <c r="F27" i="3"/>
  <c r="D25" i="3"/>
  <c r="C25" i="3"/>
  <c r="E24" i="3"/>
  <c r="F24" i="3" s="1"/>
  <c r="E23" i="3"/>
  <c r="F23" i="3" s="1"/>
  <c r="E22" i="3"/>
  <c r="F22" i="3" s="1"/>
  <c r="E21" i="3"/>
  <c r="F21" i="3" s="1"/>
  <c r="E20" i="3"/>
  <c r="F20" i="3" s="1"/>
  <c r="E19" i="3"/>
  <c r="F19" i="3" s="1"/>
  <c r="E18" i="3"/>
  <c r="F18" i="3" s="1"/>
  <c r="E17" i="3"/>
  <c r="F17" i="3" s="1"/>
  <c r="E16" i="3"/>
  <c r="F16" i="3" s="1"/>
  <c r="E15" i="3"/>
  <c r="F15" i="3" s="1"/>
  <c r="E14" i="3"/>
  <c r="F14" i="3" s="1"/>
  <c r="E49" i="2"/>
  <c r="F49" i="2" s="1"/>
  <c r="D46" i="2"/>
  <c r="E46" i="2" s="1"/>
  <c r="C46" i="2"/>
  <c r="F46" i="2"/>
  <c r="F45" i="2"/>
  <c r="E45" i="2"/>
  <c r="F44" i="2"/>
  <c r="E44" i="2"/>
  <c r="D39" i="2"/>
  <c r="C39" i="2"/>
  <c r="E38" i="2"/>
  <c r="F38" i="2" s="1"/>
  <c r="F37" i="2"/>
  <c r="E37" i="2"/>
  <c r="E36" i="2"/>
  <c r="F36" i="2" s="1"/>
  <c r="D31" i="2"/>
  <c r="C31" i="2"/>
  <c r="E30" i="2"/>
  <c r="F30" i="2" s="1"/>
  <c r="E29" i="2"/>
  <c r="F29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F18" i="2"/>
  <c r="E18" i="2"/>
  <c r="E17" i="2"/>
  <c r="F17" i="2" s="1"/>
  <c r="E16" i="2"/>
  <c r="D16" i="2"/>
  <c r="D19" i="2"/>
  <c r="D33" i="2" s="1"/>
  <c r="C16" i="2"/>
  <c r="F16" i="2"/>
  <c r="F15" i="2"/>
  <c r="E15" i="2"/>
  <c r="E14" i="2"/>
  <c r="F14" i="2"/>
  <c r="E13" i="2"/>
  <c r="F13" i="2"/>
  <c r="E12" i="2"/>
  <c r="F12" i="2"/>
  <c r="D73" i="1"/>
  <c r="C73" i="1"/>
  <c r="E72" i="1"/>
  <c r="F72" i="1" s="1"/>
  <c r="E71" i="1"/>
  <c r="F71" i="1" s="1"/>
  <c r="E70" i="1"/>
  <c r="F70" i="1" s="1"/>
  <c r="F67" i="1"/>
  <c r="E67" i="1"/>
  <c r="E64" i="1"/>
  <c r="F64" i="1" s="1"/>
  <c r="E63" i="1"/>
  <c r="F63" i="1" s="1"/>
  <c r="D61" i="1"/>
  <c r="C61" i="1"/>
  <c r="E60" i="1"/>
  <c r="F60" i="1" s="1"/>
  <c r="F59" i="1"/>
  <c r="E59" i="1"/>
  <c r="D56" i="1"/>
  <c r="E56" i="1" s="1"/>
  <c r="F56" i="1" s="1"/>
  <c r="C56" i="1"/>
  <c r="E55" i="1"/>
  <c r="F55" i="1"/>
  <c r="F54" i="1"/>
  <c r="E54" i="1"/>
  <c r="E53" i="1"/>
  <c r="F53" i="1"/>
  <c r="F52" i="1"/>
  <c r="E52" i="1"/>
  <c r="E51" i="1"/>
  <c r="F51" i="1"/>
  <c r="E50" i="1"/>
  <c r="F50" i="1" s="1"/>
  <c r="A50" i="1"/>
  <c r="A51" i="1" s="1"/>
  <c r="A52" i="1" s="1"/>
  <c r="A53" i="1" s="1"/>
  <c r="A54" i="1" s="1"/>
  <c r="A55" i="1" s="1"/>
  <c r="E49" i="1"/>
  <c r="F49" i="1"/>
  <c r="E40" i="1"/>
  <c r="F40" i="1" s="1"/>
  <c r="D38" i="1"/>
  <c r="D41" i="1" s="1"/>
  <c r="C38" i="1"/>
  <c r="C41" i="1"/>
  <c r="E37" i="1"/>
  <c r="F37" i="1"/>
  <c r="E36" i="1"/>
  <c r="F36" i="1"/>
  <c r="E33" i="1"/>
  <c r="F33" i="1"/>
  <c r="F32" i="1"/>
  <c r="E32" i="1"/>
  <c r="E31" i="1"/>
  <c r="F31" i="1"/>
  <c r="D29" i="1"/>
  <c r="C29" i="1"/>
  <c r="F29" i="1" s="1"/>
  <c r="F28" i="1"/>
  <c r="E28" i="1"/>
  <c r="F27" i="1"/>
  <c r="E27" i="1"/>
  <c r="F26" i="1"/>
  <c r="E26" i="1"/>
  <c r="F25" i="1"/>
  <c r="E25" i="1"/>
  <c r="D22" i="1"/>
  <c r="C22" i="1"/>
  <c r="E21" i="1"/>
  <c r="F21" i="1" s="1"/>
  <c r="E20" i="1"/>
  <c r="F20" i="1" s="1"/>
  <c r="E19" i="1"/>
  <c r="F19" i="1" s="1"/>
  <c r="F18" i="1"/>
  <c r="E18" i="1"/>
  <c r="E17" i="1"/>
  <c r="F17" i="1" s="1"/>
  <c r="E16" i="1"/>
  <c r="F16" i="1" s="1"/>
  <c r="E15" i="1"/>
  <c r="F15" i="1" s="1"/>
  <c r="E14" i="1"/>
  <c r="F14" i="1" s="1"/>
  <c r="E13" i="1"/>
  <c r="F13" i="1" s="1"/>
  <c r="D103" i="14"/>
  <c r="E103" i="14" s="1"/>
  <c r="F103" i="14" s="1"/>
  <c r="E102" i="14"/>
  <c r="D277" i="14"/>
  <c r="F23" i="14"/>
  <c r="D37" i="14"/>
  <c r="D111" i="14"/>
  <c r="D146" i="14"/>
  <c r="D264" i="14"/>
  <c r="E277" i="14"/>
  <c r="D214" i="14"/>
  <c r="D135" i="5"/>
  <c r="D138" i="5"/>
  <c r="D140" i="5"/>
  <c r="E41" i="1"/>
  <c r="D152" i="5"/>
  <c r="D157" i="5"/>
  <c r="D153" i="5"/>
  <c r="C33" i="9"/>
  <c r="E19" i="9"/>
  <c r="F19" i="9" s="1"/>
  <c r="E21" i="5"/>
  <c r="C25" i="10"/>
  <c r="C27" i="10" s="1"/>
  <c r="C15" i="10"/>
  <c r="E15" i="5"/>
  <c r="C166" i="5"/>
  <c r="E48" i="7"/>
  <c r="C41" i="8"/>
  <c r="C43" i="8" s="1"/>
  <c r="E43" i="8" s="1"/>
  <c r="E16" i="9"/>
  <c r="C48" i="10"/>
  <c r="C42" i="10" s="1"/>
  <c r="C59" i="10"/>
  <c r="C61" i="10" s="1"/>
  <c r="C57" i="10" s="1"/>
  <c r="E50" i="12"/>
  <c r="F50" i="12"/>
  <c r="F38" i="3"/>
  <c r="F43" i="3"/>
  <c r="F44" i="3"/>
  <c r="F45" i="3"/>
  <c r="F47" i="3"/>
  <c r="F48" i="3"/>
  <c r="F49" i="3"/>
  <c r="F51" i="3"/>
  <c r="F81" i="3"/>
  <c r="F84" i="3"/>
  <c r="F85" i="3"/>
  <c r="F87" i="3"/>
  <c r="F88" i="3"/>
  <c r="F89" i="3"/>
  <c r="F91" i="3"/>
  <c r="F92" i="3"/>
  <c r="F93" i="3"/>
  <c r="F124" i="3"/>
  <c r="F179" i="3"/>
  <c r="F41" i="4"/>
  <c r="C83" i="4"/>
  <c r="F155" i="4"/>
  <c r="C43" i="5"/>
  <c r="C121" i="7"/>
  <c r="E15" i="10"/>
  <c r="E25" i="10"/>
  <c r="E27" i="10" s="1"/>
  <c r="E21" i="10" s="1"/>
  <c r="C43" i="1"/>
  <c r="E171" i="4"/>
  <c r="F171" i="4" s="1"/>
  <c r="D176" i="4"/>
  <c r="E176" i="4" s="1"/>
  <c r="F176" i="4" s="1"/>
  <c r="C57" i="5"/>
  <c r="C62" i="5" s="1"/>
  <c r="E166" i="5"/>
  <c r="F24" i="6"/>
  <c r="F50" i="6"/>
  <c r="E101" i="6"/>
  <c r="F101" i="6" s="1"/>
  <c r="E128" i="6"/>
  <c r="E167" i="6"/>
  <c r="E193" i="6"/>
  <c r="E201" i="6"/>
  <c r="F201" i="6"/>
  <c r="E205" i="6"/>
  <c r="F205" i="6" s="1"/>
  <c r="F36" i="7"/>
  <c r="F96" i="7"/>
  <c r="F107" i="7"/>
  <c r="E112" i="7"/>
  <c r="F112" i="7" s="1"/>
  <c r="E116" i="7"/>
  <c r="F116" i="7" s="1"/>
  <c r="E120" i="7"/>
  <c r="F120" i="7" s="1"/>
  <c r="E38" i="8"/>
  <c r="F38" i="8" s="1"/>
  <c r="E73" i="8"/>
  <c r="F73" i="8" s="1"/>
  <c r="F16" i="9"/>
  <c r="F39" i="9"/>
  <c r="E30" i="12"/>
  <c r="E59" i="10"/>
  <c r="E61" i="10" s="1"/>
  <c r="E57" i="10" s="1"/>
  <c r="E48" i="10"/>
  <c r="E42" i="10" s="1"/>
  <c r="E38" i="1"/>
  <c r="F38" i="1" s="1"/>
  <c r="C65" i="1"/>
  <c r="C75" i="1" s="1"/>
  <c r="C19" i="2"/>
  <c r="E19" i="2" s="1"/>
  <c r="F19" i="2" s="1"/>
  <c r="F109" i="4"/>
  <c r="C88" i="5"/>
  <c r="C90" i="5" s="1"/>
  <c r="C86" i="5" s="1"/>
  <c r="E23" i="6"/>
  <c r="F23" i="6" s="1"/>
  <c r="E37" i="6"/>
  <c r="F37" i="6" s="1"/>
  <c r="E49" i="6"/>
  <c r="F49" i="6" s="1"/>
  <c r="F75" i="6"/>
  <c r="F88" i="6"/>
  <c r="E102" i="6"/>
  <c r="F102" i="6"/>
  <c r="E198" i="6"/>
  <c r="F198" i="6" s="1"/>
  <c r="E202" i="6"/>
  <c r="F202" i="6" s="1"/>
  <c r="E206" i="6"/>
  <c r="F206" i="6" s="1"/>
  <c r="E24" i="7"/>
  <c r="E35" i="7"/>
  <c r="F35" i="7"/>
  <c r="E47" i="7"/>
  <c r="E59" i="7"/>
  <c r="E71" i="7"/>
  <c r="E83" i="7"/>
  <c r="E95" i="7"/>
  <c r="F95" i="7"/>
  <c r="E113" i="7"/>
  <c r="F113" i="7" s="1"/>
  <c r="F115" i="7"/>
  <c r="E117" i="7"/>
  <c r="F117" i="7" s="1"/>
  <c r="F119" i="7"/>
  <c r="C122" i="7"/>
  <c r="E29" i="8"/>
  <c r="F29" i="8" s="1"/>
  <c r="E61" i="8"/>
  <c r="F61" i="8" s="1"/>
  <c r="C65" i="8"/>
  <c r="E46" i="9"/>
  <c r="D50" i="10"/>
  <c r="G33" i="11"/>
  <c r="F37" i="12"/>
  <c r="E156" i="15"/>
  <c r="D157" i="15"/>
  <c r="E157" i="15"/>
  <c r="E260" i="15"/>
  <c r="E280" i="14"/>
  <c r="E84" i="12"/>
  <c r="F84" i="12" s="1"/>
  <c r="E99" i="12"/>
  <c r="F99" i="12" s="1"/>
  <c r="E17" i="13"/>
  <c r="F17" i="13" s="1"/>
  <c r="F24" i="14"/>
  <c r="F44" i="14"/>
  <c r="F53" i="14"/>
  <c r="F85" i="14"/>
  <c r="C111" i="14"/>
  <c r="C206" i="14"/>
  <c r="C255" i="14"/>
  <c r="C181" i="14"/>
  <c r="E179" i="14"/>
  <c r="F179" i="14" s="1"/>
  <c r="C239" i="14"/>
  <c r="E237" i="14"/>
  <c r="F237" i="14"/>
  <c r="F250" i="14"/>
  <c r="C168" i="15"/>
  <c r="C145" i="15"/>
  <c r="C46" i="19"/>
  <c r="C40" i="19"/>
  <c r="C36" i="19"/>
  <c r="C30" i="19"/>
  <c r="C111" i="19"/>
  <c r="C54" i="19"/>
  <c r="F55" i="12"/>
  <c r="F65" i="12"/>
  <c r="F70" i="12"/>
  <c r="F92" i="12"/>
  <c r="F21" i="13"/>
  <c r="C31" i="14"/>
  <c r="C37" i="14"/>
  <c r="C60" i="14"/>
  <c r="F110" i="14"/>
  <c r="F145" i="14"/>
  <c r="F280" i="14"/>
  <c r="C44" i="15"/>
  <c r="E71" i="15"/>
  <c r="D76" i="15"/>
  <c r="C223" i="15"/>
  <c r="E165" i="14"/>
  <c r="F165" i="14" s="1"/>
  <c r="C278" i="14"/>
  <c r="C215" i="14"/>
  <c r="C199" i="14"/>
  <c r="C283" i="14"/>
  <c r="C205" i="14"/>
  <c r="C287" i="14"/>
  <c r="F277" i="14"/>
  <c r="D105" i="14"/>
  <c r="D173" i="14"/>
  <c r="D254" i="14"/>
  <c r="E75" i="12"/>
  <c r="F75" i="12" s="1"/>
  <c r="F30" i="14"/>
  <c r="F36" i="14"/>
  <c r="F170" i="14"/>
  <c r="C262" i="14"/>
  <c r="F295" i="14"/>
  <c r="C76" i="15"/>
  <c r="E76" i="15" s="1"/>
  <c r="C214" i="14"/>
  <c r="C304" i="14" s="1"/>
  <c r="C190" i="14"/>
  <c r="C261" i="14"/>
  <c r="C254" i="14"/>
  <c r="E188" i="14"/>
  <c r="F188" i="14" s="1"/>
  <c r="E294" i="14"/>
  <c r="F294" i="14" s="1"/>
  <c r="E298" i="14"/>
  <c r="F298" i="14" s="1"/>
  <c r="E311" i="14"/>
  <c r="F311" i="14" s="1"/>
  <c r="E43" i="15"/>
  <c r="C108" i="19"/>
  <c r="C109" i="19"/>
  <c r="D109" i="19"/>
  <c r="D108" i="19"/>
  <c r="H17" i="11"/>
  <c r="F66" i="14"/>
  <c r="F101" i="14"/>
  <c r="F102" i="14"/>
  <c r="C124" i="14"/>
  <c r="C146" i="14"/>
  <c r="C159" i="14"/>
  <c r="E180" i="14"/>
  <c r="F180" i="14"/>
  <c r="C193" i="14"/>
  <c r="E223" i="14"/>
  <c r="F223" i="14" s="1"/>
  <c r="E238" i="14"/>
  <c r="F238" i="14" s="1"/>
  <c r="E264" i="14"/>
  <c r="F264" i="14" s="1"/>
  <c r="C267" i="14"/>
  <c r="C284" i="14"/>
  <c r="E189" i="15"/>
  <c r="C65" i="16"/>
  <c r="C114" i="16" s="1"/>
  <c r="C116" i="16" s="1"/>
  <c r="C119" i="16" s="1"/>
  <c r="C123" i="16" s="1"/>
  <c r="D41" i="17"/>
  <c r="E32" i="15"/>
  <c r="E38" i="15"/>
  <c r="E54" i="15"/>
  <c r="E60" i="15"/>
  <c r="E70" i="15"/>
  <c r="D77" i="15"/>
  <c r="E139" i="15"/>
  <c r="C163" i="15"/>
  <c r="E163" i="15" s="1"/>
  <c r="D175" i="15"/>
  <c r="E188" i="15"/>
  <c r="D217" i="15"/>
  <c r="D241" i="15" s="1"/>
  <c r="E218" i="15"/>
  <c r="E233" i="15"/>
  <c r="D239" i="15"/>
  <c r="E239" i="15" s="1"/>
  <c r="C242" i="15"/>
  <c r="E242" i="15" s="1"/>
  <c r="D243" i="15"/>
  <c r="E251" i="15"/>
  <c r="D261" i="15"/>
  <c r="D283" i="15"/>
  <c r="D289" i="15"/>
  <c r="D302" i="15"/>
  <c r="C326" i="15"/>
  <c r="C330" i="15" s="1"/>
  <c r="C22" i="16"/>
  <c r="C20" i="17"/>
  <c r="C40" i="17"/>
  <c r="C41" i="17" s="1"/>
  <c r="C46" i="17"/>
  <c r="C33" i="19"/>
  <c r="D34" i="19"/>
  <c r="C101" i="19"/>
  <c r="C103" i="19" s="1"/>
  <c r="D102" i="19"/>
  <c r="D267" i="14"/>
  <c r="D271" i="14" s="1"/>
  <c r="D304" i="14" s="1"/>
  <c r="D285" i="14"/>
  <c r="D306" i="14"/>
  <c r="E306" i="14" s="1"/>
  <c r="E21" i="15"/>
  <c r="E33" i="15"/>
  <c r="E151" i="15"/>
  <c r="C175" i="15"/>
  <c r="E175" i="15" s="1"/>
  <c r="E195" i="15"/>
  <c r="E215" i="15"/>
  <c r="C217" i="15"/>
  <c r="C241" i="15" s="1"/>
  <c r="E241" i="15" s="1"/>
  <c r="D222" i="15"/>
  <c r="D223" i="15" s="1"/>
  <c r="E223" i="15" s="1"/>
  <c r="C261" i="15"/>
  <c r="C289" i="15"/>
  <c r="C49" i="16"/>
  <c r="F33" i="17"/>
  <c r="D22" i="19"/>
  <c r="E23" i="19"/>
  <c r="C34" i="19"/>
  <c r="D124" i="14"/>
  <c r="D125" i="14" s="1"/>
  <c r="D200" i="14"/>
  <c r="D206" i="14"/>
  <c r="E206" i="14" s="1"/>
  <c r="F206" i="14" s="1"/>
  <c r="D262" i="14"/>
  <c r="D263" i="14" s="1"/>
  <c r="E263" i="14" s="1"/>
  <c r="F263" i="14" s="1"/>
  <c r="D274" i="14"/>
  <c r="D55" i="15"/>
  <c r="E55" i="15"/>
  <c r="D65" i="15"/>
  <c r="D294" i="15"/>
  <c r="D144" i="15"/>
  <c r="E19" i="17"/>
  <c r="F19" i="17" s="1"/>
  <c r="E39" i="17"/>
  <c r="E43" i="17"/>
  <c r="C22" i="19"/>
  <c r="D23" i="19"/>
  <c r="D46" i="19" s="1"/>
  <c r="E33" i="19"/>
  <c r="E101" i="19"/>
  <c r="E103" i="19"/>
  <c r="D199" i="14"/>
  <c r="E199" i="14" s="1"/>
  <c r="D205" i="14"/>
  <c r="E205" i="14" s="1"/>
  <c r="F205" i="14" s="1"/>
  <c r="D215" i="14"/>
  <c r="D283" i="14"/>
  <c r="D284" i="14" s="1"/>
  <c r="E284" i="14" s="1"/>
  <c r="F284" i="14" s="1"/>
  <c r="E191" i="14"/>
  <c r="F191" i="14" s="1"/>
  <c r="C65" i="15"/>
  <c r="C66" i="15" s="1"/>
  <c r="D190" i="14"/>
  <c r="E190" i="14" s="1"/>
  <c r="F190" i="14" s="1"/>
  <c r="C194" i="14"/>
  <c r="E146" i="14"/>
  <c r="F146" i="14" s="1"/>
  <c r="C61" i="14"/>
  <c r="C56" i="19"/>
  <c r="C48" i="19"/>
  <c r="C38" i="19"/>
  <c r="C113" i="19"/>
  <c r="G36" i="11"/>
  <c r="G38" i="11"/>
  <c r="G40" i="11" s="1"/>
  <c r="C75" i="8"/>
  <c r="C155" i="5"/>
  <c r="C157" i="5"/>
  <c r="C154" i="5"/>
  <c r="C152" i="5"/>
  <c r="C153" i="5"/>
  <c r="C156" i="5"/>
  <c r="C24" i="10"/>
  <c r="C17" i="10"/>
  <c r="C28" i="10" s="1"/>
  <c r="F43" i="17"/>
  <c r="C282" i="14"/>
  <c r="E40" i="17"/>
  <c r="F40" i="17" s="1"/>
  <c r="C266" i="14"/>
  <c r="E65" i="8"/>
  <c r="F65" i="8" s="1"/>
  <c r="D66" i="15"/>
  <c r="E217" i="15"/>
  <c r="D145" i="15"/>
  <c r="E144" i="15"/>
  <c r="D168" i="15"/>
  <c r="E168" i="15"/>
  <c r="D246" i="15"/>
  <c r="E222" i="15"/>
  <c r="E243" i="15"/>
  <c r="D252" i="15"/>
  <c r="E239" i="14"/>
  <c r="F239" i="14" s="1"/>
  <c r="E111" i="14"/>
  <c r="F111" i="14" s="1"/>
  <c r="E157" i="5"/>
  <c r="E153" i="5"/>
  <c r="E155" i="5"/>
  <c r="E156" i="5"/>
  <c r="E154" i="5"/>
  <c r="E152" i="5"/>
  <c r="E121" i="7"/>
  <c r="F121" i="7" s="1"/>
  <c r="E17" i="5"/>
  <c r="E24" i="5"/>
  <c r="E20" i="5"/>
  <c r="C126" i="14"/>
  <c r="D287" i="14"/>
  <c r="C32" i="14"/>
  <c r="E31" i="14"/>
  <c r="F31" i="14" s="1"/>
  <c r="C169" i="15"/>
  <c r="C41" i="9"/>
  <c r="D300" i="14"/>
  <c r="F43" i="8"/>
  <c r="D40" i="19"/>
  <c r="D30" i="19"/>
  <c r="D54" i="19"/>
  <c r="D286" i="14"/>
  <c r="E283" i="14"/>
  <c r="F283" i="14" s="1"/>
  <c r="D53" i="19"/>
  <c r="D45" i="19"/>
  <c r="D39" i="19"/>
  <c r="D35" i="19"/>
  <c r="D29" i="19"/>
  <c r="D110" i="19"/>
  <c r="E302" i="15"/>
  <c r="D303" i="15"/>
  <c r="D127" i="15"/>
  <c r="D123" i="15"/>
  <c r="D112" i="15"/>
  <c r="D126" i="15"/>
  <c r="D122" i="15"/>
  <c r="D115" i="15"/>
  <c r="D111" i="15"/>
  <c r="D125" i="15"/>
  <c r="D121" i="15"/>
  <c r="D114" i="15"/>
  <c r="D110" i="15"/>
  <c r="D124" i="15"/>
  <c r="D113" i="15"/>
  <c r="D109" i="15"/>
  <c r="C268" i="14"/>
  <c r="C263" i="14"/>
  <c r="C271" i="14"/>
  <c r="E254" i="14"/>
  <c r="F254" i="14" s="1"/>
  <c r="E215" i="14"/>
  <c r="F215" i="14" s="1"/>
  <c r="D255" i="14"/>
  <c r="E255" i="14" s="1"/>
  <c r="F255" i="14" s="1"/>
  <c r="C45" i="19"/>
  <c r="C39" i="19"/>
  <c r="C35" i="19"/>
  <c r="C29" i="19"/>
  <c r="C110" i="19"/>
  <c r="C53" i="19"/>
  <c r="D272" i="14"/>
  <c r="E262" i="14"/>
  <c r="F262" i="14" s="1"/>
  <c r="E54" i="19"/>
  <c r="E46" i="19"/>
  <c r="E40" i="19"/>
  <c r="E36" i="19"/>
  <c r="E30" i="19"/>
  <c r="D270" i="14"/>
  <c r="E267" i="14"/>
  <c r="F267" i="14" s="1"/>
  <c r="E214" i="14"/>
  <c r="F214" i="14" s="1"/>
  <c r="C216" i="14"/>
  <c r="D106" i="14"/>
  <c r="C99" i="15"/>
  <c r="C95" i="15"/>
  <c r="C88" i="15"/>
  <c r="C84" i="15"/>
  <c r="C258" i="15"/>
  <c r="C98" i="15"/>
  <c r="C87" i="15"/>
  <c r="C83" i="15"/>
  <c r="C101" i="15"/>
  <c r="C97" i="15"/>
  <c r="C86" i="15"/>
  <c r="C100" i="15"/>
  <c r="C96" i="15"/>
  <c r="C89" i="15"/>
  <c r="C85" i="15"/>
  <c r="E37" i="14"/>
  <c r="F37" i="14" s="1"/>
  <c r="C33" i="2"/>
  <c r="E17" i="10"/>
  <c r="E28" i="10" s="1"/>
  <c r="E70" i="10" s="1"/>
  <c r="E72" i="10" s="1"/>
  <c r="E69" i="10" s="1"/>
  <c r="E24" i="10"/>
  <c r="E20" i="10"/>
  <c r="C20" i="10"/>
  <c r="C21" i="10"/>
  <c r="E33" i="2"/>
  <c r="D41" i="2"/>
  <c r="C294" i="15"/>
  <c r="E294" i="15" s="1"/>
  <c r="E261" i="15"/>
  <c r="D259" i="15"/>
  <c r="D263" i="15" s="1"/>
  <c r="C161" i="14"/>
  <c r="D216" i="14"/>
  <c r="E216" i="14" s="1"/>
  <c r="F216" i="14" s="1"/>
  <c r="E261" i="14"/>
  <c r="F261" i="14" s="1"/>
  <c r="D175" i="14"/>
  <c r="C279" i="14"/>
  <c r="F199" i="14"/>
  <c r="E20" i="17"/>
  <c r="F20" i="17" s="1"/>
  <c r="D284" i="15"/>
  <c r="E41" i="8"/>
  <c r="F41" i="8" s="1"/>
  <c r="E122" i="7"/>
  <c r="F122" i="7" s="1"/>
  <c r="D273" i="14"/>
  <c r="D48" i="2"/>
  <c r="C112" i="19"/>
  <c r="C55" i="19"/>
  <c r="C47" i="19"/>
  <c r="C37" i="19"/>
  <c r="D128" i="15"/>
  <c r="C48" i="9"/>
  <c r="E112" i="5"/>
  <c r="E111" i="5"/>
  <c r="E28" i="5"/>
  <c r="C139" i="14"/>
  <c r="C104" i="14"/>
  <c r="E304" i="14"/>
  <c r="F304" i="14" s="1"/>
  <c r="C196" i="14"/>
  <c r="C158" i="5"/>
  <c r="D176" i="14"/>
  <c r="E145" i="15"/>
  <c r="D169" i="15"/>
  <c r="E169" i="15" s="1"/>
  <c r="E75" i="8"/>
  <c r="F75" i="8" s="1"/>
  <c r="C162" i="14"/>
  <c r="C41" i="2"/>
  <c r="F33" i="2"/>
  <c r="E48" i="19"/>
  <c r="E38" i="19"/>
  <c r="E56" i="19"/>
  <c r="D116" i="15"/>
  <c r="D117" i="15" s="1"/>
  <c r="D131" i="15" s="1"/>
  <c r="D306" i="15"/>
  <c r="D310" i="15" s="1"/>
  <c r="D113" i="19"/>
  <c r="D56" i="19"/>
  <c r="D48" i="19"/>
  <c r="D38" i="19"/>
  <c r="C62" i="14"/>
  <c r="C105" i="14"/>
  <c r="C106" i="14" s="1"/>
  <c r="E106" i="14" s="1"/>
  <c r="F106" i="14" s="1"/>
  <c r="E32" i="14"/>
  <c r="F32" i="14" s="1"/>
  <c r="C140" i="14"/>
  <c r="E287" i="14"/>
  <c r="F287" i="14"/>
  <c r="C127" i="14"/>
  <c r="C90" i="15"/>
  <c r="C91" i="15"/>
  <c r="E22" i="10"/>
  <c r="E271" i="14"/>
  <c r="F271" i="14" s="1"/>
  <c r="D47" i="19"/>
  <c r="D37" i="19"/>
  <c r="D112" i="19"/>
  <c r="D55" i="19"/>
  <c r="E66" i="15"/>
  <c r="D295" i="15"/>
  <c r="C265" i="14"/>
  <c r="C281" i="14"/>
  <c r="E158" i="5"/>
  <c r="C197" i="14"/>
  <c r="E105" i="14"/>
  <c r="C48" i="2"/>
  <c r="E48" i="2" s="1"/>
  <c r="F48" i="2" s="1"/>
  <c r="C63" i="14"/>
  <c r="C141" i="14"/>
  <c r="C322" i="14" s="1"/>
  <c r="E99" i="5"/>
  <c r="E101" i="5" s="1"/>
  <c r="E98" i="5" s="1"/>
  <c r="E22" i="5"/>
  <c r="D129" i="15"/>
  <c r="E41" i="2"/>
  <c r="F41" i="2" s="1"/>
  <c r="C70" i="10" l="1"/>
  <c r="C72" i="10" s="1"/>
  <c r="C69" i="10" s="1"/>
  <c r="C22" i="10"/>
  <c r="C148" i="14"/>
  <c r="F105" i="14"/>
  <c r="C102" i="15"/>
  <c r="C103" i="15" s="1"/>
  <c r="C105" i="15" s="1"/>
  <c r="E124" i="14"/>
  <c r="F124" i="14" s="1"/>
  <c r="C77" i="15"/>
  <c r="C259" i="15"/>
  <c r="E29" i="1"/>
  <c r="E73" i="1"/>
  <c r="F73" i="1" s="1"/>
  <c r="E31" i="2"/>
  <c r="F31" i="2" s="1"/>
  <c r="E39" i="2"/>
  <c r="F39" i="2" s="1"/>
  <c r="E25" i="3"/>
  <c r="F25" i="3" s="1"/>
  <c r="C52" i="3"/>
  <c r="E42" i="3"/>
  <c r="D15" i="5"/>
  <c r="D25" i="5"/>
  <c r="D27" i="5" s="1"/>
  <c r="F31" i="11"/>
  <c r="F33" i="11"/>
  <c r="F36" i="11" s="1"/>
  <c r="F38" i="11" s="1"/>
  <c r="F40" i="11" s="1"/>
  <c r="C210" i="15"/>
  <c r="D60" i="14"/>
  <c r="E59" i="14"/>
  <c r="F59" i="14" s="1"/>
  <c r="E41" i="17"/>
  <c r="F41" i="17" s="1"/>
  <c r="E289" i="15"/>
  <c r="E207" i="6"/>
  <c r="F207" i="6" s="1"/>
  <c r="C33" i="11"/>
  <c r="C31" i="11"/>
  <c r="I17" i="11"/>
  <c r="G31" i="11"/>
  <c r="I31" i="11" s="1"/>
  <c r="E52" i="14"/>
  <c r="F52" i="14" s="1"/>
  <c r="C77" i="14"/>
  <c r="E77" i="14" s="1"/>
  <c r="E76" i="14"/>
  <c r="F76" i="14" s="1"/>
  <c r="E109" i="14"/>
  <c r="F109" i="14" s="1"/>
  <c r="E129" i="14"/>
  <c r="F129" i="14" s="1"/>
  <c r="D159" i="14"/>
  <c r="D192" i="14"/>
  <c r="D193" i="14" s="1"/>
  <c r="D278" i="14"/>
  <c r="E189" i="14"/>
  <c r="F189" i="14" s="1"/>
  <c r="D290" i="14"/>
  <c r="E198" i="14"/>
  <c r="E46" i="3"/>
  <c r="F46" i="3" s="1"/>
  <c r="E50" i="3"/>
  <c r="F50" i="3" s="1"/>
  <c r="E90" i="3"/>
  <c r="F90" i="3" s="1"/>
  <c r="E94" i="3"/>
  <c r="F94" i="3" s="1"/>
  <c r="E111" i="3"/>
  <c r="F111" i="3" s="1"/>
  <c r="E153" i="3"/>
  <c r="F153" i="3" s="1"/>
  <c r="E166" i="3"/>
  <c r="F166" i="3" s="1"/>
  <c r="E24" i="4"/>
  <c r="F24" i="4" s="1"/>
  <c r="E30" i="4"/>
  <c r="F30" i="4" s="1"/>
  <c r="E118" i="4"/>
  <c r="F118" i="4" s="1"/>
  <c r="D90" i="5"/>
  <c r="D86" i="5" s="1"/>
  <c r="E79" i="5"/>
  <c r="C149" i="5"/>
  <c r="E36" i="6"/>
  <c r="F36" i="6" s="1"/>
  <c r="E62" i="6"/>
  <c r="F62" i="6" s="1"/>
  <c r="E76" i="6"/>
  <c r="F76" i="6" s="1"/>
  <c r="E89" i="6"/>
  <c r="F89" i="6" s="1"/>
  <c r="E115" i="6"/>
  <c r="F115" i="6" s="1"/>
  <c r="E180" i="6"/>
  <c r="C208" i="6"/>
  <c r="E200" i="6"/>
  <c r="F200" i="6" s="1"/>
  <c r="E204" i="6"/>
  <c r="F204" i="6" s="1"/>
  <c r="E60" i="7"/>
  <c r="E84" i="7"/>
  <c r="E108" i="7"/>
  <c r="F108" i="7" s="1"/>
  <c r="E114" i="7"/>
  <c r="F114" i="7" s="1"/>
  <c r="E118" i="7"/>
  <c r="F118" i="7" s="1"/>
  <c r="D33" i="9"/>
  <c r="E31" i="9"/>
  <c r="F31" i="9" s="1"/>
  <c r="D27" i="10"/>
  <c r="D21" i="10" s="1"/>
  <c r="C80" i="10"/>
  <c r="C77" i="10" s="1"/>
  <c r="E80" i="10"/>
  <c r="E77" i="10" s="1"/>
  <c r="E16" i="12"/>
  <c r="F16" i="12" s="1"/>
  <c r="E23" i="12"/>
  <c r="F23" i="12" s="1"/>
  <c r="E45" i="12"/>
  <c r="C68" i="14"/>
  <c r="E68" i="14" s="1"/>
  <c r="F68" i="14" s="1"/>
  <c r="E299" i="14"/>
  <c r="F299" i="14" s="1"/>
  <c r="E73" i="15"/>
  <c r="E166" i="15"/>
  <c r="E293" i="15"/>
  <c r="E314" i="15"/>
  <c r="D316" i="15"/>
  <c r="E44" i="17"/>
  <c r="E46" i="17" s="1"/>
  <c r="F46" i="17" s="1"/>
  <c r="E45" i="17"/>
  <c r="F45" i="17" s="1"/>
  <c r="E22" i="19"/>
  <c r="E35" i="14"/>
  <c r="F35" i="14" s="1"/>
  <c r="E144" i="14"/>
  <c r="F144" i="14" s="1"/>
  <c r="E155" i="14"/>
  <c r="F155" i="14" s="1"/>
  <c r="E135" i="14"/>
  <c r="F135" i="14" s="1"/>
  <c r="E158" i="14"/>
  <c r="F158" i="14" s="1"/>
  <c r="E230" i="14"/>
  <c r="F230" i="14" s="1"/>
  <c r="E40" i="15"/>
  <c r="E42" i="15"/>
  <c r="E165" i="15"/>
  <c r="E167" i="15"/>
  <c r="E229" i="15"/>
  <c r="D210" i="15"/>
  <c r="D180" i="15" s="1"/>
  <c r="E277" i="15"/>
  <c r="E278" i="15"/>
  <c r="E279" i="15"/>
  <c r="E16" i="17"/>
  <c r="F16" i="17" s="1"/>
  <c r="E21" i="18"/>
  <c r="F21" i="18" s="1"/>
  <c r="E77" i="19"/>
  <c r="D88" i="19"/>
  <c r="C93" i="19"/>
  <c r="E93" i="19"/>
  <c r="C98" i="19"/>
  <c r="E98" i="19"/>
  <c r="E94" i="14"/>
  <c r="F94" i="14" s="1"/>
  <c r="E100" i="14"/>
  <c r="F100" i="14" s="1"/>
  <c r="E164" i="14"/>
  <c r="F164" i="14" s="1"/>
  <c r="D181" i="14"/>
  <c r="E181" i="14" s="1"/>
  <c r="F181" i="14" s="1"/>
  <c r="E203" i="14"/>
  <c r="F203" i="14" s="1"/>
  <c r="E229" i="14"/>
  <c r="F229" i="14" s="1"/>
  <c r="C295" i="15"/>
  <c r="E295" i="15" s="1"/>
  <c r="C247" i="15"/>
  <c r="D247" i="15"/>
  <c r="C138" i="5"/>
  <c r="C136" i="5"/>
  <c r="C137" i="5"/>
  <c r="C140" i="5"/>
  <c r="C139" i="5"/>
  <c r="C135" i="5"/>
  <c r="E140" i="5"/>
  <c r="E135" i="5"/>
  <c r="E137" i="5"/>
  <c r="E136" i="5"/>
  <c r="E138" i="5"/>
  <c r="E139" i="5"/>
  <c r="E68" i="3"/>
  <c r="F68" i="3" s="1"/>
  <c r="E137" i="3"/>
  <c r="F137" i="3" s="1"/>
  <c r="E59" i="4"/>
  <c r="F59" i="4" s="1"/>
  <c r="D83" i="4"/>
  <c r="E83" i="4" s="1"/>
  <c r="F83" i="4" s="1"/>
  <c r="D49" i="5"/>
  <c r="D57" i="5"/>
  <c r="D62" i="5" s="1"/>
  <c r="D77" i="5"/>
  <c r="D71" i="5" s="1"/>
  <c r="D139" i="5"/>
  <c r="D137" i="5"/>
  <c r="D136" i="5"/>
  <c r="E141" i="6"/>
  <c r="E154" i="6"/>
  <c r="E208" i="6"/>
  <c r="E199" i="6"/>
  <c r="F199" i="6" s="1"/>
  <c r="D111" i="19"/>
  <c r="D36" i="19"/>
  <c r="C246" i="15"/>
  <c r="E246" i="15" s="1"/>
  <c r="F39" i="17"/>
  <c r="E65" i="15"/>
  <c r="C112" i="15"/>
  <c r="E112" i="15" s="1"/>
  <c r="C127" i="15"/>
  <c r="E127" i="15" s="1"/>
  <c r="C113" i="15"/>
  <c r="E113" i="15" s="1"/>
  <c r="C114" i="15"/>
  <c r="E114" i="15" s="1"/>
  <c r="C125" i="15"/>
  <c r="E125" i="15" s="1"/>
  <c r="C115" i="15"/>
  <c r="E115" i="15" s="1"/>
  <c r="D268" i="14"/>
  <c r="E268" i="14" s="1"/>
  <c r="F268" i="14" s="1"/>
  <c r="F42" i="3"/>
  <c r="E22" i="1"/>
  <c r="F22" i="1" s="1"/>
  <c r="D43" i="1"/>
  <c r="E43" i="1" s="1"/>
  <c r="F43" i="1" s="1"/>
  <c r="F41" i="1"/>
  <c r="E61" i="1"/>
  <c r="F61" i="1" s="1"/>
  <c r="D65" i="1"/>
  <c r="D52" i="3"/>
  <c r="E52" i="3" s="1"/>
  <c r="F52" i="3" s="1"/>
  <c r="E41" i="3"/>
  <c r="F41" i="3" s="1"/>
  <c r="E86" i="3"/>
  <c r="F86" i="3" s="1"/>
  <c r="C95" i="3"/>
  <c r="E18" i="4"/>
  <c r="F18" i="4" s="1"/>
  <c r="E78" i="4"/>
  <c r="F78" i="4" s="1"/>
  <c r="C15" i="5"/>
  <c r="C25" i="5"/>
  <c r="C27" i="5" s="1"/>
  <c r="C49" i="5"/>
  <c r="C53" i="5"/>
  <c r="D43" i="5"/>
  <c r="E77" i="5"/>
  <c r="E71" i="5" s="1"/>
  <c r="E88" i="5"/>
  <c r="E90" i="5" s="1"/>
  <c r="E86" i="5" s="1"/>
  <c r="D109" i="5"/>
  <c r="D106" i="5" s="1"/>
  <c r="D156" i="5"/>
  <c r="D154" i="5"/>
  <c r="D155" i="5"/>
  <c r="E140" i="6"/>
  <c r="E153" i="6"/>
  <c r="E166" i="6"/>
  <c r="F208" i="6"/>
  <c r="E23" i="7"/>
  <c r="E72" i="7"/>
  <c r="D59" i="10"/>
  <c r="D61" i="10" s="1"/>
  <c r="D57" i="10" s="1"/>
  <c r="D48" i="10"/>
  <c r="D42" i="10" s="1"/>
  <c r="E123" i="14"/>
  <c r="F123" i="14" s="1"/>
  <c r="C172" i="14"/>
  <c r="C192" i="14"/>
  <c r="C227" i="14"/>
  <c r="F297" i="14"/>
  <c r="E297" i="14"/>
  <c r="C234" i="15"/>
  <c r="E216" i="15"/>
  <c r="E220" i="15"/>
  <c r="D245" i="15"/>
  <c r="E245" i="15" s="1"/>
  <c r="E221" i="15"/>
  <c r="E67" i="14"/>
  <c r="F67" i="14" s="1"/>
  <c r="D137" i="14"/>
  <c r="E136" i="14"/>
  <c r="F136" i="14" s="1"/>
  <c r="E227" i="14"/>
  <c r="E296" i="14"/>
  <c r="F296" i="14" s="1"/>
  <c r="E307" i="14"/>
  <c r="F307" i="14" s="1"/>
  <c r="E43" i="5"/>
  <c r="E22" i="8"/>
  <c r="F22" i="8" s="1"/>
  <c r="D80" i="10"/>
  <c r="D77" i="10" s="1"/>
  <c r="E33" i="11"/>
  <c r="E36" i="11" s="1"/>
  <c r="E38" i="11" s="1"/>
  <c r="E31" i="11"/>
  <c r="H33" i="11"/>
  <c r="H36" i="11" s="1"/>
  <c r="H38" i="11" s="1"/>
  <c r="H40" i="11" s="1"/>
  <c r="D33" i="11"/>
  <c r="D36" i="11" s="1"/>
  <c r="D38" i="11" s="1"/>
  <c r="E29" i="14"/>
  <c r="F29" i="14" s="1"/>
  <c r="C48" i="14"/>
  <c r="F47" i="14"/>
  <c r="F88" i="14"/>
  <c r="C89" i="14"/>
  <c r="F120" i="14"/>
  <c r="F130" i="14"/>
  <c r="E130" i="14"/>
  <c r="C207" i="14"/>
  <c r="E171" i="14"/>
  <c r="F171" i="14" s="1"/>
  <c r="C274" i="14"/>
  <c r="F198" i="14"/>
  <c r="C290" i="14"/>
  <c r="C269" i="14"/>
  <c r="E204" i="14"/>
  <c r="F204" i="14" s="1"/>
  <c r="E226" i="14"/>
  <c r="F226" i="14" s="1"/>
  <c r="C285" i="14"/>
  <c r="E285" i="14" s="1"/>
  <c r="C283" i="15"/>
  <c r="E283" i="15" s="1"/>
  <c r="C22" i="15"/>
  <c r="E36" i="15"/>
  <c r="D44" i="15"/>
  <c r="E231" i="15"/>
  <c r="C240" i="15"/>
  <c r="C253" i="15" s="1"/>
  <c r="D326" i="15"/>
  <c r="E324" i="15"/>
  <c r="F22" i="17"/>
  <c r="E25" i="17"/>
  <c r="F25" i="17" s="1"/>
  <c r="D101" i="19"/>
  <c r="D103" i="19" s="1"/>
  <c r="D21" i="14"/>
  <c r="E20" i="14"/>
  <c r="F20" i="14" s="1"/>
  <c r="D15" i="10"/>
  <c r="C200" i="14"/>
  <c r="E200" i="14" s="1"/>
  <c r="E162" i="15"/>
  <c r="E177" i="15"/>
  <c r="E179" i="15"/>
  <c r="E205" i="15"/>
  <c r="D211" i="15"/>
  <c r="E210" i="15"/>
  <c r="D234" i="15"/>
  <c r="E234" i="15" s="1"/>
  <c r="E230" i="15"/>
  <c r="D253" i="15"/>
  <c r="E240" i="15"/>
  <c r="E244" i="15"/>
  <c r="E262" i="15"/>
  <c r="E281" i="15"/>
  <c r="E287" i="15"/>
  <c r="E290" i="15"/>
  <c r="C303" i="15"/>
  <c r="E301" i="15"/>
  <c r="E36" i="17"/>
  <c r="F36" i="17" s="1"/>
  <c r="D98" i="19"/>
  <c r="E269" i="14"/>
  <c r="E109" i="19" l="1"/>
  <c r="E113" i="19"/>
  <c r="E108" i="19"/>
  <c r="E111" i="19"/>
  <c r="E110" i="19"/>
  <c r="E35" i="19"/>
  <c r="E45" i="19"/>
  <c r="E53" i="19"/>
  <c r="E29" i="19"/>
  <c r="E39" i="19"/>
  <c r="D41" i="9"/>
  <c r="E33" i="9"/>
  <c r="F33" i="9" s="1"/>
  <c r="D266" i="14"/>
  <c r="D194" i="14"/>
  <c r="D282" i="14"/>
  <c r="E193" i="14"/>
  <c r="F193" i="14" s="1"/>
  <c r="C180" i="15"/>
  <c r="E180" i="15" s="1"/>
  <c r="C211" i="15"/>
  <c r="H31" i="11"/>
  <c r="D24" i="5"/>
  <c r="D17" i="5"/>
  <c r="C263" i="15"/>
  <c r="E259" i="15"/>
  <c r="C141" i="5"/>
  <c r="E247" i="15"/>
  <c r="E316" i="15"/>
  <c r="D320" i="15"/>
  <c r="E320" i="15" s="1"/>
  <c r="D288" i="14"/>
  <c r="D279" i="14"/>
  <c r="E279" i="14" s="1"/>
  <c r="F279" i="14" s="1"/>
  <c r="E278" i="14"/>
  <c r="F278" i="14" s="1"/>
  <c r="D160" i="14"/>
  <c r="E159" i="14"/>
  <c r="F159" i="14" s="1"/>
  <c r="C36" i="11"/>
  <c r="C38" i="11" s="1"/>
  <c r="C40" i="11" s="1"/>
  <c r="I33" i="11"/>
  <c r="I36" i="11" s="1"/>
  <c r="I38" i="11" s="1"/>
  <c r="I40" i="11" s="1"/>
  <c r="D61" i="14"/>
  <c r="E60" i="14"/>
  <c r="F60" i="14" s="1"/>
  <c r="F44" i="17"/>
  <c r="D20" i="5"/>
  <c r="D21" i="5"/>
  <c r="C126" i="15"/>
  <c r="E126" i="15" s="1"/>
  <c r="C111" i="15"/>
  <c r="E111" i="15" s="1"/>
  <c r="C110" i="15"/>
  <c r="E110" i="15" s="1"/>
  <c r="C109" i="15"/>
  <c r="E109" i="15" s="1"/>
  <c r="E77" i="15"/>
  <c r="C122" i="15"/>
  <c r="C121" i="15"/>
  <c r="E121" i="15" s="1"/>
  <c r="C124" i="15"/>
  <c r="E124" i="15" s="1"/>
  <c r="C123" i="15"/>
  <c r="E123" i="15" s="1"/>
  <c r="C306" i="15"/>
  <c r="E303" i="15"/>
  <c r="E253" i="15"/>
  <c r="D254" i="15"/>
  <c r="D235" i="15"/>
  <c r="E211" i="15"/>
  <c r="D181" i="15"/>
  <c r="D24" i="10"/>
  <c r="D20" i="10" s="1"/>
  <c r="D17" i="10"/>
  <c r="D28" i="10" s="1"/>
  <c r="D49" i="14"/>
  <c r="D126" i="14"/>
  <c r="E21" i="14"/>
  <c r="F21" i="14" s="1"/>
  <c r="D161" i="14"/>
  <c r="D91" i="14"/>
  <c r="D196" i="14"/>
  <c r="C252" i="15"/>
  <c r="F269" i="14"/>
  <c r="C270" i="14"/>
  <c r="C272" i="14"/>
  <c r="C90" i="14"/>
  <c r="C160" i="14"/>
  <c r="C125" i="14"/>
  <c r="E48" i="14"/>
  <c r="F48" i="14" s="1"/>
  <c r="C195" i="14"/>
  <c r="E192" i="14"/>
  <c r="F192" i="14" s="1"/>
  <c r="C173" i="14"/>
  <c r="E172" i="14"/>
  <c r="F172" i="14" s="1"/>
  <c r="D158" i="5"/>
  <c r="C21" i="5"/>
  <c r="F95" i="3"/>
  <c r="E95" i="3"/>
  <c r="D75" i="1"/>
  <c r="E75" i="1" s="1"/>
  <c r="F75" i="1" s="1"/>
  <c r="E65" i="1"/>
  <c r="F65" i="1" s="1"/>
  <c r="D141" i="5"/>
  <c r="C116" i="15"/>
  <c r="F200" i="14"/>
  <c r="D330" i="15"/>
  <c r="E330" i="15" s="1"/>
  <c r="E326" i="15"/>
  <c r="D96" i="15"/>
  <c r="D85" i="15"/>
  <c r="E85" i="15" s="1"/>
  <c r="D95" i="15"/>
  <c r="D84" i="15"/>
  <c r="D258" i="15"/>
  <c r="D87" i="15"/>
  <c r="E87" i="15" s="1"/>
  <c r="D101" i="15"/>
  <c r="E101" i="15" s="1"/>
  <c r="D86" i="15"/>
  <c r="E86" i="15" s="1"/>
  <c r="D100" i="15"/>
  <c r="E100" i="15" s="1"/>
  <c r="D89" i="15"/>
  <c r="E89" i="15" s="1"/>
  <c r="D99" i="15"/>
  <c r="E99" i="15" s="1"/>
  <c r="D88" i="15"/>
  <c r="E88" i="15" s="1"/>
  <c r="E44" i="15"/>
  <c r="D98" i="15"/>
  <c r="E98" i="15" s="1"/>
  <c r="D83" i="15"/>
  <c r="D97" i="15"/>
  <c r="E97" i="15" s="1"/>
  <c r="C284" i="15"/>
  <c r="E284" i="15" s="1"/>
  <c r="E22" i="15"/>
  <c r="F285" i="14"/>
  <c r="C288" i="14"/>
  <c r="C286" i="14"/>
  <c r="F290" i="14"/>
  <c r="E290" i="14"/>
  <c r="C300" i="14"/>
  <c r="C208" i="14"/>
  <c r="E89" i="14"/>
  <c r="C91" i="14"/>
  <c r="F89" i="14"/>
  <c r="E137" i="14"/>
  <c r="F137" i="14" s="1"/>
  <c r="D207" i="14"/>
  <c r="D138" i="14"/>
  <c r="F227" i="14"/>
  <c r="C49" i="14"/>
  <c r="C17" i="5"/>
  <c r="C24" i="5"/>
  <c r="C20" i="5" s="1"/>
  <c r="E141" i="5"/>
  <c r="E274" i="14"/>
  <c r="F274" i="14" s="1"/>
  <c r="D62" i="14" l="1"/>
  <c r="D174" i="14"/>
  <c r="D104" i="14"/>
  <c r="E104" i="14" s="1"/>
  <c r="F104" i="14" s="1"/>
  <c r="E61" i="14"/>
  <c r="F61" i="14" s="1"/>
  <c r="D28" i="5"/>
  <c r="D112" i="5"/>
  <c r="D111" i="5" s="1"/>
  <c r="D281" i="14"/>
  <c r="E281" i="14" s="1"/>
  <c r="F281" i="14" s="1"/>
  <c r="E282" i="14"/>
  <c r="F282" i="14" s="1"/>
  <c r="D265" i="14"/>
  <c r="E265" i="14" s="1"/>
  <c r="F265" i="14" s="1"/>
  <c r="E266" i="14"/>
  <c r="F266" i="14" s="1"/>
  <c r="D48" i="9"/>
  <c r="E48" i="9" s="1"/>
  <c r="F48" i="9" s="1"/>
  <c r="E41" i="9"/>
  <c r="F41" i="9" s="1"/>
  <c r="E37" i="19"/>
  <c r="E47" i="19"/>
  <c r="E112" i="19"/>
  <c r="E55" i="19"/>
  <c r="E122" i="15"/>
  <c r="C128" i="15"/>
  <c r="D289" i="14"/>
  <c r="D291" i="14"/>
  <c r="D305" i="14" s="1"/>
  <c r="D309" i="14" s="1"/>
  <c r="D310" i="14" s="1"/>
  <c r="D312" i="14" s="1"/>
  <c r="D313" i="14" s="1"/>
  <c r="C264" i="15"/>
  <c r="C266" i="15" s="1"/>
  <c r="C267" i="15" s="1"/>
  <c r="E263" i="15"/>
  <c r="C235" i="15"/>
  <c r="E235" i="15" s="1"/>
  <c r="C181" i="15"/>
  <c r="E181" i="15" s="1"/>
  <c r="E194" i="14"/>
  <c r="F194" i="14" s="1"/>
  <c r="D195" i="14"/>
  <c r="C112" i="5"/>
  <c r="C111" i="5" s="1"/>
  <c r="C28" i="5"/>
  <c r="C209" i="14"/>
  <c r="C210" i="14"/>
  <c r="C50" i="14"/>
  <c r="E138" i="14"/>
  <c r="F138" i="14" s="1"/>
  <c r="D139" i="14"/>
  <c r="E139" i="14" s="1"/>
  <c r="F139" i="14" s="1"/>
  <c r="D140" i="14"/>
  <c r="C92" i="14"/>
  <c r="E286" i="14"/>
  <c r="F286" i="14" s="1"/>
  <c r="E83" i="15"/>
  <c r="E258" i="15"/>
  <c r="D264" i="15"/>
  <c r="E95" i="15"/>
  <c r="D102" i="15"/>
  <c r="E102" i="15" s="1"/>
  <c r="E96" i="15"/>
  <c r="C117" i="15"/>
  <c r="E116" i="15"/>
  <c r="E173" i="14"/>
  <c r="F173" i="14" s="1"/>
  <c r="C174" i="14"/>
  <c r="C175" i="14"/>
  <c r="F160" i="14"/>
  <c r="E160" i="14"/>
  <c r="F90" i="14"/>
  <c r="E90" i="14"/>
  <c r="F270" i="14"/>
  <c r="E270" i="14"/>
  <c r="C254" i="15"/>
  <c r="E252" i="15"/>
  <c r="D92" i="14"/>
  <c r="E91" i="14"/>
  <c r="F91" i="14" s="1"/>
  <c r="E49" i="14"/>
  <c r="F49" i="14" s="1"/>
  <c r="D50" i="14"/>
  <c r="E254" i="15"/>
  <c r="E207" i="14"/>
  <c r="F207" i="14" s="1"/>
  <c r="D208" i="14"/>
  <c r="E300" i="14"/>
  <c r="F300" i="14" s="1"/>
  <c r="C289" i="14"/>
  <c r="C291" i="14"/>
  <c r="E288" i="14"/>
  <c r="F288" i="14" s="1"/>
  <c r="E84" i="15"/>
  <c r="D90" i="15"/>
  <c r="E90" i="15" s="1"/>
  <c r="E195" i="14"/>
  <c r="F195" i="14" s="1"/>
  <c r="E125" i="14"/>
  <c r="F125" i="14" s="1"/>
  <c r="C273" i="14"/>
  <c r="E272" i="14"/>
  <c r="F272" i="14" s="1"/>
  <c r="D197" i="14"/>
  <c r="E197" i="14" s="1"/>
  <c r="F197" i="14" s="1"/>
  <c r="E196" i="14"/>
  <c r="F196" i="14" s="1"/>
  <c r="E161" i="14"/>
  <c r="F161" i="14" s="1"/>
  <c r="D162" i="14"/>
  <c r="D127" i="14"/>
  <c r="E126" i="14"/>
  <c r="F126" i="14" s="1"/>
  <c r="D70" i="10"/>
  <c r="D72" i="10" s="1"/>
  <c r="D69" i="10" s="1"/>
  <c r="D22" i="10"/>
  <c r="C310" i="15"/>
  <c r="E310" i="15" s="1"/>
  <c r="E306" i="15"/>
  <c r="D251" i="14" l="1"/>
  <c r="D315" i="14"/>
  <c r="D256" i="14"/>
  <c r="D257" i="14" s="1"/>
  <c r="D314" i="14"/>
  <c r="D318" i="14" s="1"/>
  <c r="C129" i="15"/>
  <c r="E129" i="15" s="1"/>
  <c r="E128" i="15"/>
  <c r="C269" i="15"/>
  <c r="C268" i="15"/>
  <c r="D99" i="5"/>
  <c r="D101" i="5" s="1"/>
  <c r="D98" i="5" s="1"/>
  <c r="D22" i="5"/>
  <c r="D63" i="14"/>
  <c r="E63" i="14" s="1"/>
  <c r="F63" i="14" s="1"/>
  <c r="E62" i="14"/>
  <c r="F62" i="14" s="1"/>
  <c r="D183" i="14"/>
  <c r="E162" i="14"/>
  <c r="F162" i="14" s="1"/>
  <c r="D323" i="14"/>
  <c r="E127" i="14"/>
  <c r="F127" i="14" s="1"/>
  <c r="E273" i="14"/>
  <c r="F273" i="14" s="1"/>
  <c r="C305" i="14"/>
  <c r="F291" i="14"/>
  <c r="E291" i="14"/>
  <c r="D209" i="14"/>
  <c r="E209" i="14" s="1"/>
  <c r="E208" i="14"/>
  <c r="F208" i="14" s="1"/>
  <c r="D210" i="14"/>
  <c r="E50" i="14"/>
  <c r="D70" i="14"/>
  <c r="C176" i="14"/>
  <c r="F175" i="14"/>
  <c r="E175" i="14"/>
  <c r="C324" i="14"/>
  <c r="C113" i="14"/>
  <c r="E289" i="14"/>
  <c r="F289" i="14" s="1"/>
  <c r="D113" i="14"/>
  <c r="D324" i="14"/>
  <c r="E92" i="14"/>
  <c r="F92" i="14" s="1"/>
  <c r="E174" i="14"/>
  <c r="F174" i="14" s="1"/>
  <c r="C131" i="15"/>
  <c r="E131" i="15" s="1"/>
  <c r="E117" i="15"/>
  <c r="D103" i="15"/>
  <c r="E103" i="15" s="1"/>
  <c r="D266" i="15"/>
  <c r="E264" i="15"/>
  <c r="D91" i="15"/>
  <c r="D141" i="14"/>
  <c r="D148" i="14" s="1"/>
  <c r="E148" i="14" s="1"/>
  <c r="F148" i="14" s="1"/>
  <c r="E140" i="14"/>
  <c r="F140" i="14" s="1"/>
  <c r="C70" i="14"/>
  <c r="F50" i="14"/>
  <c r="F209" i="14"/>
  <c r="C99" i="5"/>
  <c r="C101" i="5" s="1"/>
  <c r="C98" i="5" s="1"/>
  <c r="C22" i="5"/>
  <c r="C271" i="15" l="1"/>
  <c r="E324" i="14"/>
  <c r="D105" i="15"/>
  <c r="E105" i="15" s="1"/>
  <c r="E91" i="15"/>
  <c r="E266" i="15"/>
  <c r="D267" i="15"/>
  <c r="E113" i="14"/>
  <c r="F324" i="14"/>
  <c r="C183" i="14"/>
  <c r="F176" i="14"/>
  <c r="E176" i="14"/>
  <c r="C323" i="14"/>
  <c r="C211" i="14"/>
  <c r="C309" i="14"/>
  <c r="E305" i="14"/>
  <c r="F305" i="14"/>
  <c r="D322" i="14"/>
  <c r="E322" i="14" s="1"/>
  <c r="F322" i="14" s="1"/>
  <c r="E141" i="14"/>
  <c r="F141" i="14" s="1"/>
  <c r="F113" i="14"/>
  <c r="E70" i="14"/>
  <c r="F70" i="14" s="1"/>
  <c r="D211" i="14"/>
  <c r="E211" i="14" s="1"/>
  <c r="E210" i="14"/>
  <c r="F210" i="14" s="1"/>
  <c r="E323" i="14"/>
  <c r="E183" i="14"/>
  <c r="C310" i="14" l="1"/>
  <c r="E309" i="14"/>
  <c r="F309" i="14" s="1"/>
  <c r="F323" i="14"/>
  <c r="D325" i="14"/>
  <c r="F211" i="14"/>
  <c r="F183" i="14"/>
  <c r="C325" i="14"/>
  <c r="D269" i="15"/>
  <c r="E269" i="15" s="1"/>
  <c r="D268" i="15"/>
  <c r="E267" i="15"/>
  <c r="E325" i="14" l="1"/>
  <c r="F325" i="14" s="1"/>
  <c r="E268" i="15"/>
  <c r="D271" i="15"/>
  <c r="E271" i="15" s="1"/>
  <c r="C312" i="14"/>
  <c r="E310" i="14"/>
  <c r="F310" i="14" s="1"/>
  <c r="C313" i="14" l="1"/>
  <c r="E312" i="14"/>
  <c r="F312" i="14" s="1"/>
  <c r="C314" i="14" l="1"/>
  <c r="C256" i="14"/>
  <c r="C251" i="14"/>
  <c r="C315" i="14"/>
  <c r="F313" i="14"/>
  <c r="E313" i="14"/>
  <c r="F251" i="14" l="1"/>
  <c r="E251" i="14"/>
  <c r="C318" i="14"/>
  <c r="E314" i="14"/>
  <c r="F314" i="14" s="1"/>
  <c r="E315" i="14"/>
  <c r="F315" i="14" s="1"/>
  <c r="C257" i="14"/>
  <c r="F256" i="14"/>
  <c r="E256" i="14"/>
  <c r="F257" i="14" l="1"/>
  <c r="E257" i="14"/>
  <c r="F318" i="14"/>
  <c r="E318" i="14"/>
</calcChain>
</file>

<file path=xl/sharedStrings.xml><?xml version="1.0" encoding="utf-8"?>
<sst xmlns="http://schemas.openxmlformats.org/spreadsheetml/2006/main" count="2307" uniqueCount="983">
  <si>
    <t>NEW MILFORD HOSPITAL</t>
  </si>
  <si>
    <t>TWELVE MONTHS ACTUAL FILING</t>
  </si>
  <si>
    <t xml:space="preserve">      FISCAL YEAR 2011</t>
  </si>
  <si>
    <t>REPORT 100 - HOSPITAL BALANCE SHEET INFORMATION</t>
  </si>
  <si>
    <t xml:space="preserve">      FY 2010</t>
  </si>
  <si>
    <t xml:space="preserve">      FY 2011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</si>
  <si>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</si>
  <si>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</si>
  <si>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</si>
  <si>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</si>
  <si>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</si>
  <si>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</si>
  <si>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</si>
  <si>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</si>
  <si>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</si>
  <si>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</si>
  <si>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</si>
  <si>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</si>
  <si>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</si>
  <si>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</si>
  <si>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</si>
  <si>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</si>
  <si>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</si>
  <si>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</si>
  <si>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</si>
  <si>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</si>
  <si>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</si>
  <si>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</si>
  <si>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</si>
  <si>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</si>
  <si>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</si>
  <si>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</si>
  <si>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</si>
  <si>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</si>
  <si>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</si>
  <si>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</si>
  <si>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</si>
  <si>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</si>
  <si>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</si>
  <si>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</si>
  <si>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</si>
  <si>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</si>
  <si>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</si>
  <si>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</si>
  <si>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</si>
  <si>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</si>
  <si>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</si>
  <si>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</si>
  <si>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</si>
  <si>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</si>
  <si>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</si>
  <si>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</si>
  <si>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</si>
  <si>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</si>
  <si>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</si>
  <si>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</si>
  <si>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</si>
  <si>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</si>
  <si>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</si>
  <si>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</si>
  <si>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</si>
  <si>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</si>
  <si>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</si>
  <si>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</si>
  <si>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</si>
  <si>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</si>
  <si>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</si>
  <si>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</si>
  <si>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</si>
  <si>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</si>
  <si>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</si>
  <si>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</si>
  <si>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</si>
  <si>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</si>
  <si>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</si>
  <si>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</si>
  <si>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</si>
  <si>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</si>
  <si>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</si>
  <si>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</si>
  <si>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</si>
  <si>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</si>
  <si>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</si>
  <si>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</si>
  <si>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</si>
  <si>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</si>
  <si>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</si>
  <si>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</si>
  <si>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</si>
  <si>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</si>
  <si>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</si>
  <si>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</si>
  <si>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</si>
  <si>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</si>
  <si>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</si>
  <si>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</si>
  <si>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</si>
  <si>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</si>
  <si>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</si>
  <si>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</si>
  <si>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</si>
  <si>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</si>
  <si>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</si>
  <si>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</si>
  <si>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</si>
  <si>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2010                ACTUAL     </t>
  </si>
  <si>
    <t xml:space="preserve">      FY 2011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</si>
  <si>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</si>
  <si>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</si>
  <si>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</si>
  <si>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</si>
  <si>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</si>
  <si>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</si>
  <si>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</si>
  <si>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</si>
  <si>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</si>
  <si>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</si>
  <si>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</si>
  <si>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</si>
  <si>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</si>
  <si>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</si>
  <si>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</si>
  <si>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</si>
  <si>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</si>
  <si>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</si>
  <si>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</si>
  <si>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</si>
  <si>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</si>
  <si>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</si>
  <si>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</si>
  <si>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</si>
  <si>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</si>
  <si>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</si>
  <si>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</si>
  <si>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</si>
  <si>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</si>
  <si>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</si>
  <si>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</si>
  <si>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</si>
  <si>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</si>
  <si>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</si>
  <si>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</si>
  <si>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</si>
  <si>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</si>
  <si>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</si>
  <si>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</si>
  <si>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</si>
  <si>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</si>
  <si>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</si>
  <si>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</si>
  <si>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</si>
  <si>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</si>
  <si>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</si>
  <si>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</si>
  <si>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</si>
  <si>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</si>
  <si>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</si>
  <si>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</si>
  <si>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</si>
  <si>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</si>
  <si>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</si>
  <si>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</si>
  <si>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</si>
  <si>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</si>
  <si>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</si>
  <si>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</si>
  <si>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</si>
  <si>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</si>
  <si>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</si>
  <si>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</si>
  <si>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</si>
  <si>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</si>
  <si>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</si>
  <si>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</si>
  <si>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</si>
  <si>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</si>
  <si>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</si>
  <si>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</si>
  <si>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</si>
  <si>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</si>
  <si>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</si>
  <si>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</si>
  <si>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</si>
  <si>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</si>
  <si>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</si>
  <si>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</si>
  <si>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</si>
  <si>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</si>
  <si>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</si>
  <si>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</si>
  <si>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</si>
  <si>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</si>
  <si>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</si>
  <si>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</si>
  <si>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</si>
  <si>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</si>
  <si>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</si>
  <si>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</si>
  <si>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</si>
  <si>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</si>
  <si>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</si>
  <si>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</si>
  <si>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</si>
  <si>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</si>
  <si>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</si>
  <si>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</si>
  <si>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</si>
  <si>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</si>
  <si>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</si>
  <si>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</si>
  <si>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</si>
  <si>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</si>
  <si>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</si>
  <si>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</si>
  <si>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</si>
  <si>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</si>
  <si>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</si>
  <si>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</si>
  <si>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</si>
  <si>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</si>
  <si>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</si>
  <si>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</si>
  <si>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</si>
  <si>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</si>
  <si>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</si>
  <si>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</si>
  <si>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</si>
  <si>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</si>
  <si>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</si>
  <si>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</si>
  <si>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</si>
  <si>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</si>
  <si>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</si>
  <si>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</si>
  <si>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</si>
  <si>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</si>
  <si>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</si>
  <si>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</si>
  <si>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</si>
  <si>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</si>
  <si>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</si>
  <si>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</si>
  <si>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</si>
  <si>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</si>
  <si>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</si>
  <si>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</si>
  <si>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</si>
  <si>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</si>
  <si>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</si>
  <si>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</si>
  <si>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</si>
  <si>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</si>
  <si>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</si>
  <si>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</si>
  <si>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</si>
  <si>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</si>
  <si>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</si>
  <si>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</si>
  <si>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</si>
  <si>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</si>
  <si>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</si>
  <si>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</si>
  <si>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</si>
  <si>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</si>
  <si>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</si>
  <si>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</si>
  <si>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</si>
  <si>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</si>
  <si>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</si>
  <si>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</si>
  <si>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</si>
  <si>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</si>
  <si>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</si>
  <si>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</si>
  <si>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</si>
  <si>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</si>
  <si>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</si>
  <si>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</si>
  <si>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</si>
  <si>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</si>
  <si>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</si>
  <si>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</si>
  <si>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</si>
  <si>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</si>
  <si>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</si>
  <si>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</si>
  <si>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</si>
  <si>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</si>
  <si>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</si>
  <si>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</si>
  <si>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</si>
  <si>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</si>
  <si>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</si>
  <si>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</si>
  <si>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</si>
  <si>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</si>
  <si>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</si>
  <si>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</si>
  <si>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</si>
  <si>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</si>
  <si>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</si>
  <si>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</si>
  <si>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</si>
  <si>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</si>
  <si>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</si>
  <si>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</si>
  <si>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</si>
  <si>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2009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</si>
  <si>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</si>
  <si>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</si>
  <si>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</si>
  <si>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</si>
  <si>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</si>
  <si>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</si>
  <si>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</si>
  <si>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</si>
  <si>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</si>
  <si>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</si>
  <si>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</si>
  <si>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</si>
  <si>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</si>
  <si>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</si>
  <si>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</si>
  <si>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</si>
  <si>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</si>
  <si>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</si>
  <si>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</si>
  <si>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</si>
  <si>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</si>
  <si>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</si>
  <si>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</si>
  <si>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</si>
  <si>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</si>
  <si>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</si>
  <si>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</si>
  <si>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</si>
  <si>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</si>
  <si>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</si>
  <si>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</si>
  <si>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</si>
  <si>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</si>
  <si>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</si>
  <si>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</si>
  <si>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</si>
  <si>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</si>
  <si>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</si>
  <si>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</si>
  <si>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</si>
  <si>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</si>
  <si>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</si>
  <si>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</si>
  <si>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</si>
  <si>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</si>
  <si>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</si>
  <si>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</si>
  <si>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</si>
  <si>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</si>
  <si>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</si>
  <si>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</si>
  <si>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</si>
  <si>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</si>
  <si>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</si>
  <si>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</si>
  <si>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</si>
  <si>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</si>
  <si>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</si>
  <si>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</si>
  <si>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</si>
  <si>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</si>
  <si>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</si>
  <si>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</si>
  <si>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</si>
  <si>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</si>
  <si>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</si>
  <si>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</si>
  <si>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</si>
  <si>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</si>
  <si>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</si>
  <si>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</si>
  <si>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</si>
  <si>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</si>
  <si>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</si>
  <si>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</si>
  <si>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</si>
  <si>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</si>
  <si>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</si>
  <si>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</si>
  <si>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</si>
  <si>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</si>
  <si>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</si>
  <si>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</si>
  <si>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</si>
  <si>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</si>
  <si>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</si>
  <si>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</si>
  <si>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</si>
  <si>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</si>
  <si>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</si>
  <si>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</si>
  <si>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</si>
  <si>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</si>
  <si>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</si>
  <si>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</si>
  <si>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</si>
  <si>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</si>
  <si>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</si>
  <si>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</si>
  <si>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</si>
  <si>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</si>
  <si>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</si>
  <si>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</si>
  <si>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</si>
  <si>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</si>
  <si>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</si>
  <si>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</si>
  <si>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</si>
  <si>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</si>
  <si>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</si>
  <si>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</si>
  <si>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</si>
  <si>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</si>
  <si>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</si>
  <si>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</si>
  <si>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</si>
  <si>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</si>
  <si>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</si>
  <si>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</si>
  <si>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</si>
  <si>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</si>
  <si>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</si>
  <si>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2010 ACTUAL     </t>
  </si>
  <si>
    <t xml:space="preserve">      FY 2011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</si>
  <si>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</si>
  <si>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</si>
  <si>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</si>
  <si>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</si>
  <si>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</si>
  <si>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</si>
  <si>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</si>
  <si>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</si>
  <si>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</si>
  <si>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</si>
  <si>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</si>
  <si>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</si>
  <si>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</si>
  <si>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</si>
  <si>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</si>
  <si>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</si>
  <si>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</si>
  <si>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</si>
  <si>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</si>
  <si>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</si>
  <si>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</si>
  <si>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</si>
  <si>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</si>
  <si>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</si>
  <si>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</si>
  <si>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</si>
  <si>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</si>
  <si>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</si>
  <si>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</si>
  <si>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</si>
  <si>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</si>
  <si>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</si>
  <si>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</si>
  <si>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</si>
  <si>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</si>
  <si>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</si>
  <si>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</si>
  <si>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</si>
  <si>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</si>
  <si>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</si>
  <si>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</si>
  <si>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</si>
  <si>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</si>
  <si>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</si>
  <si>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</si>
  <si>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</si>
  <si>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</si>
  <si>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WESTERN CONNECTICUT HEALTH NETWORK INC.(FORMERLY WESTERN CONNECTICUT HEALTHCARE, INC.)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</si>
  <si>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</si>
  <si>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</si>
  <si>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</si>
  <si>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</si>
  <si>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</si>
  <si>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</si>
  <si>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</si>
  <si>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</si>
  <si>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</si>
  <si>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</si>
  <si>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</si>
  <si>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</si>
  <si>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</si>
  <si>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</si>
  <si>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</si>
  <si>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</si>
  <si>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</si>
  <si>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</si>
  <si>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</si>
  <si>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</si>
  <si>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</si>
  <si>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</si>
  <si>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</si>
  <si>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</si>
  <si>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</si>
  <si>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</si>
  <si>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</si>
  <si>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</si>
  <si>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</si>
  <si>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</si>
  <si>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</si>
  <si>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</si>
  <si>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</si>
  <si>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</si>
  <si>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</si>
  <si>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</si>
  <si>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</si>
  <si>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</si>
  <si>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</si>
  <si>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</si>
  <si>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</si>
  <si>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</si>
  <si>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</si>
  <si>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</si>
  <si>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</si>
  <si>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</si>
  <si>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</si>
  <si>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</si>
  <si>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</si>
  <si>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</si>
  <si>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</si>
  <si>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</si>
  <si>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</si>
  <si>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</si>
  <si>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</si>
  <si>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</si>
  <si>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</si>
  <si>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</si>
  <si>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</si>
  <si>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</si>
  <si>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</si>
  <si>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</si>
  <si>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</si>
  <si>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</si>
  <si>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</si>
  <si>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</si>
  <si>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</si>
  <si>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</si>
  <si>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</si>
  <si>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</si>
  <si>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</si>
  <si>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</si>
  <si>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</si>
  <si>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</si>
  <si>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</si>
  <si>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</si>
  <si>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</si>
  <si>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</si>
  <si>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</si>
  <si>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</si>
  <si>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</si>
  <si>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</si>
  <si>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</si>
  <si>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</si>
  <si>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</si>
  <si>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</si>
  <si>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</si>
  <si>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</si>
  <si>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</si>
  <si>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</si>
  <si>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</si>
  <si>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</si>
  <si>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</si>
  <si>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</si>
  <si>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</si>
  <si>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</si>
  <si>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</si>
  <si>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</si>
  <si>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</si>
  <si>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</si>
  <si>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</si>
  <si>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</si>
  <si>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</si>
  <si>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</si>
  <si>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</si>
  <si>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</si>
  <si>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</si>
  <si>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</si>
  <si>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The New Milford Hospital Inc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</si>
  <si>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</si>
  <si>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</si>
  <si>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</si>
  <si>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</si>
  <si>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</si>
  <si>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</si>
  <si>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</si>
  <si>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</si>
  <si>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2011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</si>
  <si>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</si>
  <si>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</si>
  <si>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</si>
  <si>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</si>
  <si>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2010</t>
  </si>
  <si>
    <t xml:space="preserve">         FY 2011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</si>
  <si>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</si>
  <si>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</si>
  <si>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</si>
  <si>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</si>
  <si>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</si>
  <si>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</si>
  <si>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</si>
  <si>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</si>
  <si>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</si>
  <si>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</si>
  <si>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</si>
  <si>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</si>
  <si>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</si>
  <si>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</si>
  <si>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</si>
  <si>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</si>
  <si>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</si>
  <si>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</si>
  <si>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</si>
  <si>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</si>
  <si>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</si>
  <si>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</si>
  <si>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</si>
  <si>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</si>
  <si>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</si>
  <si>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</si>
  <si>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</si>
  <si>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</si>
  <si>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</si>
  <si>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</si>
  <si>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</si>
  <si>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</si>
  <si>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</si>
  <si>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</si>
  <si>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</si>
  <si>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</si>
  <si>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</si>
  <si>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</si>
  <si>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</si>
  <si>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</si>
  <si>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</si>
  <si>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</si>
  <si>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</si>
  <si>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</si>
  <si>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</si>
  <si>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</si>
  <si>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</si>
  <si>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</si>
  <si>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</si>
  <si>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</si>
  <si>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</si>
  <si>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</si>
  <si>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</si>
  <si>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</si>
  <si>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</si>
  <si>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</si>
  <si>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</si>
  <si>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</si>
  <si>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</si>
  <si>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</si>
  <si>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</si>
  <si>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</si>
  <si>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</si>
  <si>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</si>
  <si>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</si>
  <si>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</si>
  <si>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</si>
  <si>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</si>
  <si>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</si>
  <si>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</si>
  <si>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</si>
  <si>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</si>
  <si>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</si>
  <si>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</si>
  <si>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</si>
  <si>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</si>
  <si>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</si>
  <si>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</si>
  <si>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</si>
  <si>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</si>
  <si>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</si>
  <si>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</si>
  <si>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</si>
  <si>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</si>
  <si>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</si>
  <si>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</si>
  <si>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</si>
  <si>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</si>
  <si>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</si>
  <si>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</si>
  <si>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</si>
  <si>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</si>
  <si>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</si>
  <si>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</si>
  <si>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</si>
  <si>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</si>
  <si>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</si>
  <si>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</si>
  <si>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</si>
  <si>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</si>
  <si>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</si>
  <si>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</si>
  <si>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</si>
  <si>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</si>
  <si>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</si>
  <si>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</si>
  <si>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</si>
  <si>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</si>
  <si>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</si>
  <si>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</si>
  <si>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</si>
  <si>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</si>
  <si>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</si>
  <si>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</si>
  <si>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</si>
  <si>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</si>
  <si>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</si>
  <si>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</si>
  <si>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</si>
  <si>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</si>
  <si>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</si>
  <si>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</si>
  <si>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</si>
  <si>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</si>
  <si>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</si>
  <si>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</si>
  <si>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</si>
  <si>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</si>
  <si>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</si>
  <si>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</si>
  <si>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</si>
  <si>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</si>
  <si>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</si>
  <si>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</si>
  <si>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</si>
  <si>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</si>
  <si>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</si>
  <si>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</si>
  <si>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</si>
  <si>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</si>
  <si>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</si>
  <si>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</si>
  <si>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</si>
  <si>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</si>
  <si>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</si>
  <si>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</si>
  <si>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</si>
  <si>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</si>
  <si>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</si>
  <si>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</si>
  <si>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</si>
  <si>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</si>
  <si>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</si>
  <si>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</si>
  <si>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</si>
  <si>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</si>
  <si>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</si>
  <si>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</si>
  <si>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</si>
  <si>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</si>
  <si>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</si>
  <si>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</si>
  <si>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</si>
  <si>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</si>
  <si>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</si>
  <si>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</si>
  <si>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</si>
  <si>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</si>
  <si>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</si>
  <si>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</si>
  <si>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</si>
  <si>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</si>
  <si>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</si>
  <si>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</si>
  <si>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</si>
  <si>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</si>
  <si>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</si>
  <si>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</si>
  <si>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</si>
  <si>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</si>
  <si>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</si>
  <si>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</si>
  <si>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</si>
  <si>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</si>
  <si>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</si>
  <si>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</si>
  <si>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</si>
  <si>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</si>
  <si>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</si>
  <si>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</si>
  <si>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</si>
  <si>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</si>
  <si>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</si>
  <si>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</si>
  <si>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</si>
  <si>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</si>
  <si>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</si>
  <si>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</si>
  <si>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</si>
  <si>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</si>
  <si>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</si>
  <si>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</si>
  <si>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</si>
  <si>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</si>
  <si>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</si>
  <si>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</si>
  <si>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</si>
  <si>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</si>
  <si>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</si>
  <si>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</si>
  <si>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</si>
  <si>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</si>
  <si>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</si>
  <si>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</si>
  <si>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</si>
  <si>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</si>
  <si>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</si>
  <si>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</si>
  <si>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</si>
  <si>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</si>
  <si>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</si>
  <si>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</si>
  <si>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</si>
  <si>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</si>
  <si>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</si>
  <si>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</si>
  <si>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</si>
  <si>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</si>
  <si>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</si>
  <si>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</si>
  <si>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</si>
  <si>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</si>
  <si>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</si>
  <si>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</si>
  <si>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</si>
  <si>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</si>
  <si>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</si>
  <si>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</si>
  <si>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</si>
  <si>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</si>
  <si>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</si>
  <si>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</si>
  <si>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2011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</si>
  <si>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</si>
  <si>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</si>
  <si>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</si>
  <si>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</si>
  <si>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</si>
  <si>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</si>
  <si>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</si>
  <si>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</si>
  <si>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</si>
  <si>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</si>
  <si>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</si>
  <si>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</si>
  <si>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</si>
  <si>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</si>
  <si>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</si>
  <si>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</si>
  <si>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</si>
  <si>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</si>
  <si>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</si>
  <si>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</si>
  <si>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</si>
  <si>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</si>
  <si>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</si>
  <si>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</si>
  <si>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</si>
  <si>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</si>
  <si>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</si>
  <si>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</si>
  <si>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</si>
  <si>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</si>
  <si>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</si>
  <si>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</si>
  <si>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</si>
  <si>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</si>
  <si>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</si>
  <si>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</si>
  <si>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</si>
  <si>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</si>
  <si>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</si>
  <si>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</si>
  <si>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</si>
  <si>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</si>
  <si>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</si>
  <si>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</si>
  <si>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</si>
  <si>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</si>
  <si>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</si>
  <si>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</si>
  <si>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</si>
  <si>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</si>
  <si>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</si>
  <si>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</si>
  <si>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</si>
  <si>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</si>
  <si>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</si>
  <si>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</si>
  <si>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</si>
  <si>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2011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</si>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</sst>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"/>
    <numFmt numFmtId="167" formatCode="0.00000_)"/>
    <numFmt numFmtId="168" formatCode="0.00000_);\(0.00000\)"/>
    <numFmt numFmtId="169" formatCode="0.0000_)"/>
    <numFmt numFmtId="170" formatCode="#,##0.00000_);\(#,##0.00000\)"/>
    <numFmt numFmtId="171" formatCode="_(* #,##0.0_);_(* \(#,##0.0\);_(* &quot;-&quot;??_);_(@_)"/>
    <numFmt numFmtId="172" formatCode="0.0%"/>
    <numFmt numFmtId="173" formatCode="0.0000_);\(0.0000\)"/>
    <numFmt numFmtId="174" formatCode="_(* #,##0_);_(* \(#,##0\);_(* &quot;-&quot;??_);_(@_)"/>
    <numFmt numFmtId="175" formatCode="_(* #,##0.0000_);_(* \(#,##0.0000\);_(* &quot;-&quot;??_);_(@_)"/>
    <numFmt numFmtId="176" formatCode="0.0000000000_);\(0.0000000000\)"/>
    <numFmt numFmtId="177" formatCode="_(* #,##0.00000000_);_(* \(#,##0.00000000\);_(* &quot;-&quot;??_);_(@_)"/>
    <numFmt numFmtId="178" formatCode="#,##0.000000_);\(#,##0.000000\)"/>
    <numFmt numFmtId="179" formatCode="#,##0.0_);\(#,##0.0\)"/>
    <numFmt numFmtId="180" formatCode="_(* #,##0.0_);_(* \(#,##0.0\);_(* &quot;-&quot;?_);_(@_)"/>
    <numFmt numFmtId="181" formatCode="0.00000"/>
    <numFmt numFmtId="182" formatCode="#,##0.00000"/>
    <numFmt numFmtId="183" formatCode="#,##0.0000"/>
    <numFmt numFmtId="184" formatCode="_(* #,##0.0000000000_);_(* \(#,##0.0000000000\);_(* &quot;-&quot;??_);_(@_)"/>
    <numFmt numFmtId="185" formatCode="#,##0.0000000000_);\(#,##0.0000000000\)"/>
    <numFmt numFmtId="186" formatCode="0.0000"/>
    <numFmt numFmtId="187" formatCode="0.0"/>
    <numFmt numFmtId="188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</borders>
  <cellStyleXfs count="45">
    <xf numFmtId="0" fontId="0" fillId="0" borderId="0"/>
    <xf numFmtId="0" fontId="35" fillId="10" borderId="0" applyNumberFormat="0" applyBorder="0" applyAlignment="0" applyProtection="0"/>
    <xf numFmtId="0" fontId="35" fillId="14" borderId="0" applyNumberFormat="0" applyBorder="0" applyAlignment="0" applyProtection="0"/>
    <xf numFmtId="0" fontId="35" fillId="18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15" borderId="0" applyNumberFormat="0" applyBorder="0" applyAlignment="0" applyProtection="0"/>
    <xf numFmtId="0" fontId="35" fillId="19" borderId="0" applyNumberFormat="0" applyBorder="0" applyAlignment="0" applyProtection="0"/>
    <xf numFmtId="0" fontId="35" fillId="23" borderId="0" applyNumberFormat="0" applyBorder="0" applyAlignment="0" applyProtection="0"/>
    <xf numFmtId="0" fontId="35" fillId="27" borderId="0" applyNumberFormat="0" applyBorder="0" applyAlignment="0" applyProtection="0"/>
    <xf numFmtId="0" fontId="35" fillId="31" borderId="0" applyNumberFormat="0" applyBorder="0" applyAlignment="0" applyProtection="0"/>
    <xf numFmtId="0" fontId="51" fillId="12" borderId="0" applyNumberFormat="0" applyBorder="0" applyAlignment="0" applyProtection="0"/>
    <xf numFmtId="0" fontId="51" fillId="16" borderId="0" applyNumberFormat="0" applyBorder="0" applyAlignment="0" applyProtection="0"/>
    <xf numFmtId="0" fontId="51" fillId="20" borderId="0" applyNumberFormat="0" applyBorder="0" applyAlignment="0" applyProtection="0"/>
    <xf numFmtId="0" fontId="51" fillId="24" borderId="0" applyNumberFormat="0" applyBorder="0" applyAlignment="0" applyProtection="0"/>
    <xf numFmtId="0" fontId="51" fillId="28" borderId="0" applyNumberFormat="0" applyBorder="0" applyAlignment="0" applyProtection="0"/>
    <xf numFmtId="0" fontId="51" fillId="32" borderId="0" applyNumberFormat="0" applyBorder="0" applyAlignment="0" applyProtection="0"/>
    <xf numFmtId="0" fontId="51" fillId="9" borderId="0" applyNumberFormat="0" applyBorder="0" applyAlignment="0" applyProtection="0"/>
    <xf numFmtId="0" fontId="51" fillId="13" borderId="0" applyNumberFormat="0" applyBorder="0" applyAlignment="0" applyProtection="0"/>
    <xf numFmtId="0" fontId="51" fillId="17" borderId="0" applyNumberFormat="0" applyBorder="0" applyAlignment="0" applyProtection="0"/>
    <xf numFmtId="0" fontId="51" fillId="21" borderId="0" applyNumberFormat="0" applyBorder="0" applyAlignment="0" applyProtection="0"/>
    <xf numFmtId="0" fontId="51" fillId="25" borderId="0" applyNumberFormat="0" applyBorder="0" applyAlignment="0" applyProtection="0"/>
    <xf numFmtId="0" fontId="51" fillId="29" borderId="0" applyNumberFormat="0" applyBorder="0" applyAlignment="0" applyProtection="0"/>
    <xf numFmtId="0" fontId="41" fillId="3" borderId="0" applyNumberFormat="0" applyBorder="0" applyAlignment="0" applyProtection="0"/>
    <xf numFmtId="0" fontId="45" fillId="6" borderId="35" applyNumberFormat="0" applyAlignment="0" applyProtection="0"/>
    <xf numFmtId="0" fontId="47" fillId="7" borderId="38" applyNumberFormat="0" applyAlignment="0" applyProtection="0"/>
    <xf numFmtId="43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0" fillId="2" borderId="0" applyNumberFormat="0" applyBorder="0" applyAlignment="0" applyProtection="0"/>
    <xf numFmtId="0" fontId="37" fillId="0" borderId="32" applyNumberFormat="0" applyFill="0" applyAlignment="0" applyProtection="0"/>
    <xf numFmtId="0" fontId="38" fillId="0" borderId="33" applyNumberFormat="0" applyFill="0" applyAlignment="0" applyProtection="0"/>
    <xf numFmtId="0" fontId="39" fillId="0" borderId="34" applyNumberFormat="0" applyFill="0" applyAlignment="0" applyProtection="0"/>
    <xf numFmtId="0" fontId="39" fillId="0" borderId="0" applyNumberFormat="0" applyFill="0" applyBorder="0" applyAlignment="0" applyProtection="0"/>
    <xf numFmtId="0" fontId="43" fillId="5" borderId="35" applyNumberFormat="0" applyAlignment="0" applyProtection="0"/>
    <xf numFmtId="0" fontId="46" fillId="0" borderId="37" applyNumberFormat="0" applyFill="0" applyAlignment="0" applyProtection="0"/>
    <xf numFmtId="0" fontId="42" fillId="4" borderId="0" applyNumberFormat="0" applyBorder="0" applyAlignment="0" applyProtection="0"/>
    <xf numFmtId="0" fontId="35" fillId="8" borderId="39" applyNumberFormat="0" applyFont="0" applyAlignment="0" applyProtection="0"/>
    <xf numFmtId="0" fontId="44" fillId="6" borderId="36" applyNumberFormat="0" applyAlignment="0" applyProtection="0"/>
    <xf numFmtId="9" fontId="5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50" fillId="0" borderId="40" applyNumberFormat="0" applyFill="0" applyAlignment="0" applyProtection="0"/>
    <xf numFmtId="0" fontId="48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4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4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4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>
      <alignment horizontal="right"/>
    </xf>
    <xf numFmtId="165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4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4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/>
    <xf numFmtId="164" fontId="1" fillId="0" borderId="5" xfId="0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164" fontId="1" fillId="33" borderId="8" xfId="0" applyNumberFormat="1" applyFont="1" applyFill="1" applyBorder="1" applyAlignment="1"/>
    <xf numFmtId="164" fontId="1" fillId="33" borderId="8" xfId="0" applyNumberFormat="1" applyFont="1" applyFill="1" applyBorder="1" applyAlignment="1">
      <alignment horizontal="left"/>
    </xf>
    <xf numFmtId="164" fontId="1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left"/>
    </xf>
    <xf numFmtId="5" fontId="3" fillId="0" borderId="12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center" vertical="center"/>
    </xf>
    <xf numFmtId="43" fontId="3" fillId="0" borderId="12" xfId="28" applyFont="1" applyBorder="1" applyProtection="1">
      <protection locked="0"/>
    </xf>
    <xf numFmtId="164" fontId="1" fillId="0" borderId="12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left" wrapText="1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4" fontId="1" fillId="0" borderId="12" xfId="0" applyNumberFormat="1" applyFont="1" applyBorder="1" applyAlignment="1">
      <alignment horizontal="right"/>
    </xf>
    <xf numFmtId="43" fontId="1" fillId="0" borderId="12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4" fontId="1" fillId="0" borderId="17" xfId="0" applyNumberFormat="1" applyFont="1" applyFill="1" applyBorder="1" applyAlignment="1">
      <alignment horizontal="center"/>
    </xf>
    <xf numFmtId="164" fontId="1" fillId="0" borderId="18" xfId="0" applyNumberFormat="1" applyFont="1" applyBorder="1" applyAlignment="1">
      <alignment horizontal="left"/>
    </xf>
    <xf numFmtId="5" fontId="1" fillId="0" borderId="17" xfId="0" applyNumberFormat="1" applyFont="1" applyBorder="1" applyAlignment="1">
      <alignment horizontal="right"/>
    </xf>
    <xf numFmtId="5" fontId="1" fillId="0" borderId="19" xfId="0" applyNumberFormat="1" applyFont="1" applyBorder="1" applyAlignment="1">
      <alignment horizontal="right"/>
    </xf>
    <xf numFmtId="9" fontId="1" fillId="0" borderId="19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164" fontId="1" fillId="0" borderId="19" xfId="0" applyNumberFormat="1" applyFont="1" applyFill="1" applyBorder="1" applyAlignment="1">
      <alignment horizontal="center"/>
    </xf>
    <xf numFmtId="164" fontId="1" fillId="0" borderId="17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12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4" fontId="11" fillId="0" borderId="0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center"/>
    </xf>
    <xf numFmtId="164" fontId="10" fillId="0" borderId="20" xfId="0" applyNumberFormat="1" applyFont="1" applyBorder="1" applyAlignment="1">
      <alignment horizontal="center"/>
    </xf>
    <xf numFmtId="164" fontId="10" fillId="0" borderId="20" xfId="0" applyNumberFormat="1" applyFont="1" applyBorder="1" applyAlignment="1"/>
    <xf numFmtId="0" fontId="10" fillId="0" borderId="20" xfId="0" applyFont="1" applyBorder="1" applyAlignment="1">
      <alignment horizontal="center" wrapText="1"/>
    </xf>
    <xf numFmtId="164" fontId="10" fillId="0" borderId="20" xfId="0" applyNumberFormat="1" applyFont="1" applyBorder="1" applyAlignment="1">
      <alignment horizontal="center" wrapText="1"/>
    </xf>
    <xf numFmtId="164" fontId="12" fillId="0" borderId="20" xfId="0" applyNumberFormat="1" applyFont="1" applyBorder="1" applyAlignment="1">
      <alignment horizontal="center"/>
    </xf>
    <xf numFmtId="164" fontId="12" fillId="0" borderId="20" xfId="0" applyNumberFormat="1" applyFont="1" applyBorder="1" applyAlignment="1">
      <alignment horizontal="left"/>
    </xf>
    <xf numFmtId="164" fontId="12" fillId="0" borderId="20" xfId="0" applyNumberFormat="1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164" fontId="10" fillId="0" borderId="12" xfId="0" applyNumberFormat="1" applyFont="1" applyBorder="1" applyAlignment="1"/>
    <xf numFmtId="164" fontId="10" fillId="0" borderId="12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164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4" fontId="11" fillId="0" borderId="8" xfId="0" applyNumberFormat="1" applyFont="1" applyBorder="1" applyAlignment="1">
      <alignment horizontal="right"/>
    </xf>
    <xf numFmtId="164" fontId="11" fillId="0" borderId="12" xfId="0" applyNumberFormat="1" applyFont="1" applyBorder="1" applyAlignment="1">
      <alignment horizontal="center"/>
    </xf>
    <xf numFmtId="0" fontId="12" fillId="0" borderId="12" xfId="0" applyNumberFormat="1" applyFont="1" applyBorder="1" applyAlignment="1">
      <alignment horizontal="left" wrapText="1"/>
    </xf>
    <xf numFmtId="164" fontId="11" fillId="0" borderId="12" xfId="0" applyNumberFormat="1" applyFont="1" applyBorder="1" applyAlignment="1">
      <alignment horizontal="right"/>
    </xf>
    <xf numFmtId="0" fontId="10" fillId="0" borderId="12" xfId="0" applyFont="1" applyBorder="1" applyAlignment="1">
      <alignment horizontal="center"/>
    </xf>
    <xf numFmtId="0" fontId="12" fillId="0" borderId="12" xfId="0" applyNumberFormat="1" applyFont="1" applyBorder="1"/>
    <xf numFmtId="5" fontId="11" fillId="0" borderId="12" xfId="0" applyNumberFormat="1" applyFont="1" applyBorder="1" applyAlignment="1">
      <alignment horizontal="right"/>
    </xf>
    <xf numFmtId="5" fontId="10" fillId="0" borderId="12" xfId="0" applyNumberFormat="1" applyFont="1" applyBorder="1" applyAlignment="1">
      <alignment horizontal="right"/>
    </xf>
    <xf numFmtId="9" fontId="10" fillId="0" borderId="12" xfId="0" applyNumberFormat="1" applyFont="1" applyBorder="1" applyAlignment="1">
      <alignment horizontal="right"/>
    </xf>
    <xf numFmtId="0" fontId="11" fillId="0" borderId="12" xfId="28" applyNumberFormat="1" applyFont="1" applyBorder="1" applyProtection="1">
      <protection locked="0"/>
    </xf>
    <xf numFmtId="9" fontId="11" fillId="0" borderId="12" xfId="0" applyNumberFormat="1" applyFont="1" applyBorder="1" applyAlignment="1">
      <alignment horizontal="right"/>
    </xf>
    <xf numFmtId="0" fontId="10" fillId="0" borderId="12" xfId="0" applyNumberFormat="1" applyFont="1" applyBorder="1"/>
    <xf numFmtId="43" fontId="11" fillId="0" borderId="12" xfId="28" applyFont="1" applyBorder="1" applyProtection="1">
      <protection locked="0"/>
    </xf>
    <xf numFmtId="164" fontId="11" fillId="0" borderId="12" xfId="0" applyNumberFormat="1" applyFont="1" applyFill="1" applyBorder="1" applyAlignment="1">
      <alignment horizontal="center"/>
    </xf>
    <xf numFmtId="3" fontId="10" fillId="0" borderId="12" xfId="0" applyNumberFormat="1" applyFont="1" applyBorder="1" applyAlignment="1" applyProtection="1"/>
    <xf numFmtId="0" fontId="0" fillId="0" borderId="43" xfId="0" applyBorder="1"/>
    <xf numFmtId="9" fontId="11" fillId="0" borderId="12" xfId="41" applyFont="1" applyBorder="1" applyAlignment="1">
      <alignment horizontal="right"/>
    </xf>
    <xf numFmtId="0" fontId="10" fillId="0" borderId="12" xfId="0" applyNumberFormat="1" applyFont="1" applyBorder="1" applyAlignment="1">
      <alignment horizontal="left"/>
    </xf>
    <xf numFmtId="164" fontId="15" fillId="0" borderId="12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12" xfId="0" applyFont="1" applyBorder="1"/>
    <xf numFmtId="3" fontId="11" fillId="0" borderId="12" xfId="0" applyNumberFormat="1" applyFont="1" applyBorder="1" applyAlignment="1" applyProtection="1"/>
    <xf numFmtId="0" fontId="0" fillId="0" borderId="12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79" fontId="11" fillId="0" borderId="41" xfId="0" applyNumberFormat="1" applyFont="1" applyBorder="1" applyAlignment="1">
      <alignment horizontal="right"/>
    </xf>
    <xf numFmtId="179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2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5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2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4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5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5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0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0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0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2" fontId="11" fillId="0" borderId="0" xfId="0" applyNumberFormat="1" applyFont="1" applyBorder="1" applyAlignment="1"/>
    <xf numFmtId="165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5" fontId="8" fillId="0" borderId="0" xfId="0" applyNumberFormat="1" applyFont="1" applyFill="1" applyBorder="1" applyAlignment="1"/>
    <xf numFmtId="165" fontId="11" fillId="0" borderId="0" xfId="0" applyNumberFormat="1" applyFont="1" applyBorder="1" applyAlignment="1"/>
    <xf numFmtId="5" fontId="11" fillId="0" borderId="0" xfId="0" applyNumberFormat="1" applyFont="1" applyBorder="1" applyAlignment="1"/>
    <xf numFmtId="165" fontId="8" fillId="0" borderId="0" xfId="0" applyNumberFormat="1" applyFont="1" applyBorder="1" applyAlignment="1"/>
    <xf numFmtId="178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4" fontId="6" fillId="0" borderId="21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164" fontId="6" fillId="0" borderId="22" xfId="0" applyNumberFormat="1" applyFont="1" applyBorder="1" applyAlignment="1">
      <alignment horizontal="center" wrapText="1"/>
    </xf>
    <xf numFmtId="164" fontId="6" fillId="0" borderId="6" xfId="0" applyNumberFormat="1" applyFont="1" applyBorder="1" applyAlignment="1">
      <alignment horizontal="left" wrapText="1"/>
    </xf>
    <xf numFmtId="164" fontId="6" fillId="0" borderId="6" xfId="0" applyNumberFormat="1" applyFont="1" applyBorder="1" applyAlignment="1">
      <alignment horizontal="center" wrapText="1"/>
    </xf>
    <xf numFmtId="164" fontId="6" fillId="0" borderId="5" xfId="0" applyNumberFormat="1" applyFont="1" applyBorder="1" applyAlignment="1">
      <alignment horizontal="center" wrapText="1"/>
    </xf>
    <xf numFmtId="9" fontId="6" fillId="0" borderId="23" xfId="41" applyFont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left" wrapText="1"/>
    </xf>
    <xf numFmtId="164" fontId="6" fillId="0" borderId="8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164" fontId="6" fillId="0" borderId="12" xfId="0" applyNumberFormat="1" applyFont="1" applyBorder="1" applyAlignment="1">
      <alignment horizontal="center" wrapText="1"/>
    </xf>
    <xf numFmtId="43" fontId="6" fillId="0" borderId="27" xfId="28" applyFont="1" applyBorder="1" applyProtection="1">
      <protection locked="0"/>
    </xf>
    <xf numFmtId="164" fontId="6" fillId="0" borderId="8" xfId="0" applyNumberFormat="1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0" fontId="16" fillId="0" borderId="12" xfId="0" applyFont="1" applyBorder="1"/>
    <xf numFmtId="5" fontId="16" fillId="0" borderId="12" xfId="0" applyNumberFormat="1" applyFont="1" applyBorder="1" applyAlignment="1">
      <alignment horizontal="right"/>
    </xf>
    <xf numFmtId="9" fontId="16" fillId="0" borderId="12" xfId="41" applyNumberFormat="1" applyFont="1" applyBorder="1" applyAlignment="1">
      <alignment horizontal="right"/>
    </xf>
    <xf numFmtId="37" fontId="16" fillId="0" borderId="12" xfId="0" applyNumberFormat="1" applyFont="1" applyBorder="1" applyAlignment="1">
      <alignment horizontal="right"/>
    </xf>
    <xf numFmtId="0" fontId="6" fillId="0" borderId="0" xfId="0" applyFont="1" applyBorder="1"/>
    <xf numFmtId="164" fontId="6" fillId="0" borderId="12" xfId="0" applyNumberFormat="1" applyFont="1" applyFill="1" applyBorder="1" applyAlignment="1">
      <alignment horizontal="right"/>
    </xf>
    <xf numFmtId="164" fontId="6" fillId="0" borderId="12" xfId="0" applyNumberFormat="1" applyFont="1" applyFill="1" applyBorder="1" applyAlignment="1">
      <alignment horizontal="left" wrapText="1"/>
    </xf>
    <xf numFmtId="5" fontId="6" fillId="0" borderId="12" xfId="0" applyNumberFormat="1" applyFont="1" applyBorder="1" applyAlignment="1">
      <alignment horizontal="right"/>
    </xf>
    <xf numFmtId="9" fontId="6" fillId="0" borderId="12" xfId="41" applyNumberFormat="1" applyFont="1" applyBorder="1" applyAlignment="1">
      <alignment horizontal="right"/>
    </xf>
    <xf numFmtId="164" fontId="6" fillId="0" borderId="12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wrapText="1"/>
    </xf>
    <xf numFmtId="9" fontId="6" fillId="0" borderId="12" xfId="41" applyFont="1" applyBorder="1" applyAlignment="1">
      <alignment horizontal="right"/>
    </xf>
    <xf numFmtId="37" fontId="6" fillId="0" borderId="12" xfId="0" applyNumberFormat="1" applyFont="1" applyFill="1" applyBorder="1" applyAlignment="1">
      <alignment horizontal="right"/>
    </xf>
    <xf numFmtId="164" fontId="6" fillId="0" borderId="22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left"/>
    </xf>
    <xf numFmtId="164" fontId="6" fillId="33" borderId="8" xfId="0" applyNumberFormat="1" applyFont="1" applyFill="1" applyBorder="1" applyAlignment="1">
      <alignment horizontal="center"/>
    </xf>
    <xf numFmtId="164" fontId="6" fillId="33" borderId="10" xfId="0" applyNumberFormat="1" applyFont="1" applyFill="1" applyBorder="1" applyAlignment="1">
      <alignment horizontal="left"/>
    </xf>
    <xf numFmtId="164" fontId="6" fillId="33" borderId="9" xfId="0" applyNumberFormat="1" applyFont="1" applyFill="1" applyBorder="1" applyAlignment="1">
      <alignment horizontal="center" wrapText="1"/>
    </xf>
    <xf numFmtId="164" fontId="6" fillId="33" borderId="11" xfId="0" applyNumberFormat="1" applyFont="1" applyFill="1" applyBorder="1" applyAlignment="1">
      <alignment horizontal="center" wrapText="1"/>
    </xf>
    <xf numFmtId="9" fontId="6" fillId="33" borderId="10" xfId="4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12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4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6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5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4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5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0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0" fontId="10" fillId="0" borderId="41" xfId="0" applyNumberFormat="1" applyFont="1" applyFill="1" applyBorder="1" applyAlignment="1"/>
    <xf numFmtId="0" fontId="8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164" fontId="12" fillId="0" borderId="12" xfId="0" applyNumberFormat="1" applyFont="1" applyBorder="1" applyAlignment="1"/>
    <xf numFmtId="164" fontId="9" fillId="0" borderId="12" xfId="0" applyNumberFormat="1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164" fontId="11" fillId="0" borderId="12" xfId="0" applyNumberFormat="1" applyFont="1" applyBorder="1" applyAlignment="1">
      <alignment wrapText="1"/>
    </xf>
    <xf numFmtId="3" fontId="8" fillId="0" borderId="12" xfId="28" applyNumberFormat="1" applyFont="1" applyBorder="1" applyAlignment="1">
      <alignment horizontal="right"/>
    </xf>
    <xf numFmtId="1" fontId="8" fillId="0" borderId="12" xfId="0" applyNumberFormat="1" applyFont="1" applyBorder="1" applyAlignment="1">
      <alignment horizontal="right"/>
    </xf>
    <xf numFmtId="172" fontId="8" fillId="0" borderId="12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12" xfId="28" applyNumberFormat="1" applyFont="1" applyBorder="1" applyAlignment="1">
      <alignment horizontal="right"/>
    </xf>
    <xf numFmtId="172" fontId="10" fillId="0" borderId="12" xfId="41" applyNumberFormat="1" applyFont="1" applyBorder="1" applyAlignment="1">
      <alignment horizontal="right"/>
    </xf>
    <xf numFmtId="1" fontId="7" fillId="0" borderId="12" xfId="0" applyNumberFormat="1" applyFont="1" applyBorder="1" applyAlignment="1">
      <alignment horizontal="right"/>
    </xf>
    <xf numFmtId="37" fontId="10" fillId="0" borderId="12" xfId="28" applyNumberFormat="1" applyFont="1" applyBorder="1" applyAlignment="1">
      <alignment horizontal="right"/>
    </xf>
    <xf numFmtId="164" fontId="10" fillId="0" borderId="0" xfId="0" applyNumberFormat="1" applyFont="1" applyBorder="1" applyAlignment="1"/>
    <xf numFmtId="0" fontId="8" fillId="0" borderId="0" xfId="0" applyFont="1" applyBorder="1"/>
    <xf numFmtId="164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12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4" fontId="7" fillId="0" borderId="12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4" fontId="7" fillId="0" borderId="12" xfId="0" applyNumberFormat="1" applyFont="1" applyBorder="1" applyAlignment="1"/>
    <xf numFmtId="164" fontId="12" fillId="0" borderId="12" xfId="0" applyNumberFormat="1" applyFont="1" applyBorder="1" applyAlignment="1">
      <alignment horizontal="center"/>
    </xf>
    <xf numFmtId="9" fontId="8" fillId="0" borderId="12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12" xfId="28" applyNumberFormat="1" applyFont="1" applyBorder="1" applyAlignment="1">
      <alignment horizontal="right"/>
    </xf>
    <xf numFmtId="3" fontId="8" fillId="0" borderId="12" xfId="0" applyNumberFormat="1" applyFont="1" applyBorder="1" applyAlignment="1">
      <alignment horizontal="right"/>
    </xf>
    <xf numFmtId="3" fontId="10" fillId="0" borderId="12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12" xfId="0" applyNumberFormat="1" applyFont="1" applyBorder="1" applyAlignment="1">
      <alignment horizontal="right"/>
    </xf>
    <xf numFmtId="3" fontId="11" fillId="0" borderId="12" xfId="28" applyNumberFormat="1" applyFont="1" applyBorder="1" applyAlignment="1">
      <alignment horizontal="right"/>
    </xf>
    <xf numFmtId="164" fontId="8" fillId="0" borderId="12" xfId="0" applyNumberFormat="1" applyFont="1" applyBorder="1" applyAlignment="1"/>
    <xf numFmtId="166" fontId="8" fillId="0" borderId="12" xfId="0" applyNumberFormat="1" applyFont="1" applyBorder="1" applyAlignment="1">
      <alignment horizontal="right"/>
    </xf>
    <xf numFmtId="166" fontId="8" fillId="0" borderId="12" xfId="28" applyNumberFormat="1" applyFont="1" applyBorder="1" applyAlignment="1">
      <alignment horizontal="right"/>
    </xf>
    <xf numFmtId="166" fontId="10" fillId="0" borderId="12" xfId="28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4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7" fillId="0" borderId="13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67" fontId="17" fillId="0" borderId="0" xfId="0" applyNumberFormat="1" applyFont="1" applyFill="1" applyBorder="1" applyProtection="1">
      <protection locked="0"/>
    </xf>
    <xf numFmtId="168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0" fontId="17" fillId="0" borderId="0" xfId="0" applyNumberFormat="1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1" fontId="17" fillId="0" borderId="0" xfId="28" applyNumberFormat="1" applyFont="1" applyFill="1" applyBorder="1" applyProtection="1">
      <protection locked="0"/>
    </xf>
    <xf numFmtId="165" fontId="17" fillId="0" borderId="0" xfId="0" applyNumberFormat="1" applyFont="1" applyFill="1" applyBorder="1" applyProtection="1">
      <protection locked="0"/>
    </xf>
    <xf numFmtId="165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27" xfId="0" applyFont="1" applyFill="1" applyBorder="1" applyAlignment="1" applyProtection="1">
      <alignment horizontal="center"/>
      <protection locked="0"/>
    </xf>
    <xf numFmtId="172" fontId="17" fillId="0" borderId="0" xfId="41" applyNumberFormat="1" applyFont="1" applyFill="1" applyBorder="1" applyProtection="1">
      <protection locked="0"/>
    </xf>
    <xf numFmtId="172" fontId="18" fillId="0" borderId="0" xfId="41" applyNumberFormat="1" applyFont="1" applyFill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5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4" fontId="17" fillId="0" borderId="0" xfId="28" applyNumberFormat="1" applyFont="1" applyFill="1" applyBorder="1" applyProtection="1">
      <protection locked="0"/>
    </xf>
    <xf numFmtId="174" fontId="18" fillId="0" borderId="0" xfId="28" applyNumberFormat="1" applyFont="1" applyFill="1" applyBorder="1" applyProtection="1">
      <protection locked="0"/>
    </xf>
    <xf numFmtId="174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68" fontId="17" fillId="0" borderId="0" xfId="28" applyNumberFormat="1" applyFont="1" applyFill="1" applyBorder="1" applyProtection="1">
      <protection locked="0"/>
    </xf>
    <xf numFmtId="175" fontId="18" fillId="0" borderId="0" xfId="28" applyNumberFormat="1" applyFont="1" applyFill="1" applyBorder="1" applyProtection="1">
      <protection locked="0"/>
    </xf>
    <xf numFmtId="175" fontId="17" fillId="0" borderId="0" xfId="28" applyNumberFormat="1" applyFont="1" applyFill="1" applyBorder="1" applyAlignment="1" applyProtection="1">
      <alignment horizontal="right"/>
      <protection locked="0"/>
    </xf>
    <xf numFmtId="174" fontId="17" fillId="0" borderId="0" xfId="41" applyNumberFormat="1" applyFont="1" applyFill="1" applyBorder="1" applyAlignment="1" applyProtection="1">
      <alignment horizontal="right"/>
      <protection locked="0"/>
    </xf>
    <xf numFmtId="174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76" fontId="17" fillId="0" borderId="0" xfId="28" applyNumberFormat="1" applyFont="1" applyFill="1" applyBorder="1" applyAlignment="1" applyProtection="1">
      <alignment horizontal="right"/>
      <protection locked="0"/>
    </xf>
    <xf numFmtId="177" fontId="18" fillId="0" borderId="0" xfId="28" applyNumberFormat="1" applyFont="1" applyFill="1" applyBorder="1" applyAlignment="1" applyProtection="1">
      <alignment horizontal="right"/>
      <protection locked="0"/>
    </xf>
    <xf numFmtId="177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4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9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5" fontId="17" fillId="0" borderId="0" xfId="0" applyNumberFormat="1" applyFont="1" applyFill="1" applyBorder="1" applyAlignment="1" applyProtection="1">
      <alignment horizontal="left"/>
      <protection locked="0"/>
    </xf>
    <xf numFmtId="164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3" fontId="17" fillId="0" borderId="0" xfId="28" applyNumberFormat="1" applyFont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left"/>
      <protection locked="0"/>
    </xf>
    <xf numFmtId="164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4" fontId="19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12" xfId="0" applyFont="1" applyBorder="1" applyAlignment="1"/>
    <xf numFmtId="0" fontId="15" fillId="0" borderId="12" xfId="0" applyFont="1" applyBorder="1" applyAlignment="1">
      <alignment horizontal="center" vertical="top"/>
    </xf>
    <xf numFmtId="0" fontId="12" fillId="0" borderId="12" xfId="0" applyFont="1" applyBorder="1" applyAlignment="1"/>
    <xf numFmtId="0" fontId="17" fillId="0" borderId="12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12" xfId="0" applyFont="1" applyBorder="1" applyAlignment="1">
      <alignment horizontal="center"/>
    </xf>
    <xf numFmtId="0" fontId="13" fillId="0" borderId="12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12" xfId="0" applyFont="1" applyBorder="1" applyAlignment="1">
      <alignment horizontal="center" vertical="top"/>
    </xf>
    <xf numFmtId="0" fontId="20" fillId="0" borderId="12" xfId="0" applyFont="1" applyBorder="1" applyAlignment="1">
      <alignment vertical="top"/>
    </xf>
    <xf numFmtId="0" fontId="13" fillId="0" borderId="12" xfId="0" applyFont="1" applyBorder="1" applyProtection="1">
      <protection locked="0"/>
    </xf>
    <xf numFmtId="0" fontId="13" fillId="0" borderId="12" xfId="0" applyFont="1" applyBorder="1" applyAlignment="1">
      <alignment vertical="top" wrapText="1"/>
    </xf>
    <xf numFmtId="0" fontId="13" fillId="0" borderId="12" xfId="0" applyFont="1" applyBorder="1" applyAlignment="1">
      <alignment horizontal="center" vertical="top"/>
    </xf>
    <xf numFmtId="6" fontId="13" fillId="0" borderId="12" xfId="0" applyNumberFormat="1" applyFont="1" applyBorder="1" applyAlignment="1">
      <alignment horizontal="right" vertical="top"/>
    </xf>
    <xf numFmtId="6" fontId="13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horizontal="right" vertical="top"/>
    </xf>
    <xf numFmtId="0" fontId="19" fillId="0" borderId="12" xfId="0" applyFont="1" applyBorder="1" applyAlignment="1">
      <alignment vertical="top" wrapText="1"/>
    </xf>
    <xf numFmtId="6" fontId="19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vertical="top"/>
    </xf>
    <xf numFmtId="0" fontId="17" fillId="0" borderId="12" xfId="0" applyFont="1" applyBorder="1" applyAlignment="1" applyProtection="1">
      <alignment horizontal="left"/>
      <protection locked="0"/>
    </xf>
    <xf numFmtId="0" fontId="17" fillId="0" borderId="12" xfId="0" applyFont="1" applyBorder="1" applyProtection="1">
      <protection locked="0"/>
    </xf>
    <xf numFmtId="0" fontId="20" fillId="0" borderId="12" xfId="0" applyFont="1" applyBorder="1" applyProtection="1">
      <protection locked="0"/>
    </xf>
    <xf numFmtId="0" fontId="20" fillId="0" borderId="12" xfId="0" applyFont="1" applyBorder="1" applyAlignment="1"/>
    <xf numFmtId="10" fontId="13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>
      <alignment vertical="top"/>
    </xf>
    <xf numFmtId="10" fontId="19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 applyProtection="1">
      <alignment horizontal="center"/>
      <protection locked="0"/>
    </xf>
    <xf numFmtId="0" fontId="19" fillId="0" borderId="12" xfId="0" applyFont="1" applyBorder="1" applyProtection="1">
      <protection locked="0"/>
    </xf>
    <xf numFmtId="172" fontId="13" fillId="0" borderId="12" xfId="41" applyNumberFormat="1" applyFont="1" applyBorder="1" applyAlignment="1">
      <alignment vertical="top"/>
    </xf>
    <xf numFmtId="0" fontId="15" fillId="0" borderId="12" xfId="0" applyFont="1" applyBorder="1" applyAlignment="1" applyProtection="1">
      <alignment horizontal="center"/>
      <protection locked="0"/>
    </xf>
    <xf numFmtId="3" fontId="13" fillId="0" borderId="12" xfId="0" applyNumberFormat="1" applyFont="1" applyBorder="1" applyAlignment="1">
      <alignment horizontal="right" vertical="top"/>
    </xf>
    <xf numFmtId="174" fontId="13" fillId="0" borderId="12" xfId="28" applyNumberFormat="1" applyFont="1" applyBorder="1" applyAlignment="1">
      <alignment vertical="top"/>
    </xf>
    <xf numFmtId="3" fontId="19" fillId="0" borderId="12" xfId="0" applyNumberFormat="1" applyFont="1" applyBorder="1" applyAlignment="1">
      <alignment vertical="top"/>
    </xf>
    <xf numFmtId="174" fontId="19" fillId="0" borderId="12" xfId="28" applyNumberFormat="1" applyFont="1" applyBorder="1" applyAlignment="1">
      <alignment vertical="top"/>
    </xf>
    <xf numFmtId="3" fontId="13" fillId="0" borderId="12" xfId="0" applyNumberFormat="1" applyFont="1" applyBorder="1" applyAlignment="1">
      <alignment vertical="top"/>
    </xf>
    <xf numFmtId="3" fontId="13" fillId="0" borderId="12" xfId="0" applyNumberFormat="1" applyFont="1" applyFill="1" applyBorder="1" applyAlignment="1">
      <alignment vertical="top"/>
    </xf>
    <xf numFmtId="166" fontId="13" fillId="0" borderId="12" xfId="0" applyNumberFormat="1" applyFont="1" applyBorder="1" applyAlignment="1">
      <alignment vertical="top"/>
    </xf>
    <xf numFmtId="171" fontId="13" fillId="0" borderId="12" xfId="28" applyNumberFormat="1" applyFont="1" applyBorder="1" applyAlignment="1">
      <alignment vertical="top"/>
    </xf>
    <xf numFmtId="166" fontId="19" fillId="0" borderId="12" xfId="0" applyNumberFormat="1" applyFont="1" applyBorder="1" applyAlignment="1">
      <alignment vertical="top"/>
    </xf>
    <xf numFmtId="171" fontId="19" fillId="0" borderId="12" xfId="28" applyNumberFormat="1" applyFont="1" applyBorder="1" applyAlignment="1">
      <alignment vertical="top"/>
    </xf>
    <xf numFmtId="171" fontId="13" fillId="0" borderId="12" xfId="0" applyNumberFormat="1" applyFont="1" applyBorder="1" applyAlignment="1">
      <alignment vertical="top"/>
    </xf>
    <xf numFmtId="181" fontId="13" fillId="0" borderId="12" xfId="0" applyNumberFormat="1" applyFont="1" applyBorder="1" applyAlignment="1">
      <alignment horizontal="right" vertical="top"/>
    </xf>
    <xf numFmtId="168" fontId="13" fillId="0" borderId="12" xfId="28" applyNumberFormat="1" applyFont="1" applyBorder="1" applyAlignment="1">
      <alignment vertical="top"/>
    </xf>
    <xf numFmtId="181" fontId="19" fillId="0" borderId="12" xfId="0" applyNumberFormat="1" applyFont="1" applyBorder="1" applyAlignment="1">
      <alignment horizontal="right" vertical="top"/>
    </xf>
    <xf numFmtId="168" fontId="19" fillId="0" borderId="12" xfId="28" applyNumberFormat="1" applyFont="1" applyBorder="1" applyAlignment="1">
      <alignment vertical="top"/>
    </xf>
    <xf numFmtId="0" fontId="13" fillId="0" borderId="12" xfId="0" applyFont="1" applyBorder="1" applyAlignment="1">
      <alignment horizontal="right" vertical="top"/>
    </xf>
    <xf numFmtId="6" fontId="13" fillId="0" borderId="12" xfId="0" applyNumberFormat="1" applyFont="1" applyBorder="1" applyProtection="1">
      <protection locked="0"/>
    </xf>
    <xf numFmtId="10" fontId="13" fillId="0" borderId="12" xfId="41" applyNumberFormat="1" applyFont="1" applyBorder="1" applyProtection="1">
      <protection locked="0"/>
    </xf>
    <xf numFmtId="0" fontId="29" fillId="0" borderId="12" xfId="0" applyFont="1" applyFill="1" applyBorder="1" applyAlignment="1">
      <alignment vertical="top" wrapText="1"/>
    </xf>
    <xf numFmtId="6" fontId="13" fillId="0" borderId="12" xfId="0" applyNumberFormat="1" applyFont="1" applyFill="1" applyBorder="1" applyProtection="1">
      <protection locked="0"/>
    </xf>
    <xf numFmtId="0" fontId="12" fillId="0" borderId="12" xfId="0" applyFont="1" applyBorder="1" applyAlignment="1">
      <alignment vertical="top"/>
    </xf>
    <xf numFmtId="0" fontId="13" fillId="0" borderId="12" xfId="0" applyFont="1" applyBorder="1" applyAlignment="1" applyProtection="1">
      <alignment horizontal="left"/>
      <protection locked="0"/>
    </xf>
    <xf numFmtId="0" fontId="19" fillId="0" borderId="12" xfId="0" applyFont="1" applyBorder="1" applyAlignment="1" applyProtection="1">
      <alignment horizontal="left"/>
      <protection locked="0"/>
    </xf>
    <xf numFmtId="170" fontId="13" fillId="0" borderId="12" xfId="28" applyNumberFormat="1" applyFont="1" applyBorder="1" applyProtection="1">
      <protection locked="0"/>
    </xf>
    <xf numFmtId="170" fontId="13" fillId="0" borderId="12" xfId="0" applyNumberFormat="1" applyFont="1" applyBorder="1" applyProtection="1">
      <protection locked="0"/>
    </xf>
    <xf numFmtId="170" fontId="19" fillId="0" borderId="12" xfId="28" applyNumberFormat="1" applyFont="1" applyBorder="1" applyProtection="1">
      <protection locked="0"/>
    </xf>
    <xf numFmtId="170" fontId="19" fillId="0" borderId="12" xfId="0" applyNumberFormat="1" applyFont="1" applyBorder="1" applyProtection="1">
      <protection locked="0"/>
    </xf>
    <xf numFmtId="182" fontId="13" fillId="0" borderId="12" xfId="0" applyNumberFormat="1" applyFont="1" applyBorder="1" applyProtection="1">
      <protection locked="0"/>
    </xf>
    <xf numFmtId="182" fontId="19" fillId="0" borderId="12" xfId="0" applyNumberFormat="1" applyFont="1" applyBorder="1" applyProtection="1">
      <protection locked="0"/>
    </xf>
    <xf numFmtId="183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Protection="1">
      <protection locked="0"/>
    </xf>
    <xf numFmtId="8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Alignment="1" applyProtection="1">
      <alignment horizontal="right"/>
      <protection locked="0"/>
    </xf>
    <xf numFmtId="8" fontId="19" fillId="0" borderId="12" xfId="0" applyNumberFormat="1" applyFont="1" applyBorder="1" applyAlignment="1" applyProtection="1">
      <alignment horizontal="right"/>
      <protection locked="0"/>
    </xf>
    <xf numFmtId="6" fontId="19" fillId="0" borderId="12" xfId="0" applyNumberFormat="1" applyFont="1" applyBorder="1" applyProtection="1">
      <protection locked="0"/>
    </xf>
    <xf numFmtId="6" fontId="31" fillId="0" borderId="12" xfId="0" applyNumberFormat="1" applyFont="1" applyBorder="1" applyProtection="1">
      <protection locked="0"/>
    </xf>
    <xf numFmtId="184" fontId="13" fillId="0" borderId="12" xfId="28" applyNumberFormat="1" applyFont="1" applyBorder="1" applyProtection="1">
      <protection locked="0"/>
    </xf>
    <xf numFmtId="185" fontId="13" fillId="0" borderId="12" xfId="0" applyNumberFormat="1" applyFont="1" applyBorder="1" applyProtection="1">
      <protection locked="0"/>
    </xf>
    <xf numFmtId="6" fontId="13" fillId="0" borderId="20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12" xfId="0" applyFont="1" applyFill="1" applyBorder="1" applyAlignment="1">
      <alignment horizontal="center" vertical="top"/>
    </xf>
    <xf numFmtId="0" fontId="13" fillId="0" borderId="12" xfId="0" applyFont="1" applyFill="1" applyBorder="1" applyAlignment="1">
      <alignment vertical="top"/>
    </xf>
    <xf numFmtId="6" fontId="31" fillId="0" borderId="12" xfId="0" applyNumberFormat="1" applyFont="1" applyFill="1" applyBorder="1" applyProtection="1">
      <protection locked="0"/>
    </xf>
    <xf numFmtId="0" fontId="10" fillId="0" borderId="12" xfId="0" applyFont="1" applyBorder="1" applyAlignment="1">
      <alignment vertical="top"/>
    </xf>
    <xf numFmtId="10" fontId="13" fillId="0" borderId="12" xfId="0" applyNumberFormat="1" applyFont="1" applyBorder="1" applyProtection="1">
      <protection locked="0"/>
    </xf>
    <xf numFmtId="10" fontId="19" fillId="0" borderId="12" xfId="41" applyNumberFormat="1" applyFont="1" applyBorder="1" applyProtection="1">
      <protection locked="0"/>
    </xf>
    <xf numFmtId="10" fontId="19" fillId="0" borderId="12" xfId="0" applyNumberFormat="1" applyFont="1" applyBorder="1" applyProtection="1">
      <protection locked="0"/>
    </xf>
    <xf numFmtId="0" fontId="10" fillId="0" borderId="12" xfId="0" applyFont="1" applyBorder="1" applyAlignment="1"/>
    <xf numFmtId="6" fontId="13" fillId="0" borderId="12" xfId="0" applyNumberFormat="1" applyFont="1" applyFill="1" applyBorder="1" applyAlignment="1">
      <alignment horizontal="right" vertical="top"/>
    </xf>
    <xf numFmtId="6" fontId="13" fillId="0" borderId="12" xfId="0" applyNumberFormat="1" applyFont="1" applyFill="1" applyBorder="1" applyAlignment="1">
      <alignment vertical="top"/>
    </xf>
    <xf numFmtId="6" fontId="19" fillId="0" borderId="12" xfId="0" applyNumberFormat="1" applyFont="1" applyFill="1" applyBorder="1" applyAlignment="1">
      <alignment vertical="top"/>
    </xf>
    <xf numFmtId="6" fontId="19" fillId="0" borderId="12" xfId="0" applyNumberFormat="1" applyFont="1" applyBorder="1" applyAlignment="1">
      <alignment horizontal="right" vertical="top"/>
    </xf>
    <xf numFmtId="6" fontId="19" fillId="0" borderId="12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4" fontId="10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12" xfId="0" applyNumberFormat="1" applyFont="1" applyBorder="1" applyAlignment="1">
      <alignment horizontal="right" vertical="top"/>
    </xf>
    <xf numFmtId="10" fontId="13" fillId="0" borderId="12" xfId="0" applyNumberFormat="1" applyFont="1" applyBorder="1" applyAlignment="1">
      <alignment horizontal="right" vertical="top"/>
    </xf>
    <xf numFmtId="186" fontId="13" fillId="0" borderId="12" xfId="0" applyNumberFormat="1" applyFont="1" applyBorder="1" applyProtection="1">
      <protection locked="0"/>
    </xf>
    <xf numFmtId="6" fontId="13" fillId="0" borderId="27" xfId="0" applyNumberFormat="1" applyFont="1" applyBorder="1" applyAlignment="1">
      <alignment horizontal="right" vertical="top"/>
    </xf>
    <xf numFmtId="6" fontId="13" fillId="0" borderId="27" xfId="0" applyNumberFormat="1" applyFont="1" applyBorder="1" applyAlignment="1">
      <alignment vertical="top"/>
    </xf>
    <xf numFmtId="6" fontId="19" fillId="0" borderId="2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4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2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87" fontId="34" fillId="0" borderId="0" xfId="0" applyNumberFormat="1" applyFont="1" applyBorder="1" applyAlignment="1">
      <alignment horizontal="right" wrapText="1"/>
    </xf>
    <xf numFmtId="168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5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5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88" fontId="33" fillId="0" borderId="0" xfId="0" applyNumberFormat="1" applyFont="1" applyBorder="1" applyAlignment="1">
      <alignment horizontal="right" wrapText="1"/>
    </xf>
    <xf numFmtId="188" fontId="34" fillId="0" borderId="0" xfId="0" applyNumberFormat="1" applyFont="1" applyBorder="1" applyAlignment="1">
      <alignment horizontal="right" wrapText="1"/>
    </xf>
    <xf numFmtId="165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164" fontId="1" fillId="33" borderId="9" xfId="0" applyNumberFormat="1" applyFont="1" applyFill="1" applyBorder="1" applyAlignment="1"/>
    <xf numFmtId="164" fontId="1" fillId="33" borderId="11" xfId="0" applyNumberFormat="1" applyFont="1" applyFill="1" applyBorder="1" applyAlignment="1"/>
    <xf numFmtId="164" fontId="1" fillId="33" borderId="10" xfId="0" applyNumberFormat="1" applyFont="1" applyFill="1" applyBorder="1" applyAlignment="1"/>
    <xf numFmtId="164" fontId="1" fillId="0" borderId="13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5" fontId="3" fillId="0" borderId="14" xfId="0" applyNumberFormat="1" applyFont="1" applyBorder="1" applyAlignment="1">
      <alignment horizontal="center"/>
    </xf>
    <xf numFmtId="5" fontId="3" fillId="0" borderId="15" xfId="0" applyNumberFormat="1" applyFont="1" applyBorder="1" applyAlignment="1">
      <alignment horizontal="center"/>
    </xf>
    <xf numFmtId="5" fontId="3" fillId="0" borderId="16" xfId="0" applyNumberFormat="1" applyFont="1" applyBorder="1" applyAlignment="1">
      <alignment horizontal="center"/>
    </xf>
    <xf numFmtId="5" fontId="3" fillId="0" borderId="9" xfId="0" applyNumberFormat="1" applyFont="1" applyBorder="1" applyAlignment="1">
      <alignment horizontal="center"/>
    </xf>
    <xf numFmtId="5" fontId="3" fillId="0" borderId="11" xfId="0" applyNumberFormat="1" applyFont="1" applyBorder="1" applyAlignment="1">
      <alignment horizontal="center"/>
    </xf>
    <xf numFmtId="5" fontId="3" fillId="0" borderId="10" xfId="0" applyNumberFormat="1" applyFont="1" applyBorder="1" applyAlignment="1">
      <alignment horizontal="center"/>
    </xf>
    <xf numFmtId="0" fontId="5" fillId="0" borderId="20" xfId="0" applyFont="1" applyBorder="1" applyAlignment="1"/>
    <xf numFmtId="0" fontId="5" fillId="0" borderId="8" xfId="0" applyFont="1" applyBorder="1" applyAlignment="1"/>
    <xf numFmtId="164" fontId="6" fillId="0" borderId="27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164" fontId="6" fillId="0" borderId="28" xfId="0" applyNumberFormat="1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 wrapText="1"/>
    </xf>
    <xf numFmtId="164" fontId="6" fillId="0" borderId="11" xfId="0" applyNumberFormat="1" applyFont="1" applyBorder="1" applyAlignment="1">
      <alignment horizontal="center" wrapText="1"/>
    </xf>
    <xf numFmtId="164" fontId="6" fillId="0" borderId="10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4" fontId="6" fillId="0" borderId="14" xfId="0" applyNumberFormat="1" applyFont="1" applyBorder="1" applyAlignment="1">
      <alignment horizontal="center" wrapText="1"/>
    </xf>
    <xf numFmtId="164" fontId="6" fillId="0" borderId="15" xfId="0" applyNumberFormat="1" applyFont="1" applyBorder="1" applyAlignment="1">
      <alignment horizontal="center" wrapText="1"/>
    </xf>
    <xf numFmtId="164" fontId="6" fillId="0" borderId="16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33" borderId="24" xfId="0" applyNumberFormat="1" applyFont="1" applyFill="1" applyBorder="1" applyAlignment="1">
      <alignment horizontal="center" wrapText="1"/>
    </xf>
    <xf numFmtId="164" fontId="6" fillId="33" borderId="26" xfId="0" applyNumberFormat="1" applyFont="1" applyFill="1" applyBorder="1" applyAlignment="1">
      <alignment horizontal="center" wrapText="1"/>
    </xf>
    <xf numFmtId="164" fontId="6" fillId="33" borderId="25" xfId="0" applyNumberFormat="1" applyFont="1" applyFill="1" applyBorder="1" applyAlignment="1">
      <alignment horizontal="center" wrapText="1"/>
    </xf>
    <xf numFmtId="0" fontId="4" fillId="0" borderId="20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10" fillId="0" borderId="29" xfId="0" applyNumberFormat="1" applyFont="1" applyBorder="1" applyAlignment="1"/>
    <xf numFmtId="164" fontId="10" fillId="0" borderId="31" xfId="0" applyNumberFormat="1" applyFont="1" applyBorder="1" applyAlignment="1"/>
    <xf numFmtId="164" fontId="10" fillId="0" borderId="30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5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9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5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6859877</v>
      </c>
      <c r="D13" s="23">
        <v>10710102</v>
      </c>
      <c r="E13" s="23">
        <f t="shared" ref="E13:E22" si="0">D13-C13</f>
        <v>3850225</v>
      </c>
      <c r="F13" s="24">
        <f t="shared" ref="F13:F22" si="1">IF(C13=0,0,E13/C13)</f>
        <v>0.56126735216972545</v>
      </c>
    </row>
    <row r="14" spans="1:8" ht="24" customHeight="1" x14ac:dyDescent="0.2">
      <c r="A14" s="21">
        <v>2</v>
      </c>
      <c r="B14" s="22" t="s">
        <v>17</v>
      </c>
      <c r="C14" s="23">
        <v>198805</v>
      </c>
      <c r="D14" s="23">
        <v>0</v>
      </c>
      <c r="E14" s="23">
        <f t="shared" si="0"/>
        <v>-198805</v>
      </c>
      <c r="F14" s="24">
        <f t="shared" si="1"/>
        <v>-1</v>
      </c>
    </row>
    <row r="15" spans="1:8" ht="30.75" customHeight="1" x14ac:dyDescent="0.2">
      <c r="A15" s="21">
        <v>3</v>
      </c>
      <c r="B15" s="22" t="s">
        <v>18</v>
      </c>
      <c r="C15" s="23">
        <v>10247728</v>
      </c>
      <c r="D15" s="23">
        <v>10457444</v>
      </c>
      <c r="E15" s="23">
        <f t="shared" si="0"/>
        <v>209716</v>
      </c>
      <c r="F15" s="24">
        <f t="shared" si="1"/>
        <v>2.0464633721738127E-2</v>
      </c>
    </row>
    <row r="16" spans="1:8" ht="24" customHeight="1" x14ac:dyDescent="0.2">
      <c r="A16" s="21">
        <v>4</v>
      </c>
      <c r="B16" s="22" t="s">
        <v>19</v>
      </c>
      <c r="C16" s="23">
        <v>922589</v>
      </c>
      <c r="D16" s="23">
        <v>307266</v>
      </c>
      <c r="E16" s="23">
        <f t="shared" si="0"/>
        <v>-615323</v>
      </c>
      <c r="F16" s="24">
        <f t="shared" si="1"/>
        <v>-0.66695245661936142</v>
      </c>
    </row>
    <row r="17" spans="1:11" ht="24" customHeight="1" x14ac:dyDescent="0.2">
      <c r="A17" s="21">
        <v>5</v>
      </c>
      <c r="B17" s="22" t="s">
        <v>20</v>
      </c>
      <c r="C17" s="23">
        <v>43668</v>
      </c>
      <c r="D17" s="23">
        <v>0</v>
      </c>
      <c r="E17" s="23">
        <f t="shared" si="0"/>
        <v>-43668</v>
      </c>
      <c r="F17" s="24">
        <f t="shared" si="1"/>
        <v>-1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2043790</v>
      </c>
      <c r="D19" s="23">
        <v>1944478</v>
      </c>
      <c r="E19" s="23">
        <f t="shared" si="0"/>
        <v>-99312</v>
      </c>
      <c r="F19" s="24">
        <f t="shared" si="1"/>
        <v>-4.8592076485353193E-2</v>
      </c>
    </row>
    <row r="20" spans="1:11" ht="24" customHeight="1" x14ac:dyDescent="0.2">
      <c r="A20" s="21">
        <v>8</v>
      </c>
      <c r="B20" s="22" t="s">
        <v>23</v>
      </c>
      <c r="C20" s="23">
        <v>1486255</v>
      </c>
      <c r="D20" s="23">
        <v>1415038</v>
      </c>
      <c r="E20" s="23">
        <f t="shared" si="0"/>
        <v>-71217</v>
      </c>
      <c r="F20" s="24">
        <f t="shared" si="1"/>
        <v>-4.7917080178031361E-2</v>
      </c>
    </row>
    <row r="21" spans="1:11" ht="24" customHeight="1" x14ac:dyDescent="0.2">
      <c r="A21" s="21">
        <v>9</v>
      </c>
      <c r="B21" s="22" t="s">
        <v>24</v>
      </c>
      <c r="C21" s="23">
        <v>1074544</v>
      </c>
      <c r="D21" s="23">
        <v>0</v>
      </c>
      <c r="E21" s="23">
        <f t="shared" si="0"/>
        <v>-1074544</v>
      </c>
      <c r="F21" s="24">
        <f t="shared" si="1"/>
        <v>-1</v>
      </c>
    </row>
    <row r="22" spans="1:11" ht="24" customHeight="1" x14ac:dyDescent="0.25">
      <c r="A22" s="25"/>
      <c r="B22" s="26" t="s">
        <v>25</v>
      </c>
      <c r="C22" s="27">
        <f>SUM(C13:C21)</f>
        <v>22877256</v>
      </c>
      <c r="D22" s="27">
        <f>SUM(D13:D21)</f>
        <v>24834328</v>
      </c>
      <c r="E22" s="27">
        <f t="shared" si="0"/>
        <v>1957072</v>
      </c>
      <c r="F22" s="28">
        <f t="shared" si="1"/>
        <v>8.5546623248872161E-2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0</v>
      </c>
      <c r="D25" s="23">
        <v>0</v>
      </c>
      <c r="E25" s="23">
        <f>D25-C25</f>
        <v>0</v>
      </c>
      <c r="F25" s="24">
        <f>IF(C25=0,0,E25/C25)</f>
        <v>0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0</v>
      </c>
      <c r="D28" s="23">
        <v>0</v>
      </c>
      <c r="E28" s="23">
        <f>D28-C28</f>
        <v>0</v>
      </c>
      <c r="F28" s="24">
        <f>IF(C28=0,0,E28/C28)</f>
        <v>0</v>
      </c>
    </row>
    <row r="29" spans="1:11" ht="24" customHeight="1" x14ac:dyDescent="0.25">
      <c r="A29" s="25"/>
      <c r="B29" s="26" t="s">
        <v>32</v>
      </c>
      <c r="C29" s="27">
        <f>SUM(C25:C28)</f>
        <v>0</v>
      </c>
      <c r="D29" s="27">
        <f>SUM(D25:D28)</f>
        <v>0</v>
      </c>
      <c r="E29" s="27">
        <f>D29-C29</f>
        <v>0</v>
      </c>
      <c r="F29" s="28">
        <f>IF(C29=0,0,E29/C29)</f>
        <v>0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9274171</v>
      </c>
      <c r="D31" s="23">
        <v>10110186</v>
      </c>
      <c r="E31" s="23">
        <f>D31-C31</f>
        <v>836015</v>
      </c>
      <c r="F31" s="24">
        <f>IF(C31=0,0,E31/C31)</f>
        <v>9.0144445255538205E-2</v>
      </c>
    </row>
    <row r="32" spans="1:11" ht="24" customHeight="1" x14ac:dyDescent="0.2">
      <c r="A32" s="21">
        <v>6</v>
      </c>
      <c r="B32" s="22" t="s">
        <v>34</v>
      </c>
      <c r="C32" s="23">
        <v>0</v>
      </c>
      <c r="D32" s="23">
        <v>199742</v>
      </c>
      <c r="E32" s="23">
        <f>D32-C32</f>
        <v>199742</v>
      </c>
      <c r="F32" s="24">
        <f>IF(C32=0,0,E32/C32)</f>
        <v>0</v>
      </c>
    </row>
    <row r="33" spans="1:8" ht="24" customHeight="1" x14ac:dyDescent="0.2">
      <c r="A33" s="21">
        <v>7</v>
      </c>
      <c r="B33" s="22" t="s">
        <v>35</v>
      </c>
      <c r="C33" s="23">
        <v>4015159</v>
      </c>
      <c r="D33" s="23">
        <v>1095567</v>
      </c>
      <c r="E33" s="23">
        <f>D33-C33</f>
        <v>-2919592</v>
      </c>
      <c r="F33" s="24">
        <f>IF(C33=0,0,E33/C33)</f>
        <v>-0.72714231242150063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96644931</v>
      </c>
      <c r="D36" s="23">
        <v>106383423</v>
      </c>
      <c r="E36" s="23">
        <f>D36-C36</f>
        <v>9738492</v>
      </c>
      <c r="F36" s="24">
        <f>IF(C36=0,0,E36/C36)</f>
        <v>0.10076567802609326</v>
      </c>
    </row>
    <row r="37" spans="1:8" ht="24" customHeight="1" x14ac:dyDescent="0.2">
      <c r="A37" s="21">
        <v>2</v>
      </c>
      <c r="B37" s="22" t="s">
        <v>39</v>
      </c>
      <c r="C37" s="23">
        <v>65927031</v>
      </c>
      <c r="D37" s="23">
        <v>71638392</v>
      </c>
      <c r="E37" s="23">
        <f>D37-C37</f>
        <v>5711361</v>
      </c>
      <c r="F37" s="24">
        <f>IF(C37=0,0,E37/C37)</f>
        <v>8.663155178336486E-2</v>
      </c>
    </row>
    <row r="38" spans="1:8" ht="24" customHeight="1" x14ac:dyDescent="0.25">
      <c r="A38" s="25"/>
      <c r="B38" s="26" t="s">
        <v>40</v>
      </c>
      <c r="C38" s="27">
        <f>C36-C37</f>
        <v>30717900</v>
      </c>
      <c r="D38" s="27">
        <f>D36-D37</f>
        <v>34745031</v>
      </c>
      <c r="E38" s="27">
        <f>D38-C38</f>
        <v>4027131</v>
      </c>
      <c r="F38" s="28">
        <f>IF(C38=0,0,E38/C38)</f>
        <v>0.13110046585215787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2034805</v>
      </c>
      <c r="D40" s="23">
        <v>0</v>
      </c>
      <c r="E40" s="23">
        <f>D40-C40</f>
        <v>-2034805</v>
      </c>
      <c r="F40" s="24">
        <f>IF(C40=0,0,E40/C40)</f>
        <v>-1</v>
      </c>
    </row>
    <row r="41" spans="1:8" ht="24" customHeight="1" x14ac:dyDescent="0.25">
      <c r="A41" s="25"/>
      <c r="B41" s="26" t="s">
        <v>42</v>
      </c>
      <c r="C41" s="27">
        <f>+C38+C40</f>
        <v>32752705</v>
      </c>
      <c r="D41" s="27">
        <f>+D38+D40</f>
        <v>34745031</v>
      </c>
      <c r="E41" s="27">
        <f>D41-C41</f>
        <v>1992326</v>
      </c>
      <c r="F41" s="28">
        <f>IF(C41=0,0,E41/C41)</f>
        <v>6.0829357453071435E-2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68919291</v>
      </c>
      <c r="D43" s="27">
        <f>D22+D29+D31+D32+D33+D41</f>
        <v>70984854</v>
      </c>
      <c r="E43" s="27">
        <f>D43-C43</f>
        <v>2065563</v>
      </c>
      <c r="F43" s="28">
        <f>IF(C43=0,0,E43/C43)</f>
        <v>2.9970752310844288E-2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4628308</v>
      </c>
      <c r="D49" s="23">
        <v>4235702</v>
      </c>
      <c r="E49" s="23">
        <f t="shared" ref="E49:E56" si="2">D49-C49</f>
        <v>-392606</v>
      </c>
      <c r="F49" s="24">
        <f t="shared" ref="F49:F56" si="3">IF(C49=0,0,E49/C49)</f>
        <v>-8.4827111765249846E-2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1230303</v>
      </c>
      <c r="D50" s="23">
        <v>2329129</v>
      </c>
      <c r="E50" s="23">
        <f t="shared" si="2"/>
        <v>1098826</v>
      </c>
      <c r="F50" s="24">
        <f t="shared" si="3"/>
        <v>0.89313445549592252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3618869</v>
      </c>
      <c r="D51" s="23">
        <v>4184788</v>
      </c>
      <c r="E51" s="23">
        <f t="shared" si="2"/>
        <v>565919</v>
      </c>
      <c r="F51" s="24">
        <f t="shared" si="3"/>
        <v>0.1563800734428353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2256042</v>
      </c>
      <c r="D53" s="23">
        <v>509773</v>
      </c>
      <c r="E53" s="23">
        <f t="shared" si="2"/>
        <v>-1746269</v>
      </c>
      <c r="F53" s="24">
        <f t="shared" si="3"/>
        <v>-0.7740409974636997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1922589</v>
      </c>
      <c r="D55" s="23">
        <v>6279841</v>
      </c>
      <c r="E55" s="23">
        <f t="shared" si="2"/>
        <v>4357252</v>
      </c>
      <c r="F55" s="24">
        <f t="shared" si="3"/>
        <v>2.2663460573216638</v>
      </c>
    </row>
    <row r="56" spans="1:6" ht="24" customHeight="1" x14ac:dyDescent="0.25">
      <c r="A56" s="25"/>
      <c r="B56" s="26" t="s">
        <v>54</v>
      </c>
      <c r="C56" s="27">
        <f>SUM(C49:C55)</f>
        <v>13656111</v>
      </c>
      <c r="D56" s="27">
        <f>SUM(D49:D55)</f>
        <v>17539233</v>
      </c>
      <c r="E56" s="27">
        <f t="shared" si="2"/>
        <v>3883122</v>
      </c>
      <c r="F56" s="28">
        <f t="shared" si="3"/>
        <v>0.28435050066596557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0</v>
      </c>
      <c r="D59" s="23">
        <v>0</v>
      </c>
      <c r="E59" s="23">
        <f>D59-C59</f>
        <v>0</v>
      </c>
      <c r="F59" s="24">
        <f>IF(C59=0,0,E59/C59)</f>
        <v>0</v>
      </c>
    </row>
    <row r="60" spans="1:6" ht="24" customHeight="1" x14ac:dyDescent="0.2">
      <c r="A60" s="21">
        <v>2</v>
      </c>
      <c r="B60" s="22" t="s">
        <v>57</v>
      </c>
      <c r="C60" s="23">
        <v>6944190</v>
      </c>
      <c r="D60" s="23">
        <v>6617868</v>
      </c>
      <c r="E60" s="23">
        <f>D60-C60</f>
        <v>-326322</v>
      </c>
      <c r="F60" s="24">
        <f>IF(C60=0,0,E60/C60)</f>
        <v>-4.6992089790169909E-2</v>
      </c>
    </row>
    <row r="61" spans="1:6" ht="24" customHeight="1" x14ac:dyDescent="0.25">
      <c r="A61" s="25"/>
      <c r="B61" s="26" t="s">
        <v>58</v>
      </c>
      <c r="C61" s="27">
        <f>SUM(C59:C60)</f>
        <v>6944190</v>
      </c>
      <c r="D61" s="27">
        <f>SUM(D59:D60)</f>
        <v>6617868</v>
      </c>
      <c r="E61" s="27">
        <f>D61-C61</f>
        <v>-326322</v>
      </c>
      <c r="F61" s="28">
        <f>IF(C61=0,0,E61/C61)</f>
        <v>-4.6992089790169909E-2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10939644</v>
      </c>
      <c r="D63" s="23">
        <v>16438757</v>
      </c>
      <c r="E63" s="23">
        <f>D63-C63</f>
        <v>5499113</v>
      </c>
      <c r="F63" s="24">
        <f>IF(C63=0,0,E63/C63)</f>
        <v>0.50267750943266531</v>
      </c>
    </row>
    <row r="64" spans="1:6" ht="24" customHeight="1" x14ac:dyDescent="0.2">
      <c r="A64" s="21">
        <v>4</v>
      </c>
      <c r="B64" s="22" t="s">
        <v>60</v>
      </c>
      <c r="C64" s="23">
        <v>2674742</v>
      </c>
      <c r="D64" s="23">
        <v>0</v>
      </c>
      <c r="E64" s="23">
        <f>D64-C64</f>
        <v>-2674742</v>
      </c>
      <c r="F64" s="24">
        <f>IF(C64=0,0,E64/C64)</f>
        <v>-1</v>
      </c>
    </row>
    <row r="65" spans="1:6" ht="24" customHeight="1" x14ac:dyDescent="0.25">
      <c r="A65" s="25"/>
      <c r="B65" s="26" t="s">
        <v>61</v>
      </c>
      <c r="C65" s="27">
        <f>SUM(C61:C64)</f>
        <v>20558576</v>
      </c>
      <c r="D65" s="27">
        <f>SUM(D61:D64)</f>
        <v>23056625</v>
      </c>
      <c r="E65" s="27">
        <f>D65-C65</f>
        <v>2498049</v>
      </c>
      <c r="F65" s="28">
        <f>IF(C65=0,0,E65/C65)</f>
        <v>0.12150885353148973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28931108</v>
      </c>
      <c r="D70" s="23">
        <v>26176392</v>
      </c>
      <c r="E70" s="23">
        <f>D70-C70</f>
        <v>-2754716</v>
      </c>
      <c r="F70" s="24">
        <f>IF(C70=0,0,E70/C70)</f>
        <v>-9.5216401667022221E-2</v>
      </c>
    </row>
    <row r="71" spans="1:6" ht="24" customHeight="1" x14ac:dyDescent="0.2">
      <c r="A71" s="21">
        <v>2</v>
      </c>
      <c r="B71" s="22" t="s">
        <v>65</v>
      </c>
      <c r="C71" s="23">
        <v>1822932</v>
      </c>
      <c r="D71" s="23">
        <v>525763</v>
      </c>
      <c r="E71" s="23">
        <f>D71-C71</f>
        <v>-1297169</v>
      </c>
      <c r="F71" s="24">
        <f>IF(C71=0,0,E71/C71)</f>
        <v>-0.71158386599171009</v>
      </c>
    </row>
    <row r="72" spans="1:6" ht="24" customHeight="1" x14ac:dyDescent="0.2">
      <c r="A72" s="21">
        <v>3</v>
      </c>
      <c r="B72" s="22" t="s">
        <v>66</v>
      </c>
      <c r="C72" s="23">
        <v>3950564</v>
      </c>
      <c r="D72" s="23">
        <v>3686841</v>
      </c>
      <c r="E72" s="23">
        <f>D72-C72</f>
        <v>-263723</v>
      </c>
      <c r="F72" s="24">
        <f>IF(C72=0,0,E72/C72)</f>
        <v>-6.6755784743646726E-2</v>
      </c>
    </row>
    <row r="73" spans="1:6" ht="24" customHeight="1" x14ac:dyDescent="0.25">
      <c r="A73" s="21"/>
      <c r="B73" s="26" t="s">
        <v>67</v>
      </c>
      <c r="C73" s="27">
        <f>SUM(C70:C72)</f>
        <v>34704604</v>
      </c>
      <c r="D73" s="27">
        <f>SUM(D70:D72)</f>
        <v>30388996</v>
      </c>
      <c r="E73" s="27">
        <f>D73-C73</f>
        <v>-4315608</v>
      </c>
      <c r="F73" s="28">
        <f>IF(C73=0,0,E73/C73)</f>
        <v>-0.12435260750994306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68919291</v>
      </c>
      <c r="D75" s="27">
        <f>D56+D65+D67+D73</f>
        <v>70984854</v>
      </c>
      <c r="E75" s="27">
        <f>D75-C75</f>
        <v>2065563</v>
      </c>
      <c r="F75" s="28">
        <f>IF(C75=0,0,E75/C75)</f>
        <v>2.9970752310844288E-2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FILING&amp;RNEW MILFORD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479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482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307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483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484</v>
      </c>
      <c r="C11" s="51">
        <v>92587250</v>
      </c>
      <c r="D11" s="51">
        <v>606865978</v>
      </c>
      <c r="E11" s="51">
        <v>720525178</v>
      </c>
      <c r="F11" s="28"/>
    </row>
    <row r="12" spans="1:6" ht="24" customHeight="1" x14ac:dyDescent="0.25">
      <c r="A12" s="44">
        <v>2</v>
      </c>
      <c r="B12" s="48" t="s">
        <v>76</v>
      </c>
      <c r="C12" s="49">
        <v>5129602</v>
      </c>
      <c r="D12" s="49">
        <v>18085423</v>
      </c>
      <c r="E12" s="49">
        <v>17176189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97716852</v>
      </c>
      <c r="D13" s="51">
        <f>+D11+D12</f>
        <v>624951401</v>
      </c>
      <c r="E13" s="51">
        <f>+E11+E12</f>
        <v>737701367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103217073</v>
      </c>
      <c r="D14" s="49">
        <v>603204688</v>
      </c>
      <c r="E14" s="49">
        <v>746101320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-5500221</v>
      </c>
      <c r="D15" s="51">
        <f>+D13-D14</f>
        <v>21746713</v>
      </c>
      <c r="E15" s="51">
        <f>+E13-E14</f>
        <v>-8399953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335151</v>
      </c>
      <c r="D16" s="49">
        <v>21814720</v>
      </c>
      <c r="E16" s="49">
        <v>5592784</v>
      </c>
      <c r="F16" s="70"/>
    </row>
    <row r="17" spans="1:14" s="56" customFormat="1" ht="24" customHeight="1" x14ac:dyDescent="0.2">
      <c r="A17" s="44">
        <v>7</v>
      </c>
      <c r="B17" s="45" t="s">
        <v>310</v>
      </c>
      <c r="C17" s="51">
        <f>C15+C16</f>
        <v>-5165070</v>
      </c>
      <c r="D17" s="51">
        <f>D15+D16</f>
        <v>43561433</v>
      </c>
      <c r="E17" s="51">
        <f>E15+E16</f>
        <v>-2807169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485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486</v>
      </c>
      <c r="C20" s="169">
        <f>IF(+C27=0,0,+C24/+C27)</f>
        <v>-5.6094937703618356E-2</v>
      </c>
      <c r="D20" s="169">
        <f>IF(+D27=0,0,+D24/+D27)</f>
        <v>3.362376644957258E-2</v>
      </c>
      <c r="E20" s="169">
        <f>IF(+E27=0,0,+E24/+E27)</f>
        <v>-1.1300980895247217E-2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487</v>
      </c>
      <c r="C21" s="169">
        <f>IF(+C27=0,0,+C26/+C27)</f>
        <v>3.4180943758996946E-3</v>
      </c>
      <c r="D21" s="169">
        <f>IF(+D27=0,0,+D26/+D27)</f>
        <v>3.3728915742016731E-2</v>
      </c>
      <c r="E21" s="169">
        <f>IF(+E27=0,0,+E26/+E27)</f>
        <v>7.524321283136264E-3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488</v>
      </c>
      <c r="C22" s="169">
        <f>IF(+C27=0,0,+C28/+C27)</f>
        <v>-5.2676843327718659E-2</v>
      </c>
      <c r="D22" s="169">
        <f>IF(+D27=0,0,+D28/+D27)</f>
        <v>6.7352682191589311E-2</v>
      </c>
      <c r="E22" s="169">
        <f>IF(+E27=0,0,+E28/+E27)</f>
        <v>-3.776659612110953E-3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-5500221</v>
      </c>
      <c r="D24" s="51">
        <f>+D15</f>
        <v>21746713</v>
      </c>
      <c r="E24" s="51">
        <f>+E15</f>
        <v>-8399953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97716852</v>
      </c>
      <c r="D25" s="51">
        <f>+D13</f>
        <v>624951401</v>
      </c>
      <c r="E25" s="51">
        <f>+E13</f>
        <v>737701367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335151</v>
      </c>
      <c r="D26" s="51">
        <f>+D16</f>
        <v>21814720</v>
      </c>
      <c r="E26" s="51">
        <f>+E16</f>
        <v>5592784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315</v>
      </c>
      <c r="C27" s="51">
        <f>SUM(C25:C26)</f>
        <v>98052003</v>
      </c>
      <c r="D27" s="51">
        <f>SUM(D25:D26)</f>
        <v>646766121</v>
      </c>
      <c r="E27" s="51">
        <f>SUM(E25:E26)</f>
        <v>743294151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310</v>
      </c>
      <c r="C28" s="51">
        <f>+C17</f>
        <v>-5165070</v>
      </c>
      <c r="D28" s="51">
        <f>+D17</f>
        <v>43561433</v>
      </c>
      <c r="E28" s="51">
        <f>+E17</f>
        <v>-2807169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489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490</v>
      </c>
      <c r="C31" s="51">
        <v>9579333</v>
      </c>
      <c r="D31" s="51">
        <v>246220345</v>
      </c>
      <c r="E31" s="52">
        <v>286369831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491</v>
      </c>
      <c r="C32" s="51">
        <v>23768402</v>
      </c>
      <c r="D32" s="51">
        <v>311713268</v>
      </c>
      <c r="E32" s="51">
        <v>348404442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492</v>
      </c>
      <c r="C33" s="51">
        <v>-19796479</v>
      </c>
      <c r="D33" s="51">
        <f>+D32-C32</f>
        <v>287944866</v>
      </c>
      <c r="E33" s="51">
        <f>+E32-D32</f>
        <v>36691174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493</v>
      </c>
      <c r="C34" s="171">
        <v>0.54549999999999998</v>
      </c>
      <c r="D34" s="171">
        <f>IF(C32=0,0,+D33/C32)</f>
        <v>12.114607704800685</v>
      </c>
      <c r="E34" s="171">
        <f>IF(D32=0,0,+E33/D32)</f>
        <v>0.11770809191221208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321</v>
      </c>
      <c r="B36" s="16" t="s">
        <v>343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344</v>
      </c>
      <c r="C38" s="269">
        <f>IF(+C40=0,0,+C39/+C40)</f>
        <v>1.4730902244573718</v>
      </c>
      <c r="D38" s="269">
        <f>IF(+D40=0,0,+D39/+D40)</f>
        <v>1.3901656677788425</v>
      </c>
      <c r="E38" s="269">
        <f>IF(+E40=0,0,+E39/+E40)</f>
        <v>1.8760989261589514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23502253</v>
      </c>
      <c r="D39" s="270">
        <v>149502503</v>
      </c>
      <c r="E39" s="270">
        <v>164310318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15954388</v>
      </c>
      <c r="D40" s="270">
        <v>107542940</v>
      </c>
      <c r="E40" s="270">
        <v>87580839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345</v>
      </c>
      <c r="C42" s="271">
        <f>IF((C48/365)=0,0,+C45/(C48/365))</f>
        <v>13.622485482861292</v>
      </c>
      <c r="D42" s="271">
        <f>IF((D48/365)=0,0,+D45/(D48/365))</f>
        <v>26.298091344576871</v>
      </c>
      <c r="E42" s="271">
        <f>IF((E48/365)=0,0,+E45/(E48/365))</f>
        <v>29.199329444295312</v>
      </c>
    </row>
    <row r="43" spans="1:14" ht="24" customHeight="1" x14ac:dyDescent="0.2">
      <c r="A43" s="17">
        <v>5</v>
      </c>
      <c r="B43" s="188" t="s">
        <v>16</v>
      </c>
      <c r="C43" s="272">
        <v>3470654</v>
      </c>
      <c r="D43" s="272">
        <v>41061454</v>
      </c>
      <c r="E43" s="272">
        <v>56787869</v>
      </c>
    </row>
    <row r="44" spans="1:14" ht="24" customHeight="1" x14ac:dyDescent="0.2">
      <c r="A44" s="17">
        <v>6</v>
      </c>
      <c r="B44" s="273" t="s">
        <v>17</v>
      </c>
      <c r="C44" s="274">
        <v>195420</v>
      </c>
      <c r="D44" s="274">
        <v>0</v>
      </c>
      <c r="E44" s="274">
        <v>0</v>
      </c>
    </row>
    <row r="45" spans="1:14" ht="24" customHeight="1" x14ac:dyDescent="0.2">
      <c r="A45" s="17">
        <v>7</v>
      </c>
      <c r="B45" s="45" t="s">
        <v>346</v>
      </c>
      <c r="C45" s="270">
        <f>+C43+C44</f>
        <v>3666074</v>
      </c>
      <c r="D45" s="270">
        <f>+D43+D44</f>
        <v>41061454</v>
      </c>
      <c r="E45" s="270">
        <f>+E43+E44</f>
        <v>56787869</v>
      </c>
    </row>
    <row r="46" spans="1:14" ht="24" customHeight="1" x14ac:dyDescent="0.2">
      <c r="A46" s="17">
        <v>8</v>
      </c>
      <c r="B46" s="45" t="s">
        <v>324</v>
      </c>
      <c r="C46" s="270">
        <f>+C14</f>
        <v>103217073</v>
      </c>
      <c r="D46" s="270">
        <f>+D14</f>
        <v>603204688</v>
      </c>
      <c r="E46" s="270">
        <f>+E14</f>
        <v>746101320</v>
      </c>
    </row>
    <row r="47" spans="1:14" ht="24" customHeight="1" x14ac:dyDescent="0.2">
      <c r="A47" s="17">
        <v>9</v>
      </c>
      <c r="B47" s="45" t="s">
        <v>347</v>
      </c>
      <c r="C47" s="270">
        <v>4988522</v>
      </c>
      <c r="D47" s="270">
        <v>33299043</v>
      </c>
      <c r="E47" s="270">
        <v>36236656</v>
      </c>
    </row>
    <row r="48" spans="1:14" ht="24" customHeight="1" x14ac:dyDescent="0.2">
      <c r="A48" s="17">
        <v>10</v>
      </c>
      <c r="B48" s="45" t="s">
        <v>348</v>
      </c>
      <c r="C48" s="270">
        <f>+C46-C47</f>
        <v>98228551</v>
      </c>
      <c r="D48" s="270">
        <f>+D46-D47</f>
        <v>569905645</v>
      </c>
      <c r="E48" s="270">
        <f>+E46-E47</f>
        <v>709864664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349</v>
      </c>
      <c r="C50" s="278">
        <f>IF((C55/365)=0,0,+C54/(C55/365))</f>
        <v>35.241234943256224</v>
      </c>
      <c r="D50" s="278">
        <f>IF((D55/365)=0,0,+D54/(D55/365))</f>
        <v>30.797672587603849</v>
      </c>
      <c r="E50" s="278">
        <f>IF((E55/365)=0,0,+E54/(E55/365))</f>
        <v>29.917490336472323</v>
      </c>
    </row>
    <row r="51" spans="1:5" ht="24" customHeight="1" x14ac:dyDescent="0.2">
      <c r="A51" s="17">
        <v>12</v>
      </c>
      <c r="B51" s="188" t="s">
        <v>350</v>
      </c>
      <c r="C51" s="279">
        <v>11329197</v>
      </c>
      <c r="D51" s="279">
        <v>66087968</v>
      </c>
      <c r="E51" s="279">
        <v>74395713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0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2389775</v>
      </c>
      <c r="D53" s="270">
        <v>14882325</v>
      </c>
      <c r="E53" s="270">
        <v>15337343</v>
      </c>
    </row>
    <row r="54" spans="1:5" ht="32.25" customHeight="1" x14ac:dyDescent="0.2">
      <c r="A54" s="17">
        <v>15</v>
      </c>
      <c r="B54" s="45" t="s">
        <v>351</v>
      </c>
      <c r="C54" s="280">
        <f>+C51+C52-C53</f>
        <v>8939422</v>
      </c>
      <c r="D54" s="280">
        <f>+D51+D52-D53</f>
        <v>51205643</v>
      </c>
      <c r="E54" s="280">
        <f>+E51+E52-E53</f>
        <v>59058370</v>
      </c>
    </row>
    <row r="55" spans="1:5" ht="24" customHeight="1" x14ac:dyDescent="0.2">
      <c r="A55" s="17">
        <v>16</v>
      </c>
      <c r="B55" s="45" t="s">
        <v>75</v>
      </c>
      <c r="C55" s="270">
        <f>+C11</f>
        <v>92587250</v>
      </c>
      <c r="D55" s="270">
        <f>+D11</f>
        <v>606865978</v>
      </c>
      <c r="E55" s="270">
        <f>+E11</f>
        <v>720525178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352</v>
      </c>
      <c r="C57" s="283">
        <f>IF((C61/365)=0,0,+C58/(C61/365))</f>
        <v>59.283696651495958</v>
      </c>
      <c r="D57" s="283">
        <f>IF((D61/365)=0,0,+D58/(D61/365))</f>
        <v>68.876617461825631</v>
      </c>
      <c r="E57" s="283">
        <f>IF((E61/365)=0,0,+E58/(E61/365))</f>
        <v>45.032536279337883</v>
      </c>
    </row>
    <row r="58" spans="1:5" ht="24" customHeight="1" x14ac:dyDescent="0.2">
      <c r="A58" s="17">
        <v>18</v>
      </c>
      <c r="B58" s="45" t="s">
        <v>54</v>
      </c>
      <c r="C58" s="281">
        <f>+C40</f>
        <v>15954388</v>
      </c>
      <c r="D58" s="281">
        <f>+D40</f>
        <v>107542940</v>
      </c>
      <c r="E58" s="281">
        <f>+E40</f>
        <v>87580839</v>
      </c>
    </row>
    <row r="59" spans="1:5" ht="24" customHeight="1" x14ac:dyDescent="0.2">
      <c r="A59" s="17">
        <v>19</v>
      </c>
      <c r="B59" s="45" t="s">
        <v>324</v>
      </c>
      <c r="C59" s="281">
        <f t="shared" ref="C59:E60" si="0">+C46</f>
        <v>103217073</v>
      </c>
      <c r="D59" s="281">
        <f t="shared" si="0"/>
        <v>603204688</v>
      </c>
      <c r="E59" s="281">
        <f t="shared" si="0"/>
        <v>746101320</v>
      </c>
    </row>
    <row r="60" spans="1:5" ht="24" customHeight="1" x14ac:dyDescent="0.2">
      <c r="A60" s="17">
        <v>20</v>
      </c>
      <c r="B60" s="45" t="s">
        <v>347</v>
      </c>
      <c r="C60" s="176">
        <f t="shared" si="0"/>
        <v>4988522</v>
      </c>
      <c r="D60" s="176">
        <f t="shared" si="0"/>
        <v>33299043</v>
      </c>
      <c r="E60" s="176">
        <f t="shared" si="0"/>
        <v>36236656</v>
      </c>
    </row>
    <row r="61" spans="1:5" ht="24" customHeight="1" x14ac:dyDescent="0.2">
      <c r="A61" s="17">
        <v>21</v>
      </c>
      <c r="B61" s="45" t="s">
        <v>353</v>
      </c>
      <c r="C61" s="281">
        <f>+C59-C60</f>
        <v>98228551</v>
      </c>
      <c r="D61" s="281">
        <f>+D59-D60</f>
        <v>569905645</v>
      </c>
      <c r="E61" s="281">
        <f>+E59-E60</f>
        <v>709864664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342</v>
      </c>
      <c r="B63" s="16" t="s">
        <v>355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356</v>
      </c>
      <c r="C65" s="284">
        <f>IF(C67=0,0,(C66/C67)*100)</f>
        <v>33.965819799597334</v>
      </c>
      <c r="D65" s="284">
        <f>IF(D67=0,0,(D66/D67)*100)</f>
        <v>44.559261561212416</v>
      </c>
      <c r="E65" s="284">
        <f>IF(E67=0,0,(E66/E67)*100)</f>
        <v>40.689135296768129</v>
      </c>
    </row>
    <row r="66" spans="1:5" ht="24" customHeight="1" x14ac:dyDescent="0.2">
      <c r="A66" s="17">
        <v>2</v>
      </c>
      <c r="B66" s="45" t="s">
        <v>67</v>
      </c>
      <c r="C66" s="281">
        <f>+C32</f>
        <v>23768402</v>
      </c>
      <c r="D66" s="281">
        <f>+D32</f>
        <v>311713268</v>
      </c>
      <c r="E66" s="281">
        <f>+E32</f>
        <v>348404442</v>
      </c>
    </row>
    <row r="67" spans="1:5" ht="24" customHeight="1" x14ac:dyDescent="0.2">
      <c r="A67" s="17">
        <v>3</v>
      </c>
      <c r="B67" s="45" t="s">
        <v>43</v>
      </c>
      <c r="C67" s="281">
        <v>69977413</v>
      </c>
      <c r="D67" s="281">
        <v>699547652</v>
      </c>
      <c r="E67" s="281">
        <v>856259145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357</v>
      </c>
      <c r="C69" s="284">
        <f>IF(C75=0,0,(C72/C75)*100)</f>
        <v>-0.75131971835511246</v>
      </c>
      <c r="D69" s="284">
        <f>IF(D75=0,0,(D72/D75)*100)</f>
        <v>38.427413008732664</v>
      </c>
      <c r="E69" s="284">
        <f>IF(E75=0,0,(E72/E75)*100)</f>
        <v>9.8006222344315077</v>
      </c>
    </row>
    <row r="70" spans="1:5" ht="24" customHeight="1" x14ac:dyDescent="0.2">
      <c r="A70" s="17">
        <v>5</v>
      </c>
      <c r="B70" s="45" t="s">
        <v>358</v>
      </c>
      <c r="C70" s="281">
        <f>+C28</f>
        <v>-5165070</v>
      </c>
      <c r="D70" s="281">
        <f>+D28</f>
        <v>43561433</v>
      </c>
      <c r="E70" s="281">
        <f>+E28</f>
        <v>-2807169</v>
      </c>
    </row>
    <row r="71" spans="1:5" ht="24" customHeight="1" x14ac:dyDescent="0.2">
      <c r="A71" s="17">
        <v>6</v>
      </c>
      <c r="B71" s="45" t="s">
        <v>347</v>
      </c>
      <c r="C71" s="176">
        <f>+C47</f>
        <v>4988522</v>
      </c>
      <c r="D71" s="176">
        <f>+D47</f>
        <v>33299043</v>
      </c>
      <c r="E71" s="176">
        <f>+E47</f>
        <v>36236656</v>
      </c>
    </row>
    <row r="72" spans="1:5" ht="24" customHeight="1" x14ac:dyDescent="0.2">
      <c r="A72" s="17">
        <v>7</v>
      </c>
      <c r="B72" s="45" t="s">
        <v>359</v>
      </c>
      <c r="C72" s="281">
        <f>+C70+C71</f>
        <v>-176548</v>
      </c>
      <c r="D72" s="281">
        <f>+D70+D71</f>
        <v>76860476</v>
      </c>
      <c r="E72" s="281">
        <f>+E70+E71</f>
        <v>33429487</v>
      </c>
    </row>
    <row r="73" spans="1:5" ht="24" customHeight="1" x14ac:dyDescent="0.2">
      <c r="A73" s="17">
        <v>8</v>
      </c>
      <c r="B73" s="45" t="s">
        <v>54</v>
      </c>
      <c r="C73" s="270">
        <f>+C40</f>
        <v>15954388</v>
      </c>
      <c r="D73" s="270">
        <f>+D40</f>
        <v>107542940</v>
      </c>
      <c r="E73" s="270">
        <f>+E40</f>
        <v>87580839</v>
      </c>
    </row>
    <row r="74" spans="1:5" ht="24" customHeight="1" x14ac:dyDescent="0.2">
      <c r="A74" s="17">
        <v>9</v>
      </c>
      <c r="B74" s="45" t="s">
        <v>58</v>
      </c>
      <c r="C74" s="281">
        <v>7543997</v>
      </c>
      <c r="D74" s="281">
        <v>92471763</v>
      </c>
      <c r="E74" s="281">
        <v>253514718</v>
      </c>
    </row>
    <row r="75" spans="1:5" ht="24" customHeight="1" x14ac:dyDescent="0.2">
      <c r="A75" s="17">
        <v>10</v>
      </c>
      <c r="B75" s="285" t="s">
        <v>360</v>
      </c>
      <c r="C75" s="270">
        <f>+C73+C74</f>
        <v>23498385</v>
      </c>
      <c r="D75" s="270">
        <f>+D73+D74</f>
        <v>200014703</v>
      </c>
      <c r="E75" s="270">
        <f>+E73+E74</f>
        <v>341095557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361</v>
      </c>
      <c r="C77" s="286">
        <f>IF(C80=0,0,(C78/C80)*100)</f>
        <v>24.092682901747644</v>
      </c>
      <c r="D77" s="286">
        <f>IF(D80=0,0,(D78/D80)*100)</f>
        <v>22.878571918216338</v>
      </c>
      <c r="E77" s="286">
        <f>IF(E80=0,0,(E78/E80)*100)</f>
        <v>42.117735212150414</v>
      </c>
    </row>
    <row r="78" spans="1:5" ht="24" customHeight="1" x14ac:dyDescent="0.2">
      <c r="A78" s="17">
        <v>12</v>
      </c>
      <c r="B78" s="45" t="s">
        <v>58</v>
      </c>
      <c r="C78" s="270">
        <f>+C74</f>
        <v>7543997</v>
      </c>
      <c r="D78" s="270">
        <f>+D74</f>
        <v>92471763</v>
      </c>
      <c r="E78" s="270">
        <f>+E74</f>
        <v>253514718</v>
      </c>
    </row>
    <row r="79" spans="1:5" ht="24" customHeight="1" x14ac:dyDescent="0.2">
      <c r="A79" s="17">
        <v>13</v>
      </c>
      <c r="B79" s="45" t="s">
        <v>67</v>
      </c>
      <c r="C79" s="270">
        <f>+C32</f>
        <v>23768402</v>
      </c>
      <c r="D79" s="270">
        <f>+D32</f>
        <v>311713268</v>
      </c>
      <c r="E79" s="270">
        <f>+E32</f>
        <v>348404442</v>
      </c>
    </row>
    <row r="80" spans="1:5" ht="24" customHeight="1" x14ac:dyDescent="0.2">
      <c r="A80" s="17">
        <v>14</v>
      </c>
      <c r="B80" s="45" t="s">
        <v>362</v>
      </c>
      <c r="C80" s="270">
        <f>+C78+C79</f>
        <v>31312399</v>
      </c>
      <c r="D80" s="270">
        <f>+D78+D79</f>
        <v>404185031</v>
      </c>
      <c r="E80" s="270">
        <f>+E78+E79</f>
        <v>601919160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&amp;L&amp;8OFFICE OF HEALTH CARE ACCESS&amp;C&amp;8TWELVE MONTHS ACTUAL FILING&amp;R&amp;8WESTERN CONNECTICUT HEALTH NETWORK INC.(FORMERLY WESTERN CONNECTICUT HEALTHCARE, INC.)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zoomScale="75" zoomScaleSheetLayoutView="75" workbookViewId="0"/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494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495</v>
      </c>
      <c r="E6" s="126" t="s">
        <v>496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497</v>
      </c>
      <c r="I7" s="126" t="s">
        <v>497</v>
      </c>
      <c r="J7" s="125"/>
      <c r="K7" s="289"/>
    </row>
    <row r="8" spans="1:11" ht="15.75" customHeight="1" x14ac:dyDescent="0.25">
      <c r="A8" s="287"/>
      <c r="B8" s="126"/>
      <c r="C8" s="126" t="s">
        <v>498</v>
      </c>
      <c r="D8" s="126" t="s">
        <v>499</v>
      </c>
      <c r="E8" s="126" t="s">
        <v>500</v>
      </c>
      <c r="F8" s="126" t="s">
        <v>501</v>
      </c>
      <c r="G8" s="126" t="s">
        <v>502</v>
      </c>
      <c r="H8" s="126" t="s">
        <v>503</v>
      </c>
      <c r="I8" s="126" t="s">
        <v>504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505</v>
      </c>
      <c r="D9" s="292" t="s">
        <v>506</v>
      </c>
      <c r="E9" s="292" t="s">
        <v>507</v>
      </c>
      <c r="F9" s="292" t="s">
        <v>508</v>
      </c>
      <c r="G9" s="292" t="s">
        <v>509</v>
      </c>
      <c r="H9" s="292" t="s">
        <v>508</v>
      </c>
      <c r="I9" s="292" t="s">
        <v>509</v>
      </c>
      <c r="J9" s="125"/>
      <c r="K9" s="56"/>
    </row>
    <row r="10" spans="1:11" ht="15.75" customHeight="1" x14ac:dyDescent="0.25">
      <c r="A10" s="293" t="s">
        <v>507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510</v>
      </c>
      <c r="C11" s="296">
        <v>6887</v>
      </c>
      <c r="D11" s="296">
        <v>1982</v>
      </c>
      <c r="E11" s="296">
        <v>1721</v>
      </c>
      <c r="F11" s="297">
        <v>20</v>
      </c>
      <c r="G11" s="297">
        <v>63</v>
      </c>
      <c r="H11" s="298">
        <f>IF(F11=0,0,$C11/(F11*365))</f>
        <v>0.94342465753424654</v>
      </c>
      <c r="I11" s="298">
        <f>IF(G11=0,0,$C11/(G11*365))</f>
        <v>0.29949989128071319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511</v>
      </c>
      <c r="C13" s="296">
        <v>1062</v>
      </c>
      <c r="D13" s="296">
        <v>154</v>
      </c>
      <c r="E13" s="296">
        <v>0</v>
      </c>
      <c r="F13" s="297">
        <v>4</v>
      </c>
      <c r="G13" s="297">
        <v>8</v>
      </c>
      <c r="H13" s="298">
        <f>IF(F13=0,0,$C13/(F13*365))</f>
        <v>0.72739726027397256</v>
      </c>
      <c r="I13" s="298">
        <f>IF(G13=0,0,$C13/(G13*365))</f>
        <v>0.36369863013698628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512</v>
      </c>
      <c r="C15" s="296">
        <v>0</v>
      </c>
      <c r="D15" s="296">
        <v>0</v>
      </c>
      <c r="E15" s="296">
        <v>0</v>
      </c>
      <c r="F15" s="297">
        <v>0</v>
      </c>
      <c r="G15" s="297">
        <v>0</v>
      </c>
      <c r="H15" s="298">
        <f t="shared" ref="H15:I17" si="0">IF(F15=0,0,$C15/(F15*365))</f>
        <v>0</v>
      </c>
      <c r="I15" s="298">
        <f t="shared" si="0"/>
        <v>0</v>
      </c>
      <c r="J15" s="125"/>
      <c r="K15" s="299"/>
    </row>
    <row r="16" spans="1:11" ht="15" customHeight="1" x14ac:dyDescent="0.2">
      <c r="A16" s="294">
        <v>4</v>
      </c>
      <c r="B16" s="295" t="s">
        <v>513</v>
      </c>
      <c r="C16" s="296">
        <v>0</v>
      </c>
      <c r="D16" s="296">
        <v>0</v>
      </c>
      <c r="E16" s="296">
        <v>0</v>
      </c>
      <c r="F16" s="297">
        <v>0</v>
      </c>
      <c r="G16" s="297">
        <v>0</v>
      </c>
      <c r="H16" s="298">
        <f t="shared" si="0"/>
        <v>0</v>
      </c>
      <c r="I16" s="298">
        <f t="shared" si="0"/>
        <v>0</v>
      </c>
      <c r="J16" s="125"/>
      <c r="K16" s="299"/>
    </row>
    <row r="17" spans="1:11" ht="15.75" customHeight="1" x14ac:dyDescent="0.25">
      <c r="A17" s="293"/>
      <c r="B17" s="135" t="s">
        <v>514</v>
      </c>
      <c r="C17" s="300">
        <f>SUM(C15:C16)</f>
        <v>0</v>
      </c>
      <c r="D17" s="300">
        <f>SUM(D15:D16)</f>
        <v>0</v>
      </c>
      <c r="E17" s="300">
        <f>SUM(E15:E16)</f>
        <v>0</v>
      </c>
      <c r="F17" s="300">
        <f>SUM(F15:F16)</f>
        <v>0</v>
      </c>
      <c r="G17" s="300">
        <f>SUM(G15:G16)</f>
        <v>0</v>
      </c>
      <c r="H17" s="301">
        <f t="shared" si="0"/>
        <v>0</v>
      </c>
      <c r="I17" s="301">
        <f t="shared" si="0"/>
        <v>0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515</v>
      </c>
      <c r="C19" s="296">
        <v>0</v>
      </c>
      <c r="D19" s="296">
        <v>0</v>
      </c>
      <c r="E19" s="296">
        <v>0</v>
      </c>
      <c r="F19" s="297">
        <v>0</v>
      </c>
      <c r="G19" s="297">
        <v>0</v>
      </c>
      <c r="H19" s="298">
        <f>IF(F19=0,0,$C19/(F19*365))</f>
        <v>0</v>
      </c>
      <c r="I19" s="298">
        <f>IF(G19=0,0,$C19/(G19*365))</f>
        <v>0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516</v>
      </c>
      <c r="C21" s="296">
        <v>725</v>
      </c>
      <c r="D21" s="296">
        <v>268</v>
      </c>
      <c r="E21" s="296">
        <v>263</v>
      </c>
      <c r="F21" s="297">
        <v>3</v>
      </c>
      <c r="G21" s="297">
        <v>8</v>
      </c>
      <c r="H21" s="298">
        <f>IF(F21=0,0,$C21/(F21*365))</f>
        <v>0.66210045662100458</v>
      </c>
      <c r="I21" s="298">
        <f>IF(G21=0,0,$C21/(G21*365))</f>
        <v>0.24828767123287671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517</v>
      </c>
      <c r="C23" s="296">
        <v>671</v>
      </c>
      <c r="D23" s="296">
        <v>264</v>
      </c>
      <c r="E23" s="296">
        <v>264</v>
      </c>
      <c r="F23" s="297">
        <v>2</v>
      </c>
      <c r="G23" s="297">
        <v>10</v>
      </c>
      <c r="H23" s="298">
        <f>IF(F23=0,0,$C23/(F23*365))</f>
        <v>0.91917808219178088</v>
      </c>
      <c r="I23" s="298">
        <f>IF(G23=0,0,$C23/(G23*365))</f>
        <v>0.18383561643835616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295</v>
      </c>
      <c r="C25" s="296">
        <v>0</v>
      </c>
      <c r="D25" s="296">
        <v>0</v>
      </c>
      <c r="E25" s="296">
        <v>0</v>
      </c>
      <c r="F25" s="297">
        <v>0</v>
      </c>
      <c r="G25" s="297">
        <v>0</v>
      </c>
      <c r="H25" s="298">
        <f>IF(F25=0,0,$C25/(F25*365))</f>
        <v>0</v>
      </c>
      <c r="I25" s="298">
        <f>IF(G25=0,0,$C25/(G25*365))</f>
        <v>0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518</v>
      </c>
      <c r="C27" s="296">
        <v>2</v>
      </c>
      <c r="D27" s="296">
        <v>2</v>
      </c>
      <c r="E27" s="296">
        <v>2</v>
      </c>
      <c r="F27" s="297">
        <v>0</v>
      </c>
      <c r="G27" s="297">
        <v>6</v>
      </c>
      <c r="H27" s="298">
        <f>IF(F27=0,0,$C27/(F27*365))</f>
        <v>0</v>
      </c>
      <c r="I27" s="298">
        <f>IF(G27=0,0,$C27/(G27*365))</f>
        <v>9.1324200913242006E-4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519</v>
      </c>
      <c r="C29" s="296">
        <v>0</v>
      </c>
      <c r="D29" s="296">
        <v>0</v>
      </c>
      <c r="E29" s="296">
        <v>0</v>
      </c>
      <c r="F29" s="297">
        <v>0</v>
      </c>
      <c r="G29" s="297">
        <v>0</v>
      </c>
      <c r="H29" s="298">
        <f>IF(F29=0,0,$C29/(F29*365))</f>
        <v>0</v>
      </c>
      <c r="I29" s="298">
        <f>IF(G29=0,0,$C29/(G29*365))</f>
        <v>0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520</v>
      </c>
      <c r="C31" s="300">
        <f>SUM(C10:C29)-C17-C23</f>
        <v>8676</v>
      </c>
      <c r="D31" s="300">
        <f>SUM(D10:D29)-D13-D17-D23</f>
        <v>2252</v>
      </c>
      <c r="E31" s="300">
        <f>SUM(E10:E29)-E17-E23</f>
        <v>1986</v>
      </c>
      <c r="F31" s="300">
        <f>SUM(F10:F29)-F17-F23</f>
        <v>27</v>
      </c>
      <c r="G31" s="300">
        <f>SUM(G10:G29)-G17-G23</f>
        <v>85</v>
      </c>
      <c r="H31" s="301">
        <f>IF(F31=0,0,$C31/(F31*365))</f>
        <v>0.88036529680365294</v>
      </c>
      <c r="I31" s="301">
        <f>IF(G31=0,0,$C31/(G31*365))</f>
        <v>0.27964544721998391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521</v>
      </c>
      <c r="C33" s="300">
        <f>SUM(C10:C29)-C17</f>
        <v>9347</v>
      </c>
      <c r="D33" s="300">
        <f>SUM(D10:D29)-D13-D17</f>
        <v>2516</v>
      </c>
      <c r="E33" s="300">
        <f>SUM(E10:E29)-E17</f>
        <v>2250</v>
      </c>
      <c r="F33" s="300">
        <f>SUM(F10:F29)-F17</f>
        <v>29</v>
      </c>
      <c r="G33" s="300">
        <f>SUM(G10:G29)-G17</f>
        <v>95</v>
      </c>
      <c r="H33" s="301">
        <f>IF(F33=0,0,$C33/(F33*365))</f>
        <v>0.88304204062352387</v>
      </c>
      <c r="I33" s="301">
        <f>IF(G33=0,0,$C33/(G33*365))</f>
        <v>0.26956020187454938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522</v>
      </c>
      <c r="C36" s="300">
        <f t="shared" ref="C36:I36" si="1">+C33</f>
        <v>9347</v>
      </c>
      <c r="D36" s="300">
        <f t="shared" si="1"/>
        <v>2516</v>
      </c>
      <c r="E36" s="300">
        <f t="shared" si="1"/>
        <v>2250</v>
      </c>
      <c r="F36" s="300">
        <f t="shared" si="1"/>
        <v>29</v>
      </c>
      <c r="G36" s="300">
        <f t="shared" si="1"/>
        <v>95</v>
      </c>
      <c r="H36" s="301">
        <f t="shared" si="1"/>
        <v>0.88304204062352387</v>
      </c>
      <c r="I36" s="301">
        <f t="shared" si="1"/>
        <v>0.26956020187454938</v>
      </c>
      <c r="J36" s="125"/>
      <c r="K36" s="299"/>
    </row>
    <row r="37" spans="1:11" ht="15.75" customHeight="1" x14ac:dyDescent="0.25">
      <c r="A37" s="293"/>
      <c r="B37" s="135" t="s">
        <v>523</v>
      </c>
      <c r="C37" s="300">
        <v>9382</v>
      </c>
      <c r="D37" s="300">
        <v>0</v>
      </c>
      <c r="E37" s="300">
        <v>0</v>
      </c>
      <c r="F37" s="302">
        <v>30</v>
      </c>
      <c r="G37" s="302">
        <v>95</v>
      </c>
      <c r="H37" s="301">
        <f>IF(F37=0,0,$C37/(F37*365))</f>
        <v>0.85680365296803651</v>
      </c>
      <c r="I37" s="301">
        <f>IF(G37=0,0,$C37/(G37*365))</f>
        <v>0.27056957462148523</v>
      </c>
      <c r="J37" s="125"/>
      <c r="K37" s="299"/>
    </row>
    <row r="38" spans="1:11" ht="15.75" customHeight="1" x14ac:dyDescent="0.25">
      <c r="A38" s="293"/>
      <c r="B38" s="135" t="s">
        <v>524</v>
      </c>
      <c r="C38" s="300">
        <f t="shared" ref="C38:I38" si="2">+C36-C37</f>
        <v>-35</v>
      </c>
      <c r="D38" s="300">
        <f t="shared" si="2"/>
        <v>2516</v>
      </c>
      <c r="E38" s="300">
        <f t="shared" si="2"/>
        <v>2250</v>
      </c>
      <c r="F38" s="300">
        <f t="shared" si="2"/>
        <v>-1</v>
      </c>
      <c r="G38" s="300">
        <f t="shared" si="2"/>
        <v>0</v>
      </c>
      <c r="H38" s="301">
        <f t="shared" si="2"/>
        <v>2.6238387655487361E-2</v>
      </c>
      <c r="I38" s="301">
        <f t="shared" si="2"/>
        <v>-1.0093727469358549E-3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525</v>
      </c>
      <c r="C40" s="148">
        <f t="shared" ref="C40:I40" si="3">IF(C37=0,0,C38/C37)</f>
        <v>-3.7305478575996591E-3</v>
      </c>
      <c r="D40" s="148">
        <f t="shared" si="3"/>
        <v>0</v>
      </c>
      <c r="E40" s="148">
        <f t="shared" si="3"/>
        <v>0</v>
      </c>
      <c r="F40" s="148">
        <f t="shared" si="3"/>
        <v>-3.3333333333333333E-2</v>
      </c>
      <c r="G40" s="148">
        <f t="shared" si="3"/>
        <v>0</v>
      </c>
      <c r="H40" s="148">
        <f t="shared" si="3"/>
        <v>3.0623571181793499E-2</v>
      </c>
      <c r="I40" s="148">
        <f t="shared" si="3"/>
        <v>-3.7305478575997406E-3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526</v>
      </c>
      <c r="C42" s="295">
        <v>95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527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507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6"/>
      <c r="B46" s="305"/>
      <c r="C46" s="305"/>
      <c r="D46" s="305"/>
      <c r="E46" s="305"/>
      <c r="F46" s="305"/>
      <c r="G46" s="305"/>
      <c r="H46" s="305"/>
      <c r="I46" s="305"/>
    </row>
    <row r="47" spans="1:11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horizontalDpi="1200" verticalDpi="1200"/>
  <headerFooter>
    <oddHeader>&amp;LOFFICE OF HEALTH CARE ACCESS&amp;CTWELVE MONTHS ACTUAL FILING&amp;RNEW MILFORD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528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529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530</v>
      </c>
      <c r="C12" s="296">
        <v>1267</v>
      </c>
      <c r="D12" s="296">
        <v>889</v>
      </c>
      <c r="E12" s="296">
        <f>+D12-C12</f>
        <v>-378</v>
      </c>
      <c r="F12" s="316">
        <f>IF(C12=0,0,+E12/C12)</f>
        <v>-0.2983425414364641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531</v>
      </c>
      <c r="C13" s="296">
        <v>4404</v>
      </c>
      <c r="D13" s="296">
        <v>3264</v>
      </c>
      <c r="E13" s="296">
        <f>+D13-C13</f>
        <v>-1140</v>
      </c>
      <c r="F13" s="316">
        <f>IF(C13=0,0,+E13/C13)</f>
        <v>-0.25885558583106266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532</v>
      </c>
      <c r="C14" s="296">
        <v>2454</v>
      </c>
      <c r="D14" s="296">
        <v>1987</v>
      </c>
      <c r="E14" s="296">
        <f>+D14-C14</f>
        <v>-467</v>
      </c>
      <c r="F14" s="316">
        <f>IF(C14=0,0,+E14/C14)</f>
        <v>-0.19030154849225753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533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534</v>
      </c>
      <c r="C16" s="300">
        <f>SUM(C12:C15)</f>
        <v>8125</v>
      </c>
      <c r="D16" s="300">
        <f>SUM(D12:D15)</f>
        <v>6140</v>
      </c>
      <c r="E16" s="300">
        <f>+D16-C16</f>
        <v>-1985</v>
      </c>
      <c r="F16" s="309">
        <f>IF(C16=0,0,+E16/C16)</f>
        <v>-0.24430769230769231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535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530</v>
      </c>
      <c r="C19" s="296">
        <v>124</v>
      </c>
      <c r="D19" s="296">
        <v>144</v>
      </c>
      <c r="E19" s="296">
        <f>+D19-C19</f>
        <v>20</v>
      </c>
      <c r="F19" s="316">
        <f>IF(C19=0,0,+E19/C19)</f>
        <v>0.16129032258064516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531</v>
      </c>
      <c r="C20" s="296">
        <v>2020</v>
      </c>
      <c r="D20" s="296">
        <v>2740</v>
      </c>
      <c r="E20" s="296">
        <f>+D20-C20</f>
        <v>720</v>
      </c>
      <c r="F20" s="316">
        <f>IF(C20=0,0,+E20/C20)</f>
        <v>0.35643564356435642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532</v>
      </c>
      <c r="C21" s="296">
        <v>16</v>
      </c>
      <c r="D21" s="296">
        <v>27</v>
      </c>
      <c r="E21" s="296">
        <f>+D21-C21</f>
        <v>11</v>
      </c>
      <c r="F21" s="316">
        <f>IF(C21=0,0,+E21/C21)</f>
        <v>0.6875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533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536</v>
      </c>
      <c r="C23" s="300">
        <f>SUM(C19:C22)</f>
        <v>2160</v>
      </c>
      <c r="D23" s="300">
        <f>SUM(D19:D22)</f>
        <v>2911</v>
      </c>
      <c r="E23" s="300">
        <f>+D23-C23</f>
        <v>751</v>
      </c>
      <c r="F23" s="309">
        <f>IF(C23=0,0,+E23/C23)</f>
        <v>0.34768518518518521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537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530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531</v>
      </c>
      <c r="C27" s="296">
        <v>0</v>
      </c>
      <c r="D27" s="296">
        <v>0</v>
      </c>
      <c r="E27" s="296">
        <f>+D27-C27</f>
        <v>0</v>
      </c>
      <c r="F27" s="316">
        <f>IF(C27=0,0,+E27/C27)</f>
        <v>0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532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533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538</v>
      </c>
      <c r="C30" s="300">
        <f>SUM(C26:C29)</f>
        <v>0</v>
      </c>
      <c r="D30" s="300">
        <f>SUM(D26:D29)</f>
        <v>0</v>
      </c>
      <c r="E30" s="300">
        <f>+D30-C30</f>
        <v>0</v>
      </c>
      <c r="F30" s="309">
        <f>IF(C30=0,0,+E30/C30)</f>
        <v>0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321</v>
      </c>
      <c r="B32" s="291" t="s">
        <v>539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530</v>
      </c>
      <c r="C33" s="296">
        <v>1</v>
      </c>
      <c r="D33" s="296">
        <v>0</v>
      </c>
      <c r="E33" s="296">
        <f>+D33-C33</f>
        <v>-1</v>
      </c>
      <c r="F33" s="316">
        <f>IF(C33=0,0,+E33/C33)</f>
        <v>-1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531</v>
      </c>
      <c r="C34" s="296">
        <v>202</v>
      </c>
      <c r="D34" s="296">
        <v>165</v>
      </c>
      <c r="E34" s="296">
        <f>+D34-C34</f>
        <v>-37</v>
      </c>
      <c r="F34" s="316">
        <f>IF(C34=0,0,+E34/C34)</f>
        <v>-0.18316831683168316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532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533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540</v>
      </c>
      <c r="C37" s="300">
        <f>SUM(C33:C36)</f>
        <v>203</v>
      </c>
      <c r="D37" s="300">
        <f>SUM(D33:D36)</f>
        <v>165</v>
      </c>
      <c r="E37" s="300">
        <f>+D37-C37</f>
        <v>-38</v>
      </c>
      <c r="F37" s="309">
        <f>IF(C37=0,0,+E37/C37)</f>
        <v>-0.18719211822660098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541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542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342</v>
      </c>
      <c r="B42" s="291" t="s">
        <v>543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544</v>
      </c>
      <c r="C43" s="296">
        <v>0</v>
      </c>
      <c r="D43" s="296">
        <v>0</v>
      </c>
      <c r="E43" s="296">
        <f>+D43-C43</f>
        <v>0</v>
      </c>
      <c r="F43" s="316">
        <f>IF(C43=0,0,+E43/C43)</f>
        <v>0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545</v>
      </c>
      <c r="C44" s="296">
        <v>0</v>
      </c>
      <c r="D44" s="296">
        <v>0</v>
      </c>
      <c r="E44" s="296">
        <f>+D44-C44</f>
        <v>0</v>
      </c>
      <c r="F44" s="316">
        <f>IF(C44=0,0,+E44/C44)</f>
        <v>0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546</v>
      </c>
      <c r="C45" s="300">
        <f>SUM(C43:C44)</f>
        <v>0</v>
      </c>
      <c r="D45" s="300">
        <f>SUM(D43:D44)</f>
        <v>0</v>
      </c>
      <c r="E45" s="300">
        <f>+D45-C45</f>
        <v>0</v>
      </c>
      <c r="F45" s="309">
        <f>IF(C45=0,0,+E45/C45)</f>
        <v>0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354</v>
      </c>
      <c r="B47" s="291" t="s">
        <v>547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544</v>
      </c>
      <c r="C48" s="296">
        <v>0</v>
      </c>
      <c r="D48" s="296">
        <v>0</v>
      </c>
      <c r="E48" s="296">
        <f>+D48-C48</f>
        <v>0</v>
      </c>
      <c r="F48" s="316">
        <f>IF(C48=0,0,+E48/C48)</f>
        <v>0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545</v>
      </c>
      <c r="C49" s="296">
        <v>0</v>
      </c>
      <c r="D49" s="296">
        <v>0</v>
      </c>
      <c r="E49" s="296">
        <f>+D49-C49</f>
        <v>0</v>
      </c>
      <c r="F49" s="316">
        <f>IF(C49=0,0,+E49/C49)</f>
        <v>0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548</v>
      </c>
      <c r="C50" s="300">
        <f>SUM(C48:C49)</f>
        <v>0</v>
      </c>
      <c r="D50" s="300">
        <f>SUM(D48:D49)</f>
        <v>0</v>
      </c>
      <c r="E50" s="300">
        <f>+D50-C50</f>
        <v>0</v>
      </c>
      <c r="F50" s="309">
        <f>IF(C50=0,0,+E50/C50)</f>
        <v>0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366</v>
      </c>
      <c r="B52" s="291" t="s">
        <v>549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550</v>
      </c>
      <c r="C53" s="296">
        <v>0</v>
      </c>
      <c r="D53" s="296">
        <v>0</v>
      </c>
      <c r="E53" s="296">
        <f>+D53-C53</f>
        <v>0</v>
      </c>
      <c r="F53" s="316">
        <f>IF(C53=0,0,+E53/C53)</f>
        <v>0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551</v>
      </c>
      <c r="C54" s="296">
        <v>0</v>
      </c>
      <c r="D54" s="296">
        <v>0</v>
      </c>
      <c r="E54" s="296">
        <f>+D54-C54</f>
        <v>0</v>
      </c>
      <c r="F54" s="316">
        <f>IF(C54=0,0,+E54/C54)</f>
        <v>0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552</v>
      </c>
      <c r="C55" s="300">
        <f>SUM(C53:C54)</f>
        <v>0</v>
      </c>
      <c r="D55" s="300">
        <f>SUM(D53:D54)</f>
        <v>0</v>
      </c>
      <c r="E55" s="300">
        <f>+D55-C55</f>
        <v>0</v>
      </c>
      <c r="F55" s="309">
        <f>IF(C55=0,0,+E55/C55)</f>
        <v>0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370</v>
      </c>
      <c r="B57" s="291" t="s">
        <v>553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554</v>
      </c>
      <c r="C58" s="296">
        <v>0</v>
      </c>
      <c r="D58" s="296">
        <v>0</v>
      </c>
      <c r="E58" s="296">
        <f>+D58-C58</f>
        <v>0</v>
      </c>
      <c r="F58" s="316">
        <f>IF(C58=0,0,+E58/C58)</f>
        <v>0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555</v>
      </c>
      <c r="C59" s="296">
        <v>0</v>
      </c>
      <c r="D59" s="296">
        <v>0</v>
      </c>
      <c r="E59" s="296">
        <f>+D59-C59</f>
        <v>0</v>
      </c>
      <c r="F59" s="316">
        <f>IF(C59=0,0,+E59/C59)</f>
        <v>0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556</v>
      </c>
      <c r="C60" s="300">
        <f>SUM(C58:C59)</f>
        <v>0</v>
      </c>
      <c r="D60" s="300">
        <f>SUM(D58:D59)</f>
        <v>0</v>
      </c>
      <c r="E60" s="300">
        <f>SUM(E58:E59)</f>
        <v>0</v>
      </c>
      <c r="F60" s="309">
        <f>IF(C60=0,0,+E60/C60)</f>
        <v>0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557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558</v>
      </c>
      <c r="C63" s="296">
        <v>847</v>
      </c>
      <c r="D63" s="296">
        <v>785</v>
      </c>
      <c r="E63" s="296">
        <f>+D63-C63</f>
        <v>-62</v>
      </c>
      <c r="F63" s="316">
        <f>IF(C63=0,0,+E63/C63)</f>
        <v>-7.3199527744982285E-2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559</v>
      </c>
      <c r="C64" s="296">
        <v>2380</v>
      </c>
      <c r="D64" s="296">
        <v>2268</v>
      </c>
      <c r="E64" s="296">
        <f>+D64-C64</f>
        <v>-112</v>
      </c>
      <c r="F64" s="316">
        <f>IF(C64=0,0,+E64/C64)</f>
        <v>-4.7058823529411764E-2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560</v>
      </c>
      <c r="C65" s="300">
        <f>SUM(C63:C64)</f>
        <v>3227</v>
      </c>
      <c r="D65" s="300">
        <f>SUM(D63:D64)</f>
        <v>3053</v>
      </c>
      <c r="E65" s="300">
        <f>+D65-C65</f>
        <v>-174</v>
      </c>
      <c r="F65" s="309">
        <f>IF(C65=0,0,+E65/C65)</f>
        <v>-5.3920049581654785E-2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396</v>
      </c>
      <c r="B67" s="291" t="s">
        <v>561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562</v>
      </c>
      <c r="C68" s="296">
        <v>103</v>
      </c>
      <c r="D68" s="296">
        <v>74</v>
      </c>
      <c r="E68" s="296">
        <f>+D68-C68</f>
        <v>-29</v>
      </c>
      <c r="F68" s="316">
        <f>IF(C68=0,0,+E68/C68)</f>
        <v>-0.28155339805825241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563</v>
      </c>
      <c r="C69" s="296">
        <v>2226</v>
      </c>
      <c r="D69" s="296">
        <v>2064</v>
      </c>
      <c r="E69" s="296">
        <f>+D69-C69</f>
        <v>-162</v>
      </c>
      <c r="F69" s="318">
        <f>IF(C69=0,0,+E69/C69)</f>
        <v>-7.277628032345014E-2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564</v>
      </c>
      <c r="C70" s="300">
        <f>SUM(C68:C69)</f>
        <v>2329</v>
      </c>
      <c r="D70" s="300">
        <f>SUM(D68:D69)</f>
        <v>2138</v>
      </c>
      <c r="E70" s="300">
        <f>+D70-C70</f>
        <v>-191</v>
      </c>
      <c r="F70" s="309">
        <f>IF(C70=0,0,+E70/C70)</f>
        <v>-8.2009446114212112E-2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412</v>
      </c>
      <c r="B72" s="291" t="s">
        <v>565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566</v>
      </c>
      <c r="C73" s="319">
        <v>1901</v>
      </c>
      <c r="D73" s="319">
        <v>2042</v>
      </c>
      <c r="E73" s="296">
        <f>+D73-C73</f>
        <v>141</v>
      </c>
      <c r="F73" s="316">
        <f>IF(C73=0,0,+E73/C73)</f>
        <v>7.4171488690163073E-2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567</v>
      </c>
      <c r="C74" s="319">
        <v>16972</v>
      </c>
      <c r="D74" s="319">
        <v>16738</v>
      </c>
      <c r="E74" s="296">
        <f>+D74-C74</f>
        <v>-234</v>
      </c>
      <c r="F74" s="316">
        <f>IF(C74=0,0,+E74/C74)</f>
        <v>-1.3787414565166157E-2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428</v>
      </c>
      <c r="C75" s="300">
        <f>SUM(C73:C74)</f>
        <v>18873</v>
      </c>
      <c r="D75" s="300">
        <f>SUM(D73:D74)</f>
        <v>18780</v>
      </c>
      <c r="E75" s="300">
        <f>SUM(E73:E74)</f>
        <v>-93</v>
      </c>
      <c r="F75" s="309">
        <f>IF(C75=0,0,+E75/C75)</f>
        <v>-4.9276744555714512E-3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421</v>
      </c>
      <c r="B78" s="291" t="s">
        <v>568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569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570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571</v>
      </c>
      <c r="C81" s="319">
        <v>7038</v>
      </c>
      <c r="D81" s="319">
        <v>6845</v>
      </c>
      <c r="E81" s="296">
        <f t="shared" si="0"/>
        <v>-193</v>
      </c>
      <c r="F81" s="316">
        <f t="shared" si="1"/>
        <v>-2.7422563228189825E-2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572</v>
      </c>
      <c r="C82" s="319">
        <v>0</v>
      </c>
      <c r="D82" s="319">
        <v>0</v>
      </c>
      <c r="E82" s="296">
        <f t="shared" si="0"/>
        <v>0</v>
      </c>
      <c r="F82" s="316">
        <f t="shared" si="1"/>
        <v>0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573</v>
      </c>
      <c r="C83" s="319">
        <v>0</v>
      </c>
      <c r="D83" s="319">
        <v>0</v>
      </c>
      <c r="E83" s="296">
        <f t="shared" si="0"/>
        <v>0</v>
      </c>
      <c r="F83" s="316">
        <f t="shared" si="1"/>
        <v>0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574</v>
      </c>
      <c r="C84" s="320">
        <f>SUM(C79:C83)</f>
        <v>7038</v>
      </c>
      <c r="D84" s="320">
        <f>SUM(D79:D83)</f>
        <v>6845</v>
      </c>
      <c r="E84" s="300">
        <f t="shared" si="0"/>
        <v>-193</v>
      </c>
      <c r="F84" s="309">
        <f t="shared" si="1"/>
        <v>-2.7422563228189825E-2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424</v>
      </c>
      <c r="B86" s="291" t="s">
        <v>575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576</v>
      </c>
      <c r="C87" s="322">
        <v>598</v>
      </c>
      <c r="D87" s="322">
        <v>652</v>
      </c>
      <c r="E87" s="323">
        <f t="shared" ref="E87:E92" si="2">+D87-C87</f>
        <v>54</v>
      </c>
      <c r="F87" s="318">
        <f t="shared" ref="F87:F92" si="3">IF(C87=0,0,+E87/C87)</f>
        <v>9.0301003344481601E-2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263</v>
      </c>
      <c r="C88" s="322">
        <v>1007</v>
      </c>
      <c r="D88" s="322">
        <v>882</v>
      </c>
      <c r="E88" s="296">
        <f t="shared" si="2"/>
        <v>-125</v>
      </c>
      <c r="F88" s="316">
        <f t="shared" si="3"/>
        <v>-0.12413108242303873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577</v>
      </c>
      <c r="C89" s="322">
        <v>1635</v>
      </c>
      <c r="D89" s="322">
        <v>1612</v>
      </c>
      <c r="E89" s="296">
        <f t="shared" si="2"/>
        <v>-23</v>
      </c>
      <c r="F89" s="316">
        <f t="shared" si="3"/>
        <v>-1.4067278287461774E-2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578</v>
      </c>
      <c r="C90" s="322">
        <v>0</v>
      </c>
      <c r="D90" s="322">
        <v>0</v>
      </c>
      <c r="E90" s="296">
        <f t="shared" si="2"/>
        <v>0</v>
      </c>
      <c r="F90" s="316">
        <f t="shared" si="3"/>
        <v>0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579</v>
      </c>
      <c r="C91" s="322">
        <v>82600</v>
      </c>
      <c r="D91" s="322">
        <v>77740</v>
      </c>
      <c r="E91" s="296">
        <f t="shared" si="2"/>
        <v>-4860</v>
      </c>
      <c r="F91" s="316">
        <f t="shared" si="3"/>
        <v>-5.883777239709443E-2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580</v>
      </c>
      <c r="C92" s="320">
        <f>SUM(C87:C91)</f>
        <v>85840</v>
      </c>
      <c r="D92" s="320">
        <f>SUM(D87:D91)</f>
        <v>80886</v>
      </c>
      <c r="E92" s="300">
        <f t="shared" si="2"/>
        <v>-4954</v>
      </c>
      <c r="F92" s="309">
        <f t="shared" si="3"/>
        <v>-5.7712022367194783E-2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581</v>
      </c>
      <c r="B95" s="291" t="s">
        <v>582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583</v>
      </c>
      <c r="C96" s="325">
        <v>145.80000000000001</v>
      </c>
      <c r="D96" s="325">
        <v>137.19999999999999</v>
      </c>
      <c r="E96" s="326">
        <f>+D96-C96</f>
        <v>-8.6000000000000227</v>
      </c>
      <c r="F96" s="316">
        <f>IF(C96=0,0,+E96/C96)</f>
        <v>-5.8984910836762841E-2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584</v>
      </c>
      <c r="C97" s="325">
        <v>24.2</v>
      </c>
      <c r="D97" s="325">
        <v>19</v>
      </c>
      <c r="E97" s="326">
        <f>+D97-C97</f>
        <v>-5.1999999999999993</v>
      </c>
      <c r="F97" s="316">
        <f>IF(C97=0,0,+E97/C97)</f>
        <v>-0.21487603305785122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585</v>
      </c>
      <c r="C98" s="325">
        <v>305.5</v>
      </c>
      <c r="D98" s="325">
        <v>305.39999999999998</v>
      </c>
      <c r="E98" s="326">
        <f>+D98-C98</f>
        <v>-0.10000000000002274</v>
      </c>
      <c r="F98" s="316">
        <f>IF(C98=0,0,+E98/C98)</f>
        <v>-3.2733224222593365E-4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586</v>
      </c>
      <c r="C99" s="327">
        <f>SUM(C96:C98)</f>
        <v>475.5</v>
      </c>
      <c r="D99" s="327">
        <f>SUM(D96:D98)</f>
        <v>461.59999999999997</v>
      </c>
      <c r="E99" s="327">
        <f>+D99-C99</f>
        <v>-13.900000000000034</v>
      </c>
      <c r="F99" s="309">
        <f>IF(C99=0,0,+E99/C99)</f>
        <v>-2.9232386961093659E-2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FILING&amp;RNEW MILFORD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75" zoomScaleSheetLayoutView="90" workbookViewId="0">
      <selection sqref="A1:F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587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559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588</v>
      </c>
      <c r="C12" s="296">
        <v>2380</v>
      </c>
      <c r="D12" s="296">
        <v>2268</v>
      </c>
      <c r="E12" s="296">
        <f>+D12-C12</f>
        <v>-112</v>
      </c>
      <c r="F12" s="316">
        <f>IF(C12=0,0,+E12/C12)</f>
        <v>-4.7058823529411764E-2</v>
      </c>
    </row>
    <row r="13" spans="1:16" ht="15.75" customHeight="1" x14ac:dyDescent="0.25">
      <c r="A13" s="294"/>
      <c r="B13" s="135" t="s">
        <v>589</v>
      </c>
      <c r="C13" s="300">
        <f>SUM(C11:C12)</f>
        <v>2380</v>
      </c>
      <c r="D13" s="300">
        <f>SUM(D11:D12)</f>
        <v>2268</v>
      </c>
      <c r="E13" s="300">
        <f>+D13-C13</f>
        <v>-112</v>
      </c>
      <c r="F13" s="309">
        <f>IF(C13=0,0,+E13/C13)</f>
        <v>-4.7058823529411764E-2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563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588</v>
      </c>
      <c r="C16" s="296">
        <v>2226</v>
      </c>
      <c r="D16" s="296">
        <v>2064</v>
      </c>
      <c r="E16" s="296">
        <f>+D16-C16</f>
        <v>-162</v>
      </c>
      <c r="F16" s="316">
        <f>IF(C16=0,0,+E16/C16)</f>
        <v>-7.277628032345014E-2</v>
      </c>
    </row>
    <row r="17" spans="1:6" ht="15.75" customHeight="1" x14ac:dyDescent="0.25">
      <c r="A17" s="294"/>
      <c r="B17" s="135" t="s">
        <v>590</v>
      </c>
      <c r="C17" s="300">
        <f>SUM(C15:C16)</f>
        <v>2226</v>
      </c>
      <c r="D17" s="300">
        <f>SUM(D15:D16)</f>
        <v>2064</v>
      </c>
      <c r="E17" s="300">
        <f>+D17-C17</f>
        <v>-162</v>
      </c>
      <c r="F17" s="309">
        <f>IF(C17=0,0,+E17/C17)</f>
        <v>-7.277628032345014E-2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591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588</v>
      </c>
      <c r="C20" s="296">
        <v>16972</v>
      </c>
      <c r="D20" s="296">
        <v>16738</v>
      </c>
      <c r="E20" s="296">
        <f>+D20-C20</f>
        <v>-234</v>
      </c>
      <c r="F20" s="316">
        <f>IF(C20=0,0,+E20/C20)</f>
        <v>-1.3787414565166157E-2</v>
      </c>
    </row>
    <row r="21" spans="1:6" ht="15.75" customHeight="1" x14ac:dyDescent="0.25">
      <c r="A21" s="294"/>
      <c r="B21" s="135" t="s">
        <v>592</v>
      </c>
      <c r="C21" s="300">
        <f>SUM(C19:C20)</f>
        <v>16972</v>
      </c>
      <c r="D21" s="300">
        <f>SUM(D19:D20)</f>
        <v>16738</v>
      </c>
      <c r="E21" s="300">
        <f>+D21-C21</f>
        <v>-234</v>
      </c>
      <c r="F21" s="309">
        <f>IF(C21=0,0,+E21/C21)</f>
        <v>-1.3787414565166157E-2</v>
      </c>
    </row>
    <row r="22" spans="1:6" ht="15.75" customHeight="1" x14ac:dyDescent="0.25">
      <c r="A22" s="293"/>
      <c r="B22" s="135"/>
      <c r="C22" s="300"/>
      <c r="D22" s="300"/>
      <c r="E22" s="300"/>
      <c r="F22" s="309"/>
    </row>
    <row r="23" spans="1:6" ht="15.75" customHeight="1" x14ac:dyDescent="0.25">
      <c r="B23" s="699" t="s">
        <v>593</v>
      </c>
      <c r="C23" s="700"/>
      <c r="D23" s="700"/>
      <c r="E23" s="700"/>
      <c r="F23" s="701"/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594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595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FILING&amp;RNEW MILFORD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596</v>
      </c>
      <c r="B2" s="704"/>
      <c r="C2" s="704"/>
      <c r="D2" s="704"/>
      <c r="E2" s="704"/>
      <c r="F2" s="705"/>
    </row>
    <row r="3" spans="1:21" ht="15.75" customHeight="1" x14ac:dyDescent="0.25">
      <c r="A3" s="703" t="s">
        <v>597</v>
      </c>
      <c r="B3" s="704"/>
      <c r="C3" s="704"/>
      <c r="D3" s="704"/>
      <c r="E3" s="704"/>
      <c r="F3" s="705"/>
    </row>
    <row r="4" spans="1:21" ht="15.75" customHeight="1" x14ac:dyDescent="0.25">
      <c r="A4" s="706" t="s">
        <v>598</v>
      </c>
      <c r="B4" s="707"/>
      <c r="C4" s="707"/>
      <c r="D4" s="707"/>
      <c r="E4" s="707"/>
      <c r="F4" s="708"/>
    </row>
    <row r="5" spans="1:21" ht="15.75" customHeight="1" x14ac:dyDescent="0.25">
      <c r="A5" s="706" t="s">
        <v>599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600</v>
      </c>
      <c r="D7" s="341" t="s">
        <v>600</v>
      </c>
      <c r="E7" s="341" t="s">
        <v>601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602</v>
      </c>
      <c r="D8" s="344" t="s">
        <v>603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604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605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606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607</v>
      </c>
      <c r="C15" s="361">
        <v>38429316</v>
      </c>
      <c r="D15" s="361">
        <v>38481431</v>
      </c>
      <c r="E15" s="361">
        <f t="shared" ref="E15:E24" si="0">D15-C15</f>
        <v>52115</v>
      </c>
      <c r="F15" s="362">
        <f t="shared" ref="F15:F24" si="1">IF(C15=0,0,E15/C15)</f>
        <v>1.3561261407827295E-3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608</v>
      </c>
      <c r="C16" s="361">
        <v>12568177</v>
      </c>
      <c r="D16" s="361">
        <v>12616044</v>
      </c>
      <c r="E16" s="361">
        <f t="shared" si="0"/>
        <v>47867</v>
      </c>
      <c r="F16" s="362">
        <f t="shared" si="1"/>
        <v>3.8085873551908125E-3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609</v>
      </c>
      <c r="C17" s="366">
        <f>IF(C15=0,0,C16/C15)</f>
        <v>0.3270465964057232</v>
      </c>
      <c r="D17" s="366">
        <f>IF(LN_IA1=0,0,LN_IA2/LN_IA1)</f>
        <v>0.3278475792649187</v>
      </c>
      <c r="E17" s="367">
        <f t="shared" si="0"/>
        <v>8.0098285919549816E-4</v>
      </c>
      <c r="F17" s="362">
        <f t="shared" si="1"/>
        <v>2.4491398718053782E-3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1167</v>
      </c>
      <c r="D18" s="369">
        <v>1199</v>
      </c>
      <c r="E18" s="369">
        <f t="shared" si="0"/>
        <v>32</v>
      </c>
      <c r="F18" s="362">
        <f t="shared" si="1"/>
        <v>2.7420736932305057E-2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610</v>
      </c>
      <c r="C19" s="372">
        <v>1.5347999999999999</v>
      </c>
      <c r="D19" s="372">
        <v>1.3738999999999999</v>
      </c>
      <c r="E19" s="373">
        <f t="shared" si="0"/>
        <v>-0.16090000000000004</v>
      </c>
      <c r="F19" s="362">
        <f t="shared" si="1"/>
        <v>-0.10483450612457652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611</v>
      </c>
      <c r="C20" s="376">
        <f>C18*C19</f>
        <v>1791.1116</v>
      </c>
      <c r="D20" s="376">
        <f>LN_IA4*LN_IA5</f>
        <v>1647.3060999999998</v>
      </c>
      <c r="E20" s="376">
        <f t="shared" si="0"/>
        <v>-143.80550000000017</v>
      </c>
      <c r="F20" s="362">
        <f t="shared" si="1"/>
        <v>-8.028840860614167E-2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612</v>
      </c>
      <c r="C21" s="378">
        <f>IF(C20=0,0,C16/C20)</f>
        <v>7016.9703551693819</v>
      </c>
      <c r="D21" s="378">
        <f>IF(LN_IA6=0,0,LN_IA2/LN_IA6)</f>
        <v>7658.5911992919846</v>
      </c>
      <c r="E21" s="378">
        <f t="shared" si="0"/>
        <v>641.62084412260265</v>
      </c>
      <c r="F21" s="362">
        <f t="shared" si="1"/>
        <v>9.1438443038301051E-2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5051</v>
      </c>
      <c r="D22" s="369">
        <v>5368</v>
      </c>
      <c r="E22" s="369">
        <f t="shared" si="0"/>
        <v>317</v>
      </c>
      <c r="F22" s="362">
        <f t="shared" si="1"/>
        <v>6.2759849534745601E-2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613</v>
      </c>
      <c r="C23" s="378">
        <f>IF(C22=0,0,C16/C22)</f>
        <v>2488.2551969906949</v>
      </c>
      <c r="D23" s="378">
        <f>IF(LN_IA8=0,0,LN_IA2/LN_IA8)</f>
        <v>2350.2317436661697</v>
      </c>
      <c r="E23" s="378">
        <f t="shared" si="0"/>
        <v>-138.02345332452524</v>
      </c>
      <c r="F23" s="362">
        <f t="shared" si="1"/>
        <v>-5.5469974901067746E-2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614</v>
      </c>
      <c r="C24" s="379">
        <f>IF(C18=0,0,C22/C18)</f>
        <v>4.328191945158526</v>
      </c>
      <c r="D24" s="379">
        <f>IF(LN_IA4=0,0,LN_IA8/LN_IA4)</f>
        <v>4.477064220183486</v>
      </c>
      <c r="E24" s="379">
        <f t="shared" si="0"/>
        <v>0.14887227502496003</v>
      </c>
      <c r="F24" s="362">
        <f t="shared" si="1"/>
        <v>3.4395950297788233E-2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615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616</v>
      </c>
      <c r="C27" s="361">
        <v>68832746</v>
      </c>
      <c r="D27" s="361">
        <v>63832303</v>
      </c>
      <c r="E27" s="361">
        <f t="shared" ref="E27:E32" si="2">D27-C27</f>
        <v>-5000443</v>
      </c>
      <c r="F27" s="362">
        <f t="shared" ref="F27:F32" si="3">IF(C27=0,0,E27/C27)</f>
        <v>-7.2646280884972977E-2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617</v>
      </c>
      <c r="C28" s="361">
        <v>13272075</v>
      </c>
      <c r="D28" s="361">
        <v>13327218</v>
      </c>
      <c r="E28" s="361">
        <f t="shared" si="2"/>
        <v>55143</v>
      </c>
      <c r="F28" s="362">
        <f t="shared" si="3"/>
        <v>4.1548137725261501E-3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618</v>
      </c>
      <c r="C29" s="366">
        <f>IF(C27=0,0,C28/C27)</f>
        <v>0.19281629415162371</v>
      </c>
      <c r="D29" s="366">
        <f>IF(LN_IA11=0,0,LN_IA12/LN_IA11)</f>
        <v>0.20878485302339789</v>
      </c>
      <c r="E29" s="367">
        <f t="shared" si="2"/>
        <v>1.5968558871774174E-2</v>
      </c>
      <c r="F29" s="362">
        <f t="shared" si="3"/>
        <v>8.2817476303206419E-2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619</v>
      </c>
      <c r="C30" s="366">
        <f>IF(C15=0,0,C27/C15)</f>
        <v>1.7911519944825456</v>
      </c>
      <c r="D30" s="366">
        <f>IF(LN_IA1=0,0,LN_IA11/LN_IA1)</f>
        <v>1.6587819460248243</v>
      </c>
      <c r="E30" s="367">
        <f t="shared" si="2"/>
        <v>-0.13237004845772127</v>
      </c>
      <c r="F30" s="362">
        <f t="shared" si="3"/>
        <v>-7.3902186339000378E-2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620</v>
      </c>
      <c r="C31" s="376">
        <f>C30*C18</f>
        <v>2090.2743775611307</v>
      </c>
      <c r="D31" s="376">
        <f>LN_IA14*LN_IA4</f>
        <v>1988.8795532837644</v>
      </c>
      <c r="E31" s="376">
        <f t="shared" si="2"/>
        <v>-101.3948242773663</v>
      </c>
      <c r="F31" s="362">
        <f t="shared" si="3"/>
        <v>-4.8507901817019222E-2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621</v>
      </c>
      <c r="C32" s="378">
        <f>IF(C31=0,0,C28/C31)</f>
        <v>6349.4415577563832</v>
      </c>
      <c r="D32" s="378">
        <f>IF(LN_IA15=0,0,LN_IA12/LN_IA15)</f>
        <v>6700.8673189866777</v>
      </c>
      <c r="E32" s="378">
        <f t="shared" si="2"/>
        <v>351.42576123029448</v>
      </c>
      <c r="F32" s="362">
        <f t="shared" si="3"/>
        <v>5.5347507026188472E-2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622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623</v>
      </c>
      <c r="C35" s="361">
        <f>C15+C27</f>
        <v>107262062</v>
      </c>
      <c r="D35" s="361">
        <f>LN_IA1+LN_IA11</f>
        <v>102313734</v>
      </c>
      <c r="E35" s="361">
        <f>D35-C35</f>
        <v>-4948328</v>
      </c>
      <c r="F35" s="362">
        <f>IF(C35=0,0,E35/C35)</f>
        <v>-4.6133067999382674E-2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624</v>
      </c>
      <c r="C36" s="361">
        <f>C16+C28</f>
        <v>25840252</v>
      </c>
      <c r="D36" s="361">
        <f>LN_IA2+LN_IA12</f>
        <v>25943262</v>
      </c>
      <c r="E36" s="361">
        <f>D36-C36</f>
        <v>103010</v>
      </c>
      <c r="F36" s="362">
        <f>IF(C36=0,0,E36/C36)</f>
        <v>3.9864162315444915E-3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625</v>
      </c>
      <c r="C37" s="361">
        <f>C35-C36</f>
        <v>81421810</v>
      </c>
      <c r="D37" s="361">
        <f>LN_IA17-LN_IA18</f>
        <v>76370472</v>
      </c>
      <c r="E37" s="361">
        <f>D37-C37</f>
        <v>-5051338</v>
      </c>
      <c r="F37" s="362">
        <f>IF(C37=0,0,E37/C37)</f>
        <v>-6.2039126862937582E-2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626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627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607</v>
      </c>
      <c r="C42" s="361">
        <v>26363581</v>
      </c>
      <c r="D42" s="361">
        <v>23894322</v>
      </c>
      <c r="E42" s="361">
        <f t="shared" ref="E42:E53" si="4">D42-C42</f>
        <v>-2469259</v>
      </c>
      <c r="F42" s="362">
        <f t="shared" ref="F42:F53" si="5">IF(C42=0,0,E42/C42)</f>
        <v>-9.3661744965526497E-2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608</v>
      </c>
      <c r="C43" s="361">
        <v>10576634</v>
      </c>
      <c r="D43" s="361">
        <v>10028493</v>
      </c>
      <c r="E43" s="361">
        <f t="shared" si="4"/>
        <v>-548141</v>
      </c>
      <c r="F43" s="362">
        <f t="shared" si="5"/>
        <v>-5.1825656442304802E-2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609</v>
      </c>
      <c r="C44" s="366">
        <f>IF(C42=0,0,C43/C42)</f>
        <v>0.40118351145089126</v>
      </c>
      <c r="D44" s="366">
        <f>IF(LN_IB1=0,0,LN_IB2/LN_IB1)</f>
        <v>0.41970192751231861</v>
      </c>
      <c r="E44" s="367">
        <f t="shared" si="4"/>
        <v>1.8518416061427345E-2</v>
      </c>
      <c r="F44" s="362">
        <f t="shared" si="5"/>
        <v>4.6159464516512608E-2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1057</v>
      </c>
      <c r="D45" s="369">
        <v>1068</v>
      </c>
      <c r="E45" s="369">
        <f t="shared" si="4"/>
        <v>11</v>
      </c>
      <c r="F45" s="362">
        <f t="shared" si="5"/>
        <v>1.0406811731315043E-2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610</v>
      </c>
      <c r="C46" s="372">
        <v>1.161</v>
      </c>
      <c r="D46" s="372">
        <v>1.129</v>
      </c>
      <c r="E46" s="373">
        <f t="shared" si="4"/>
        <v>-3.2000000000000028E-2</v>
      </c>
      <c r="F46" s="362">
        <f t="shared" si="5"/>
        <v>-2.7562446167097354E-2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611</v>
      </c>
      <c r="C47" s="376">
        <f>C45*C46</f>
        <v>1227.1770000000001</v>
      </c>
      <c r="D47" s="376">
        <f>LN_IB4*LN_IB5</f>
        <v>1205.7719999999999</v>
      </c>
      <c r="E47" s="376">
        <f t="shared" si="4"/>
        <v>-21.4050000000002</v>
      </c>
      <c r="F47" s="362">
        <f t="shared" si="5"/>
        <v>-1.7442471623897938E-2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612</v>
      </c>
      <c r="C48" s="378">
        <f>IF(C47=0,0,C43/C47)</f>
        <v>8618.6703303598406</v>
      </c>
      <c r="D48" s="378">
        <f>IF(LN_IB6=0,0,LN_IB2/LN_IB6)</f>
        <v>8317.0723818433344</v>
      </c>
      <c r="E48" s="378">
        <f t="shared" si="4"/>
        <v>-301.59794851650622</v>
      </c>
      <c r="F48" s="362">
        <f t="shared" si="5"/>
        <v>-3.4993558977897944E-2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628</v>
      </c>
      <c r="C49" s="378">
        <f>C21-C48</f>
        <v>-1601.6999751904586</v>
      </c>
      <c r="D49" s="378">
        <f>LN_IA7-LN_IB7</f>
        <v>-658.48118255134978</v>
      </c>
      <c r="E49" s="378">
        <f t="shared" si="4"/>
        <v>943.21879263910887</v>
      </c>
      <c r="F49" s="362">
        <f t="shared" si="5"/>
        <v>-0.5888860630886571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629</v>
      </c>
      <c r="C50" s="391">
        <f>C49*C47</f>
        <v>-1965569.3704543016</v>
      </c>
      <c r="D50" s="391">
        <f>LN_IB8*LN_IB6</f>
        <v>-793978.1724473061</v>
      </c>
      <c r="E50" s="391">
        <f t="shared" si="4"/>
        <v>1171591.1980069955</v>
      </c>
      <c r="F50" s="362">
        <f t="shared" si="5"/>
        <v>-0.59605690626742214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3238</v>
      </c>
      <c r="D51" s="369">
        <v>3049</v>
      </c>
      <c r="E51" s="369">
        <f t="shared" si="4"/>
        <v>-189</v>
      </c>
      <c r="F51" s="362">
        <f t="shared" si="5"/>
        <v>-5.8369363804817789E-2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613</v>
      </c>
      <c r="C52" s="378">
        <f>IF(C51=0,0,C43/C51)</f>
        <v>3266.4095120444717</v>
      </c>
      <c r="D52" s="378">
        <f>IF(LN_IB10=0,0,LN_IB2/LN_IB10)</f>
        <v>3289.1088881600526</v>
      </c>
      <c r="E52" s="378">
        <f t="shared" si="4"/>
        <v>22.69937611558089</v>
      </c>
      <c r="F52" s="362">
        <f t="shared" si="5"/>
        <v>6.9493356640922743E-3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614</v>
      </c>
      <c r="C53" s="379">
        <f>IF(C45=0,0,C51/C45)</f>
        <v>3.0633869441816461</v>
      </c>
      <c r="D53" s="379">
        <f>IF(LN_IB4=0,0,LN_IB10/LN_IB4)</f>
        <v>2.8548689138576777</v>
      </c>
      <c r="E53" s="379">
        <f t="shared" si="4"/>
        <v>-0.20851803032396843</v>
      </c>
      <c r="F53" s="362">
        <f t="shared" si="5"/>
        <v>-6.8067806686977955E-2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630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616</v>
      </c>
      <c r="C56" s="361">
        <v>89492748</v>
      </c>
      <c r="D56" s="361">
        <v>91515148</v>
      </c>
      <c r="E56" s="361">
        <f t="shared" ref="E56:E63" si="6">D56-C56</f>
        <v>2022400</v>
      </c>
      <c r="F56" s="362">
        <f t="shared" ref="F56:F63" si="7">IF(C56=0,0,E56/C56)</f>
        <v>2.2598479152746546E-2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617</v>
      </c>
      <c r="C57" s="361">
        <v>44048867</v>
      </c>
      <c r="D57" s="361">
        <v>45869212</v>
      </c>
      <c r="E57" s="361">
        <f t="shared" si="6"/>
        <v>1820345</v>
      </c>
      <c r="F57" s="362">
        <f t="shared" si="7"/>
        <v>4.1325580519471702E-2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618</v>
      </c>
      <c r="C58" s="366">
        <f>IF(C56=0,0,C57/C56)</f>
        <v>0.4922059941661418</v>
      </c>
      <c r="D58" s="366">
        <f>IF(LN_IB13=0,0,LN_IB14/LN_IB13)</f>
        <v>0.5012198854773201</v>
      </c>
      <c r="E58" s="367">
        <f t="shared" si="6"/>
        <v>9.0138913111783014E-3</v>
      </c>
      <c r="F58" s="362">
        <f t="shared" si="7"/>
        <v>1.8313249773499723E-2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619</v>
      </c>
      <c r="C59" s="366">
        <f>IF(C42=0,0,C56/C42)</f>
        <v>3.3945596389200694</v>
      </c>
      <c r="D59" s="366">
        <f>IF(LN_IB1=0,0,LN_IB13/LN_IB1)</f>
        <v>3.8299955947693349</v>
      </c>
      <c r="E59" s="367">
        <f t="shared" si="6"/>
        <v>0.43543595584926553</v>
      </c>
      <c r="F59" s="362">
        <f t="shared" si="7"/>
        <v>0.12827465184491302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620</v>
      </c>
      <c r="C60" s="376">
        <f>C59*C45</f>
        <v>3588.0495383385132</v>
      </c>
      <c r="D60" s="376">
        <f>LN_IB16*LN_IB4</f>
        <v>4090.4352952136496</v>
      </c>
      <c r="E60" s="376">
        <f t="shared" si="6"/>
        <v>502.38575687513639</v>
      </c>
      <c r="F60" s="362">
        <f t="shared" si="7"/>
        <v>0.14001639372787805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621</v>
      </c>
      <c r="C61" s="378">
        <f>IF(C60=0,0,C57/C60)</f>
        <v>12276.54928655119</v>
      </c>
      <c r="D61" s="378">
        <f>IF(LN_IB17=0,0,LN_IB14/LN_IB17)</f>
        <v>11213.772786889709</v>
      </c>
      <c r="E61" s="378">
        <f t="shared" si="6"/>
        <v>-1062.7764996614806</v>
      </c>
      <c r="F61" s="362">
        <f t="shared" si="7"/>
        <v>-8.6569643867738896E-2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631</v>
      </c>
      <c r="C62" s="378">
        <f>C32-C61</f>
        <v>-5927.1077287948065</v>
      </c>
      <c r="D62" s="378">
        <f>LN_IA16-LN_IB18</f>
        <v>-4512.9054679030314</v>
      </c>
      <c r="E62" s="378">
        <f t="shared" si="6"/>
        <v>1414.202260891775</v>
      </c>
      <c r="F62" s="362">
        <f t="shared" si="7"/>
        <v>-0.2385990479001017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632</v>
      </c>
      <c r="C63" s="361">
        <f>C62*C60</f>
        <v>-21266756.14998484</v>
      </c>
      <c r="D63" s="361">
        <f>LN_IB19*LN_IB17</f>
        <v>-18459747.809873231</v>
      </c>
      <c r="E63" s="361">
        <f t="shared" si="6"/>
        <v>2807008.3401116095</v>
      </c>
      <c r="F63" s="362">
        <f t="shared" si="7"/>
        <v>-0.13199043240610112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633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623</v>
      </c>
      <c r="C66" s="361">
        <f>C42+C56</f>
        <v>115856329</v>
      </c>
      <c r="D66" s="361">
        <f>LN_IB1+LN_IB13</f>
        <v>115409470</v>
      </c>
      <c r="E66" s="361">
        <f>D66-C66</f>
        <v>-446859</v>
      </c>
      <c r="F66" s="362">
        <f>IF(C66=0,0,E66/C66)</f>
        <v>-3.8570098315474852E-3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624</v>
      </c>
      <c r="C67" s="361">
        <f>C43+C57</f>
        <v>54625501</v>
      </c>
      <c r="D67" s="361">
        <f>LN_IB2+LN_IB14</f>
        <v>55897705</v>
      </c>
      <c r="E67" s="361">
        <f>D67-C67</f>
        <v>1272204</v>
      </c>
      <c r="F67" s="362">
        <f>IF(C67=0,0,E67/C67)</f>
        <v>2.3289562140583388E-2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625</v>
      </c>
      <c r="C68" s="361">
        <f>C66-C67</f>
        <v>61230828</v>
      </c>
      <c r="D68" s="361">
        <f>LN_IB21-LN_IB22</f>
        <v>59511765</v>
      </c>
      <c r="E68" s="361">
        <f>D68-C68</f>
        <v>-1719063</v>
      </c>
      <c r="F68" s="362">
        <f>IF(C68=0,0,E68/C68)</f>
        <v>-2.8075122551013028E-2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634</v>
      </c>
      <c r="C70" s="353">
        <f>C50+C63</f>
        <v>-23232325.52043914</v>
      </c>
      <c r="D70" s="353">
        <f>LN_IB9+LN_IB20</f>
        <v>-19253725.982320536</v>
      </c>
      <c r="E70" s="361">
        <f>D70-C70</f>
        <v>3978599.5381186046</v>
      </c>
      <c r="F70" s="362">
        <f>IF(C70=0,0,E70/C70)</f>
        <v>-0.17125274586129338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635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636</v>
      </c>
      <c r="C73" s="400">
        <v>110847139</v>
      </c>
      <c r="D73" s="400">
        <v>110709168</v>
      </c>
      <c r="E73" s="400">
        <f>D73-C73</f>
        <v>-137971</v>
      </c>
      <c r="F73" s="401">
        <f>IF(C73=0,0,E73/C73)</f>
        <v>-1.2446960854803838E-3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637</v>
      </c>
      <c r="C74" s="400">
        <v>54890286</v>
      </c>
      <c r="D74" s="400">
        <v>55477982</v>
      </c>
      <c r="E74" s="400">
        <f>D74-C74</f>
        <v>587696</v>
      </c>
      <c r="F74" s="401">
        <f>IF(C74=0,0,E74/C74)</f>
        <v>1.0706739622380543E-2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638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639</v>
      </c>
      <c r="C76" s="353">
        <f>C73-C74</f>
        <v>55956853</v>
      </c>
      <c r="D76" s="353">
        <f>LN_IB32-LN_IB33</f>
        <v>55231186</v>
      </c>
      <c r="E76" s="400">
        <f>D76-C76</f>
        <v>-725667</v>
      </c>
      <c r="F76" s="401">
        <f>IF(C76=0,0,E76/C76)</f>
        <v>-1.2968331153290553E-2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640</v>
      </c>
      <c r="C77" s="366">
        <f>IF(C73=0,0,C76/C73)</f>
        <v>0.50481098118373624</v>
      </c>
      <c r="D77" s="366">
        <f>IF(LN_IB1=0,0,LN_IB34/LN_IB32)</f>
        <v>0.49888538589685727</v>
      </c>
      <c r="E77" s="405">
        <f>D77-C77</f>
        <v>-5.9255952868789707E-3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641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642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607</v>
      </c>
      <c r="C83" s="361">
        <v>947053</v>
      </c>
      <c r="D83" s="361">
        <v>817818</v>
      </c>
      <c r="E83" s="361">
        <f t="shared" ref="E83:E95" si="8">D83-C83</f>
        <v>-129235</v>
      </c>
      <c r="F83" s="362">
        <f t="shared" ref="F83:F95" si="9">IF(C83=0,0,E83/C83)</f>
        <v>-0.13646015587300817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608</v>
      </c>
      <c r="C84" s="361">
        <v>51906</v>
      </c>
      <c r="D84" s="361">
        <v>73029</v>
      </c>
      <c r="E84" s="361">
        <f t="shared" si="8"/>
        <v>21123</v>
      </c>
      <c r="F84" s="362">
        <f t="shared" si="9"/>
        <v>0.40694717373714023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609</v>
      </c>
      <c r="C85" s="366">
        <f>IF(C83=0,0,C84/C83)</f>
        <v>5.480791465736342E-2</v>
      </c>
      <c r="D85" s="366">
        <f>IF(LN_IC1=0,0,LN_IC2/LN_IC1)</f>
        <v>8.9297374232408674E-2</v>
      </c>
      <c r="E85" s="367">
        <f t="shared" si="8"/>
        <v>3.4489459575045255E-2</v>
      </c>
      <c r="F85" s="362">
        <f t="shared" si="9"/>
        <v>0.62927881475986081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51</v>
      </c>
      <c r="D86" s="369">
        <v>55</v>
      </c>
      <c r="E86" s="369">
        <f t="shared" si="8"/>
        <v>4</v>
      </c>
      <c r="F86" s="362">
        <f t="shared" si="9"/>
        <v>7.8431372549019607E-2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610</v>
      </c>
      <c r="C87" s="372">
        <v>1.0268999999999999</v>
      </c>
      <c r="D87" s="372">
        <v>8.77E-3</v>
      </c>
      <c r="E87" s="373">
        <f t="shared" si="8"/>
        <v>-1.01813</v>
      </c>
      <c r="F87" s="362">
        <f t="shared" si="9"/>
        <v>-0.99145973317752467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611</v>
      </c>
      <c r="C88" s="376">
        <f>C86*C87</f>
        <v>52.371899999999997</v>
      </c>
      <c r="D88" s="376">
        <f>LN_IC4*LN_IC5</f>
        <v>0.48235</v>
      </c>
      <c r="E88" s="376">
        <f t="shared" si="8"/>
        <v>-51.88955</v>
      </c>
      <c r="F88" s="362">
        <f t="shared" si="9"/>
        <v>-0.99078990832870306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612</v>
      </c>
      <c r="C89" s="378">
        <f>IF(C88=0,0,C84/C88)</f>
        <v>991.10400806539394</v>
      </c>
      <c r="D89" s="378">
        <f>IF(LN_IC6=0,0,LN_IC2/LN_IC6)</f>
        <v>151402.50855188142</v>
      </c>
      <c r="E89" s="378">
        <f t="shared" si="8"/>
        <v>150411.40454381602</v>
      </c>
      <c r="F89" s="362">
        <f t="shared" si="9"/>
        <v>151.76147338705115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643</v>
      </c>
      <c r="C90" s="378">
        <f>C48-C89</f>
        <v>7627.5663222944468</v>
      </c>
      <c r="D90" s="378">
        <f>LN_IB7-LN_IC7</f>
        <v>-143085.43617003807</v>
      </c>
      <c r="E90" s="378">
        <f t="shared" si="8"/>
        <v>-150713.00249233251</v>
      </c>
      <c r="F90" s="362">
        <f t="shared" si="9"/>
        <v>-19.758989450123398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644</v>
      </c>
      <c r="C91" s="378">
        <f>C21-C89</f>
        <v>6025.8663471039881</v>
      </c>
      <c r="D91" s="378">
        <f>LN_IA7-LN_IC7</f>
        <v>-143743.91735258943</v>
      </c>
      <c r="E91" s="378">
        <f t="shared" si="8"/>
        <v>-149769.78369969342</v>
      </c>
      <c r="F91" s="362">
        <f t="shared" si="9"/>
        <v>-24.854481508982072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629</v>
      </c>
      <c r="C92" s="353">
        <f>C91*C88</f>
        <v>315586.06974389532</v>
      </c>
      <c r="D92" s="353">
        <f>LN_IC9*LN_IC6</f>
        <v>-69334.878535021518</v>
      </c>
      <c r="E92" s="353">
        <f t="shared" si="8"/>
        <v>-384920.94827891683</v>
      </c>
      <c r="F92" s="362">
        <f t="shared" si="9"/>
        <v>-1.2197019614689844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144</v>
      </c>
      <c r="D93" s="369">
        <v>143</v>
      </c>
      <c r="E93" s="369">
        <f t="shared" si="8"/>
        <v>-1</v>
      </c>
      <c r="F93" s="362">
        <f t="shared" si="9"/>
        <v>-6.9444444444444441E-3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613</v>
      </c>
      <c r="C94" s="411">
        <f>IF(C93=0,0,C84/C93)</f>
        <v>360.45833333333331</v>
      </c>
      <c r="D94" s="411">
        <f>IF(LN_IC11=0,0,LN_IC2/LN_IC11)</f>
        <v>510.69230769230768</v>
      </c>
      <c r="E94" s="411">
        <f t="shared" si="8"/>
        <v>150.23397435897436</v>
      </c>
      <c r="F94" s="362">
        <f t="shared" si="9"/>
        <v>0.41678596516187549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614</v>
      </c>
      <c r="C95" s="379">
        <f>IF(C86=0,0,C93/C86)</f>
        <v>2.8235294117647061</v>
      </c>
      <c r="D95" s="379">
        <f>IF(LN_IC4=0,0,LN_IC11/LN_IC4)</f>
        <v>2.6</v>
      </c>
      <c r="E95" s="379">
        <f t="shared" si="8"/>
        <v>-0.22352941176470598</v>
      </c>
      <c r="F95" s="362">
        <f t="shared" si="9"/>
        <v>-7.9166666666666691E-2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645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616</v>
      </c>
      <c r="C98" s="361">
        <v>4062137</v>
      </c>
      <c r="D98" s="361">
        <v>3882484</v>
      </c>
      <c r="E98" s="361">
        <f t="shared" ref="E98:E106" si="10">D98-C98</f>
        <v>-179653</v>
      </c>
      <c r="F98" s="362">
        <f t="shared" ref="F98:F106" si="11">IF(C98=0,0,E98/C98)</f>
        <v>-4.422622870671275E-2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617</v>
      </c>
      <c r="C99" s="361">
        <v>222636</v>
      </c>
      <c r="D99" s="361">
        <v>346693</v>
      </c>
      <c r="E99" s="361">
        <f t="shared" si="10"/>
        <v>124057</v>
      </c>
      <c r="F99" s="362">
        <f t="shared" si="11"/>
        <v>0.55721895829964607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618</v>
      </c>
      <c r="C100" s="366">
        <f>IF(C98=0,0,C99/C98)</f>
        <v>5.4807604962609585E-2</v>
      </c>
      <c r="D100" s="366">
        <f>IF(LN_IC14=0,0,LN_IC15/LN_IC14)</f>
        <v>8.9296697681175249E-2</v>
      </c>
      <c r="E100" s="367">
        <f t="shared" si="10"/>
        <v>3.4489092718565664E-2</v>
      </c>
      <c r="F100" s="362">
        <f t="shared" si="11"/>
        <v>0.62927567701771581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619</v>
      </c>
      <c r="C101" s="366">
        <f>IF(C83=0,0,C98/C83)</f>
        <v>4.2892393561923141</v>
      </c>
      <c r="D101" s="366">
        <f>IF(LN_IC1=0,0,LN_IC14/LN_IC1)</f>
        <v>4.7473692190683012</v>
      </c>
      <c r="E101" s="367">
        <f t="shared" si="10"/>
        <v>0.45812986287598711</v>
      </c>
      <c r="F101" s="362">
        <f t="shared" si="11"/>
        <v>0.10680911575023005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620</v>
      </c>
      <c r="C102" s="376">
        <f>C101*C86</f>
        <v>218.75120716580801</v>
      </c>
      <c r="D102" s="376">
        <f>LN_IC17*LN_IC4</f>
        <v>261.10530704875657</v>
      </c>
      <c r="E102" s="376">
        <f t="shared" si="10"/>
        <v>42.35409988294856</v>
      </c>
      <c r="F102" s="362">
        <f t="shared" si="11"/>
        <v>0.19361767384828737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621</v>
      </c>
      <c r="C103" s="378">
        <f>IF(C102=0,0,C99/C102)</f>
        <v>1017.7589549540058</v>
      </c>
      <c r="D103" s="378">
        <f>IF(LN_IC18=0,0,LN_IC15/LN_IC18)</f>
        <v>1327.7899400767888</v>
      </c>
      <c r="E103" s="378">
        <f t="shared" si="10"/>
        <v>310.03098512278291</v>
      </c>
      <c r="F103" s="362">
        <f t="shared" si="11"/>
        <v>0.30462123041382988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646</v>
      </c>
      <c r="C104" s="378">
        <f>C61-C103</f>
        <v>11258.790331597183</v>
      </c>
      <c r="D104" s="378">
        <f>LN_IB18-LN_IC19</f>
        <v>9885.9828468129199</v>
      </c>
      <c r="E104" s="378">
        <f t="shared" si="10"/>
        <v>-1372.8074847842636</v>
      </c>
      <c r="F104" s="362">
        <f t="shared" si="11"/>
        <v>-0.12193205880489257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647</v>
      </c>
      <c r="C105" s="378">
        <f>C32-C103</f>
        <v>5331.682602802377</v>
      </c>
      <c r="D105" s="378">
        <f>LN_IA16-LN_IC19</f>
        <v>5373.0773789098894</v>
      </c>
      <c r="E105" s="378">
        <f t="shared" si="10"/>
        <v>41.394776107512371</v>
      </c>
      <c r="F105" s="362">
        <f t="shared" si="11"/>
        <v>7.7639235474660341E-3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632</v>
      </c>
      <c r="C106" s="361">
        <f>C105*C102</f>
        <v>1166312.0055879573</v>
      </c>
      <c r="D106" s="361">
        <f>LN_IC21*LN_IC18</f>
        <v>1402939.0188169947</v>
      </c>
      <c r="E106" s="361">
        <f t="shared" si="10"/>
        <v>236627.0132290374</v>
      </c>
      <c r="F106" s="362">
        <f t="shared" si="11"/>
        <v>0.20288483021294956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648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623</v>
      </c>
      <c r="C109" s="361">
        <f>C83+C98</f>
        <v>5009190</v>
      </c>
      <c r="D109" s="361">
        <f>LN_IC1+LN_IC14</f>
        <v>4700302</v>
      </c>
      <c r="E109" s="361">
        <f>D109-C109</f>
        <v>-308888</v>
      </c>
      <c r="F109" s="362">
        <f>IF(C109=0,0,E109/C109)</f>
        <v>-6.1664261088120037E-2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624</v>
      </c>
      <c r="C110" s="361">
        <f>C84+C99</f>
        <v>274542</v>
      </c>
      <c r="D110" s="361">
        <f>LN_IC2+LN_IC15</f>
        <v>419722</v>
      </c>
      <c r="E110" s="361">
        <f>D110-C110</f>
        <v>145180</v>
      </c>
      <c r="F110" s="362">
        <f>IF(C110=0,0,E110/C110)</f>
        <v>0.52880797837853588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625</v>
      </c>
      <c r="C111" s="361">
        <f>C109-C110</f>
        <v>4734648</v>
      </c>
      <c r="D111" s="361">
        <f>LN_IC23-LN_IC24</f>
        <v>4280580</v>
      </c>
      <c r="E111" s="361">
        <f>D111-C111</f>
        <v>-454068</v>
      </c>
      <c r="F111" s="362">
        <f>IF(C111=0,0,E111/C111)</f>
        <v>-9.5903222372602986E-2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634</v>
      </c>
      <c r="C113" s="361">
        <f>C92+C106</f>
        <v>1481898.0753318528</v>
      </c>
      <c r="D113" s="361">
        <f>LN_IC10+LN_IC22</f>
        <v>1333604.1402819732</v>
      </c>
      <c r="E113" s="361">
        <f>D113-C113</f>
        <v>-148293.9350498796</v>
      </c>
      <c r="F113" s="362">
        <f>IF(C113=0,0,E113/C113)</f>
        <v>-0.10007026631482129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321</v>
      </c>
      <c r="B115" s="356" t="s">
        <v>649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650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607</v>
      </c>
      <c r="C118" s="361">
        <v>4407849</v>
      </c>
      <c r="D118" s="361">
        <v>4404387</v>
      </c>
      <c r="E118" s="361">
        <f t="shared" ref="E118:E130" si="12">D118-C118</f>
        <v>-3462</v>
      </c>
      <c r="F118" s="362">
        <f t="shared" ref="F118:F130" si="13">IF(C118=0,0,E118/C118)</f>
        <v>-7.8541710480554126E-4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608</v>
      </c>
      <c r="C119" s="361">
        <v>1217702</v>
      </c>
      <c r="D119" s="361">
        <v>1436686</v>
      </c>
      <c r="E119" s="361">
        <f t="shared" si="12"/>
        <v>218984</v>
      </c>
      <c r="F119" s="362">
        <f t="shared" si="13"/>
        <v>0.17983381812627391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609</v>
      </c>
      <c r="C120" s="366">
        <f>IF(C118=0,0,C119/C118)</f>
        <v>0.27625764857189983</v>
      </c>
      <c r="D120" s="366">
        <f>IF(LN_ID1=0,0,LN_1D2/LN_ID1)</f>
        <v>0.32619431489558026</v>
      </c>
      <c r="E120" s="367">
        <f t="shared" si="12"/>
        <v>4.9936666323680434E-2</v>
      </c>
      <c r="F120" s="362">
        <f t="shared" si="13"/>
        <v>0.18076120817586608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252</v>
      </c>
      <c r="D121" s="369">
        <v>236</v>
      </c>
      <c r="E121" s="369">
        <f t="shared" si="12"/>
        <v>-16</v>
      </c>
      <c r="F121" s="362">
        <f t="shared" si="13"/>
        <v>-6.3492063492063489E-2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610</v>
      </c>
      <c r="C122" s="372">
        <v>0.82089999999999996</v>
      </c>
      <c r="D122" s="372">
        <v>0.8649</v>
      </c>
      <c r="E122" s="373">
        <f t="shared" si="12"/>
        <v>4.4000000000000039E-2</v>
      </c>
      <c r="F122" s="362">
        <f t="shared" si="13"/>
        <v>5.3599707637958391E-2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611</v>
      </c>
      <c r="C123" s="376">
        <f>C121*C122</f>
        <v>206.86679999999998</v>
      </c>
      <c r="D123" s="376">
        <f>LN_ID4*LN_ID5</f>
        <v>204.1164</v>
      </c>
      <c r="E123" s="376">
        <f t="shared" si="12"/>
        <v>-2.7503999999999849</v>
      </c>
      <c r="F123" s="362">
        <f t="shared" si="13"/>
        <v>-1.3295511894610373E-2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612</v>
      </c>
      <c r="C124" s="378">
        <f>IF(C123=0,0,C119/C123)</f>
        <v>5886.4061318684298</v>
      </c>
      <c r="D124" s="378">
        <f>IF(LN_ID6=0,0,LN_1D2/LN_ID6)</f>
        <v>7038.5623105247787</v>
      </c>
      <c r="E124" s="378">
        <f t="shared" si="12"/>
        <v>1152.1561786563489</v>
      </c>
      <c r="F124" s="362">
        <f t="shared" si="13"/>
        <v>0.19573168293955925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651</v>
      </c>
      <c r="C125" s="378">
        <f>C48-C124</f>
        <v>2732.2641984914108</v>
      </c>
      <c r="D125" s="378">
        <f>LN_IB7-LN_ID7</f>
        <v>1278.5100713185557</v>
      </c>
      <c r="E125" s="378">
        <f t="shared" si="12"/>
        <v>-1453.7541271728551</v>
      </c>
      <c r="F125" s="362">
        <f t="shared" si="13"/>
        <v>-0.53206938332520304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652</v>
      </c>
      <c r="C126" s="378">
        <f>C21-C124</f>
        <v>1130.5642233009521</v>
      </c>
      <c r="D126" s="378">
        <f>LN_IA7-LN_ID7</f>
        <v>620.0288887672059</v>
      </c>
      <c r="E126" s="378">
        <f t="shared" si="12"/>
        <v>-510.53533453374621</v>
      </c>
      <c r="F126" s="362">
        <f t="shared" si="13"/>
        <v>-0.45157570353952686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629</v>
      </c>
      <c r="C127" s="391">
        <f>C126*C123</f>
        <v>233876.20306875338</v>
      </c>
      <c r="D127" s="391">
        <f>LN_ID9*LN_ID6</f>
        <v>126558.0646711625</v>
      </c>
      <c r="E127" s="391">
        <f t="shared" si="12"/>
        <v>-107318.13839759088</v>
      </c>
      <c r="F127" s="362">
        <f t="shared" si="13"/>
        <v>-0.45886728529641047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949</v>
      </c>
      <c r="D128" s="369">
        <v>836</v>
      </c>
      <c r="E128" s="369">
        <f t="shared" si="12"/>
        <v>-113</v>
      </c>
      <c r="F128" s="362">
        <f t="shared" si="13"/>
        <v>-0.11907270811380401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613</v>
      </c>
      <c r="C129" s="378">
        <f>IF(C128=0,0,C119/C128)</f>
        <v>1283.1422550052687</v>
      </c>
      <c r="D129" s="378">
        <f>IF(LN_ID11=0,0,LN_1D2/LN_ID11)</f>
        <v>1718.5239234449762</v>
      </c>
      <c r="E129" s="378">
        <f t="shared" si="12"/>
        <v>435.38166843970748</v>
      </c>
      <c r="F129" s="362">
        <f t="shared" si="13"/>
        <v>0.33930896339932298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614</v>
      </c>
      <c r="C130" s="379">
        <f>IF(C121=0,0,C128/C121)</f>
        <v>3.7658730158730158</v>
      </c>
      <c r="D130" s="379">
        <f>IF(LN_ID4=0,0,LN_ID11/LN_ID4)</f>
        <v>3.5423728813559321</v>
      </c>
      <c r="E130" s="379">
        <f t="shared" si="12"/>
        <v>-0.22350013451708373</v>
      </c>
      <c r="F130" s="362">
        <f t="shared" si="13"/>
        <v>-5.9348823918129713E-2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653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616</v>
      </c>
      <c r="C133" s="361">
        <v>10470053</v>
      </c>
      <c r="D133" s="361">
        <v>14993613</v>
      </c>
      <c r="E133" s="361">
        <f t="shared" ref="E133:E141" si="14">D133-C133</f>
        <v>4523560</v>
      </c>
      <c r="F133" s="362">
        <f t="shared" ref="F133:F141" si="15">IF(C133=0,0,E133/C133)</f>
        <v>0.43204747865173176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617</v>
      </c>
      <c r="C134" s="361">
        <v>2816920</v>
      </c>
      <c r="D134" s="361">
        <v>4063148</v>
      </c>
      <c r="E134" s="361">
        <f t="shared" si="14"/>
        <v>1246228</v>
      </c>
      <c r="F134" s="362">
        <f t="shared" si="15"/>
        <v>0.44240802010706731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618</v>
      </c>
      <c r="C135" s="366">
        <f>IF(C133=0,0,C134/C133)</f>
        <v>0.26904543845193524</v>
      </c>
      <c r="D135" s="366">
        <f>IF(LN_ID14=0,0,LN_ID15/LN_ID14)</f>
        <v>0.27099192169359049</v>
      </c>
      <c r="E135" s="367">
        <f t="shared" si="14"/>
        <v>1.9464832416552502E-3</v>
      </c>
      <c r="F135" s="362">
        <f t="shared" si="15"/>
        <v>7.2347751103127803E-3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619</v>
      </c>
      <c r="C136" s="366">
        <f>IF(C118=0,0,C133/C118)</f>
        <v>2.3753202525767105</v>
      </c>
      <c r="D136" s="366">
        <f>IF(LN_ID1=0,0,LN_ID14/LN_ID1)</f>
        <v>3.4042451310477486</v>
      </c>
      <c r="E136" s="367">
        <f t="shared" si="14"/>
        <v>1.0289248784710381</v>
      </c>
      <c r="F136" s="362">
        <f t="shared" si="15"/>
        <v>0.43317311733223185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620</v>
      </c>
      <c r="C137" s="376">
        <f>C136*C121</f>
        <v>598.5807036493311</v>
      </c>
      <c r="D137" s="376">
        <f>LN_ID17*LN_ID4</f>
        <v>803.4018509272687</v>
      </c>
      <c r="E137" s="376">
        <f t="shared" si="14"/>
        <v>204.8211472779376</v>
      </c>
      <c r="F137" s="362">
        <f t="shared" si="15"/>
        <v>0.34217799877145516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621</v>
      </c>
      <c r="C138" s="378">
        <f>IF(C137=0,0,C134/C137)</f>
        <v>4705.9986779163655</v>
      </c>
      <c r="D138" s="378">
        <f>IF(LN_ID18=0,0,LN_ID15/LN_ID18)</f>
        <v>5057.429224628253</v>
      </c>
      <c r="E138" s="378">
        <f t="shared" si="14"/>
        <v>351.43054671188747</v>
      </c>
      <c r="F138" s="362">
        <f t="shared" si="15"/>
        <v>7.4677145227649608E-2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654</v>
      </c>
      <c r="C139" s="378">
        <f>C61-C138</f>
        <v>7570.5506086348241</v>
      </c>
      <c r="D139" s="378">
        <f>LN_IB18-LN_ID19</f>
        <v>6156.3435622614561</v>
      </c>
      <c r="E139" s="378">
        <f t="shared" si="14"/>
        <v>-1414.207046373368</v>
      </c>
      <c r="F139" s="362">
        <f t="shared" si="15"/>
        <v>-0.18680372399338441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655</v>
      </c>
      <c r="C140" s="378">
        <f>C32-C138</f>
        <v>1643.4428798400177</v>
      </c>
      <c r="D140" s="378">
        <f>LN_IA16-LN_ID19</f>
        <v>1643.4380943584247</v>
      </c>
      <c r="E140" s="378">
        <f t="shared" si="14"/>
        <v>-4.7854815929895267E-3</v>
      </c>
      <c r="F140" s="362">
        <f t="shared" si="15"/>
        <v>-2.9118636562868396E-6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632</v>
      </c>
      <c r="C141" s="353">
        <f>C140*C137</f>
        <v>983733.19542212086</v>
      </c>
      <c r="D141" s="353">
        <f>LN_ID21*LN_ID18</f>
        <v>1320341.2068919416</v>
      </c>
      <c r="E141" s="353">
        <f t="shared" si="14"/>
        <v>336608.01146982075</v>
      </c>
      <c r="F141" s="362">
        <f t="shared" si="15"/>
        <v>0.34217409053212028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656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623</v>
      </c>
      <c r="C144" s="361">
        <f>C118+C133</f>
        <v>14877902</v>
      </c>
      <c r="D144" s="361">
        <f>LN_ID1+LN_ID14</f>
        <v>19398000</v>
      </c>
      <c r="E144" s="361">
        <f>D144-C144</f>
        <v>4520098</v>
      </c>
      <c r="F144" s="362">
        <f>IF(C144=0,0,E144/C144)</f>
        <v>0.3038128628619815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624</v>
      </c>
      <c r="C145" s="361">
        <f>C119+C134</f>
        <v>4034622</v>
      </c>
      <c r="D145" s="361">
        <f>LN_1D2+LN_ID15</f>
        <v>5499834</v>
      </c>
      <c r="E145" s="361">
        <f>D145-C145</f>
        <v>1465212</v>
      </c>
      <c r="F145" s="362">
        <f>IF(C145=0,0,E145/C145)</f>
        <v>0.36315967146364642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625</v>
      </c>
      <c r="C146" s="361">
        <f>C144-C145</f>
        <v>10843280</v>
      </c>
      <c r="D146" s="361">
        <f>LN_ID23-LN_ID24</f>
        <v>13898166</v>
      </c>
      <c r="E146" s="361">
        <f>D146-C146</f>
        <v>3054886</v>
      </c>
      <c r="F146" s="362">
        <f>IF(C146=0,0,E146/C146)</f>
        <v>0.28173080470116052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634</v>
      </c>
      <c r="C148" s="361">
        <f>C127+C141</f>
        <v>1217609.3984908743</v>
      </c>
      <c r="D148" s="361">
        <f>LN_ID10+LN_ID22</f>
        <v>1446899.2715631041</v>
      </c>
      <c r="E148" s="361">
        <f>D148-C148</f>
        <v>229289.87307222979</v>
      </c>
      <c r="F148" s="415">
        <f>IF(C148=0,0,E148/C148)</f>
        <v>0.18831151710590896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342</v>
      </c>
      <c r="B150" s="356" t="s">
        <v>657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658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607</v>
      </c>
      <c r="C153" s="361">
        <v>961631</v>
      </c>
      <c r="D153" s="361">
        <v>495349</v>
      </c>
      <c r="E153" s="361">
        <f t="shared" ref="E153:E165" si="16">D153-C153</f>
        <v>-466282</v>
      </c>
      <c r="F153" s="362">
        <f t="shared" ref="F153:F165" si="17">IF(C153=0,0,E153/C153)</f>
        <v>-0.48488661451221937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608</v>
      </c>
      <c r="C154" s="361">
        <v>196290</v>
      </c>
      <c r="D154" s="361">
        <v>155721</v>
      </c>
      <c r="E154" s="361">
        <f t="shared" si="16"/>
        <v>-40569</v>
      </c>
      <c r="F154" s="362">
        <f t="shared" si="17"/>
        <v>-0.20667889347394161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609</v>
      </c>
      <c r="C155" s="366">
        <f>IF(C153=0,0,C154/C153)</f>
        <v>0.20412195530302163</v>
      </c>
      <c r="D155" s="366">
        <f>IF(LN_IE1=0,0,LN_IE2/LN_IE1)</f>
        <v>0.31436623471532193</v>
      </c>
      <c r="E155" s="367">
        <f t="shared" si="16"/>
        <v>0.11024427941230031</v>
      </c>
      <c r="F155" s="362">
        <f t="shared" si="17"/>
        <v>0.5400902575552996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31</v>
      </c>
      <c r="D156" s="419">
        <v>6</v>
      </c>
      <c r="E156" s="419">
        <f t="shared" si="16"/>
        <v>-25</v>
      </c>
      <c r="F156" s="362">
        <f t="shared" si="17"/>
        <v>-0.80645161290322576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610</v>
      </c>
      <c r="C157" s="372">
        <v>1.6069</v>
      </c>
      <c r="D157" s="372">
        <v>1.4402999999999999</v>
      </c>
      <c r="E157" s="373">
        <f t="shared" si="16"/>
        <v>-0.16660000000000008</v>
      </c>
      <c r="F157" s="362">
        <f t="shared" si="17"/>
        <v>-0.10367788910324231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611</v>
      </c>
      <c r="C158" s="376">
        <f>C156*C157</f>
        <v>49.813899999999997</v>
      </c>
      <c r="D158" s="376">
        <f>LN_IE4*LN_IE5</f>
        <v>8.6417999999999999</v>
      </c>
      <c r="E158" s="376">
        <f t="shared" si="16"/>
        <v>-41.1721</v>
      </c>
      <c r="F158" s="362">
        <f t="shared" si="17"/>
        <v>-0.82651830111675662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612</v>
      </c>
      <c r="C159" s="378">
        <f>IF(C158=0,0,C154/C158)</f>
        <v>3940.4664160003535</v>
      </c>
      <c r="D159" s="378">
        <f>IF(LN_IE6=0,0,LN_IE2/LN_IE6)</f>
        <v>18019.509824342153</v>
      </c>
      <c r="E159" s="378">
        <f t="shared" si="16"/>
        <v>14079.043408341799</v>
      </c>
      <c r="F159" s="362">
        <f t="shared" si="17"/>
        <v>3.5729383078037471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659</v>
      </c>
      <c r="C160" s="378">
        <f>C48-C159</f>
        <v>4678.2039143594866</v>
      </c>
      <c r="D160" s="378">
        <f>LN_IB7-LN_IE7</f>
        <v>-9702.4374424988182</v>
      </c>
      <c r="E160" s="378">
        <f t="shared" si="16"/>
        <v>-14380.641356858305</v>
      </c>
      <c r="F160" s="362">
        <f t="shared" si="17"/>
        <v>-3.0739663383884843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660</v>
      </c>
      <c r="C161" s="378">
        <f>C21-C159</f>
        <v>3076.5039391690284</v>
      </c>
      <c r="D161" s="378">
        <f>LN_IA7-LN_IE7</f>
        <v>-10360.918625050168</v>
      </c>
      <c r="E161" s="378">
        <f t="shared" si="16"/>
        <v>-13437.422564219196</v>
      </c>
      <c r="F161" s="362">
        <f t="shared" si="17"/>
        <v>-4.3677573082674739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629</v>
      </c>
      <c r="C162" s="391">
        <f>C161*C158</f>
        <v>153252.65957537206</v>
      </c>
      <c r="D162" s="391">
        <f>LN_IE9*LN_IE6</f>
        <v>-89536.986573958537</v>
      </c>
      <c r="E162" s="391">
        <f t="shared" si="16"/>
        <v>-242789.6461493306</v>
      </c>
      <c r="F162" s="362">
        <f t="shared" si="17"/>
        <v>-1.5842442592647004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129</v>
      </c>
      <c r="D163" s="369">
        <v>63</v>
      </c>
      <c r="E163" s="419">
        <f t="shared" si="16"/>
        <v>-66</v>
      </c>
      <c r="F163" s="362">
        <f t="shared" si="17"/>
        <v>-0.51162790697674421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613</v>
      </c>
      <c r="C164" s="378">
        <f>IF(C163=0,0,C154/C163)</f>
        <v>1521.6279069767443</v>
      </c>
      <c r="D164" s="378">
        <f>IF(LN_IE11=0,0,LN_IE2/LN_IE11)</f>
        <v>2471.7619047619046</v>
      </c>
      <c r="E164" s="378">
        <f t="shared" si="16"/>
        <v>950.13399778516032</v>
      </c>
      <c r="F164" s="362">
        <f t="shared" si="17"/>
        <v>0.62441940860097644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614</v>
      </c>
      <c r="C165" s="379">
        <f>IF(C156=0,0,C163/C156)</f>
        <v>4.161290322580645</v>
      </c>
      <c r="D165" s="379">
        <f>IF(LN_IE4=0,0,LN_IE11/LN_IE4)</f>
        <v>10.5</v>
      </c>
      <c r="E165" s="379">
        <f t="shared" si="16"/>
        <v>6.338709677419355</v>
      </c>
      <c r="F165" s="362">
        <f t="shared" si="17"/>
        <v>1.5232558139534884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661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616</v>
      </c>
      <c r="C168" s="424">
        <v>765839</v>
      </c>
      <c r="D168" s="424">
        <v>386445</v>
      </c>
      <c r="E168" s="424">
        <f t="shared" ref="E168:E176" si="18">D168-C168</f>
        <v>-379394</v>
      </c>
      <c r="F168" s="362">
        <f t="shared" ref="F168:F176" si="19">IF(C168=0,0,E168/C168)</f>
        <v>-0.49539655201680771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617</v>
      </c>
      <c r="C169" s="424">
        <v>186225</v>
      </c>
      <c r="D169" s="424">
        <v>100211</v>
      </c>
      <c r="E169" s="424">
        <f t="shared" si="18"/>
        <v>-86014</v>
      </c>
      <c r="F169" s="362">
        <f t="shared" si="19"/>
        <v>-0.46188213182977583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618</v>
      </c>
      <c r="C170" s="366">
        <f>IF(C168=0,0,C169/C168)</f>
        <v>0.24316468605020114</v>
      </c>
      <c r="D170" s="366">
        <f>IF(LN_IE14=0,0,LN_IE15/LN_IE14)</f>
        <v>0.25931503836250952</v>
      </c>
      <c r="E170" s="367">
        <f t="shared" si="18"/>
        <v>1.615035231230838E-2</v>
      </c>
      <c r="F170" s="362">
        <f t="shared" si="19"/>
        <v>6.6417342808462551E-2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619</v>
      </c>
      <c r="C171" s="366">
        <f>IF(C153=0,0,C168/C153)</f>
        <v>0.79639591485715411</v>
      </c>
      <c r="D171" s="366">
        <f>IF(LN_IE1=0,0,LN_IE14/LN_IE1)</f>
        <v>0.78014692671227759</v>
      </c>
      <c r="E171" s="367">
        <f t="shared" si="18"/>
        <v>-1.6248988144876519E-2</v>
      </c>
      <c r="F171" s="362">
        <f t="shared" si="19"/>
        <v>-2.0403153559358761E-2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620</v>
      </c>
      <c r="C172" s="376">
        <f>C171*C156</f>
        <v>24.688273360571777</v>
      </c>
      <c r="D172" s="376">
        <f>LN_IE17*LN_IE4</f>
        <v>4.6808815602736651</v>
      </c>
      <c r="E172" s="376">
        <f t="shared" si="18"/>
        <v>-20.007391800298112</v>
      </c>
      <c r="F172" s="362">
        <f t="shared" si="19"/>
        <v>-0.81040061036632749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621</v>
      </c>
      <c r="C173" s="378">
        <f>IF(C172=0,0,C169/C172)</f>
        <v>7543.0548455206772</v>
      </c>
      <c r="D173" s="378">
        <f>IF(LN_IE18=0,0,LN_IE15/LN_IE18)</f>
        <v>21408.574156305127</v>
      </c>
      <c r="E173" s="378">
        <f t="shared" si="18"/>
        <v>13865.51931078445</v>
      </c>
      <c r="F173" s="362">
        <f t="shared" si="19"/>
        <v>1.8381835469509105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662</v>
      </c>
      <c r="C174" s="378">
        <f>C61-C173</f>
        <v>4733.4944410305125</v>
      </c>
      <c r="D174" s="378">
        <f>LN_IB18-LN_IE19</f>
        <v>-10194.801369415418</v>
      </c>
      <c r="E174" s="378">
        <f t="shared" si="18"/>
        <v>-14928.29581044593</v>
      </c>
      <c r="F174" s="362">
        <f t="shared" si="19"/>
        <v>-3.1537579681187804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663</v>
      </c>
      <c r="C175" s="378">
        <f>C32-C173</f>
        <v>-1193.613287764294</v>
      </c>
      <c r="D175" s="378">
        <f>LN_IA16-LN_IE19</f>
        <v>-14707.706837318448</v>
      </c>
      <c r="E175" s="378">
        <f t="shared" si="18"/>
        <v>-13514.093549554154</v>
      </c>
      <c r="F175" s="362">
        <f t="shared" si="19"/>
        <v>11.322003271986713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632</v>
      </c>
      <c r="C176" s="353">
        <f>C175*C172</f>
        <v>-29468.251135135713</v>
      </c>
      <c r="D176" s="353">
        <f>LN_IE21*LN_IE18</f>
        <v>-68845.033728714829</v>
      </c>
      <c r="E176" s="353">
        <f t="shared" si="18"/>
        <v>-39376.782593579119</v>
      </c>
      <c r="F176" s="362">
        <f t="shared" si="19"/>
        <v>1.3362442994327961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664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623</v>
      </c>
      <c r="C179" s="361">
        <f>C153+C168</f>
        <v>1727470</v>
      </c>
      <c r="D179" s="361">
        <f>LN_IE1+LN_IE14</f>
        <v>881794</v>
      </c>
      <c r="E179" s="361">
        <f>D179-C179</f>
        <v>-845676</v>
      </c>
      <c r="F179" s="362">
        <f>IF(C179=0,0,E179/C179)</f>
        <v>-0.48954598343241851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624</v>
      </c>
      <c r="C180" s="361">
        <f>C154+C169</f>
        <v>382515</v>
      </c>
      <c r="D180" s="361">
        <f>LN_IE15+LN_IE2</f>
        <v>255932</v>
      </c>
      <c r="E180" s="361">
        <f>D180-C180</f>
        <v>-126583</v>
      </c>
      <c r="F180" s="362">
        <f>IF(C180=0,0,E180/C180)</f>
        <v>-0.33092297034103235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625</v>
      </c>
      <c r="C181" s="361">
        <f>C179-C180</f>
        <v>1344955</v>
      </c>
      <c r="D181" s="361">
        <f>LN_IE23-LN_IE24</f>
        <v>625862</v>
      </c>
      <c r="E181" s="361">
        <f>D181-C181</f>
        <v>-719093</v>
      </c>
      <c r="F181" s="362">
        <f>IF(C181=0,0,E181/C181)</f>
        <v>-0.53465952392459226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665</v>
      </c>
      <c r="C183" s="361">
        <f>C162+C176</f>
        <v>123784.40844023635</v>
      </c>
      <c r="D183" s="361">
        <f>LN_IE10+LN_IE22</f>
        <v>-158382.02030267337</v>
      </c>
      <c r="E183" s="353">
        <f>D183-C183</f>
        <v>-282166.42874290969</v>
      </c>
      <c r="F183" s="362">
        <f>IF(C183=0,0,E183/C183)</f>
        <v>-2.2794989473907843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354</v>
      </c>
      <c r="B185" s="356" t="s">
        <v>666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667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607</v>
      </c>
      <c r="C188" s="361">
        <f>C118+C153</f>
        <v>5369480</v>
      </c>
      <c r="D188" s="361">
        <f>LN_ID1+LN_IE1</f>
        <v>4899736</v>
      </c>
      <c r="E188" s="361">
        <f t="shared" ref="E188:E200" si="20">D188-C188</f>
        <v>-469744</v>
      </c>
      <c r="F188" s="362">
        <f t="shared" ref="F188:F200" si="21">IF(C188=0,0,E188/C188)</f>
        <v>-8.748407667036659E-2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608</v>
      </c>
      <c r="C189" s="361">
        <f>C119+C154</f>
        <v>1413992</v>
      </c>
      <c r="D189" s="361">
        <f>LN_1D2+LN_IE2</f>
        <v>1592407</v>
      </c>
      <c r="E189" s="361">
        <f t="shared" si="20"/>
        <v>178415</v>
      </c>
      <c r="F189" s="362">
        <f t="shared" si="21"/>
        <v>0.12617822448783303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609</v>
      </c>
      <c r="C190" s="366">
        <f>IF(C188=0,0,C189/C188)</f>
        <v>0.26333872181291296</v>
      </c>
      <c r="D190" s="366">
        <f>IF(LN_IF1=0,0,LN_IF2/LN_IF1)</f>
        <v>0.32499853053307359</v>
      </c>
      <c r="E190" s="367">
        <f t="shared" si="20"/>
        <v>6.1659808720160636E-2</v>
      </c>
      <c r="F190" s="362">
        <f t="shared" si="21"/>
        <v>0.23414638111582539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283</v>
      </c>
      <c r="D191" s="369">
        <f>LN_ID4+LN_IE4</f>
        <v>242</v>
      </c>
      <c r="E191" s="369">
        <f t="shared" si="20"/>
        <v>-41</v>
      </c>
      <c r="F191" s="362">
        <f t="shared" si="21"/>
        <v>-0.14487632508833923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610</v>
      </c>
      <c r="C192" s="372">
        <f>IF((C121+C156)=0,0,(C123+C158)/(C121+C156))</f>
        <v>0.90699893992932867</v>
      </c>
      <c r="D192" s="372">
        <f>IF((LN_ID4+LN_IE4)=0,0,(LN_ID6+LN_IE6)/(LN_ID4+LN_IE4))</f>
        <v>0.87916611570247927</v>
      </c>
      <c r="E192" s="373">
        <f t="shared" si="20"/>
        <v>-2.7832824226849406E-2</v>
      </c>
      <c r="F192" s="362">
        <f t="shared" si="21"/>
        <v>-3.0686721892991493E-2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611</v>
      </c>
      <c r="C193" s="376">
        <f>C123+C158</f>
        <v>256.6807</v>
      </c>
      <c r="D193" s="376">
        <f>LN_IF4*LN_IF5</f>
        <v>212.75819999999999</v>
      </c>
      <c r="E193" s="376">
        <f t="shared" si="20"/>
        <v>-43.922500000000014</v>
      </c>
      <c r="F193" s="362">
        <f t="shared" si="21"/>
        <v>-0.17111726748446615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612</v>
      </c>
      <c r="C194" s="378">
        <f>IF(C193=0,0,C189/C193)</f>
        <v>5508.7585470976201</v>
      </c>
      <c r="D194" s="378">
        <f>IF(LN_IF6=0,0,LN_IF2/LN_IF6)</f>
        <v>7484.5857879978312</v>
      </c>
      <c r="E194" s="378">
        <f t="shared" si="20"/>
        <v>1975.8272409002111</v>
      </c>
      <c r="F194" s="362">
        <f t="shared" si="21"/>
        <v>0.3586701475491621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668</v>
      </c>
      <c r="C195" s="378">
        <f>C48-C194</f>
        <v>3109.9117832622205</v>
      </c>
      <c r="D195" s="378">
        <f>LN_IB7-LN_IF7</f>
        <v>832.48659384550319</v>
      </c>
      <c r="E195" s="378">
        <f t="shared" si="20"/>
        <v>-2277.4251894167173</v>
      </c>
      <c r="F195" s="362">
        <f t="shared" si="21"/>
        <v>-0.73231183008919776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669</v>
      </c>
      <c r="C196" s="378">
        <f>C21-C194</f>
        <v>1508.2118080717619</v>
      </c>
      <c r="D196" s="378">
        <f>LN_IA7-LN_IF7</f>
        <v>174.00541129415342</v>
      </c>
      <c r="E196" s="378">
        <f t="shared" si="20"/>
        <v>-1334.2063967776085</v>
      </c>
      <c r="F196" s="362">
        <f t="shared" si="21"/>
        <v>-0.88462800094595595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629</v>
      </c>
      <c r="C197" s="391">
        <f>C127+C162</f>
        <v>387128.86264412547</v>
      </c>
      <c r="D197" s="391">
        <f>LN_IF9*LN_IF6</f>
        <v>37021.078097203746</v>
      </c>
      <c r="E197" s="391">
        <f t="shared" si="20"/>
        <v>-350107.78454692173</v>
      </c>
      <c r="F197" s="362">
        <f t="shared" si="21"/>
        <v>-0.90437014216830436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1078</v>
      </c>
      <c r="D198" s="369">
        <f>LN_ID11+LN_IE11</f>
        <v>899</v>
      </c>
      <c r="E198" s="369">
        <f t="shared" si="20"/>
        <v>-179</v>
      </c>
      <c r="F198" s="362">
        <f t="shared" si="21"/>
        <v>-0.16604823747680891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613</v>
      </c>
      <c r="C199" s="432">
        <f>IF(C198=0,0,C189/C198)</f>
        <v>1311.6808905380333</v>
      </c>
      <c r="D199" s="432">
        <f>IF(LN_IF11=0,0,LN_IF2/LN_IF11)</f>
        <v>1771.3092324805339</v>
      </c>
      <c r="E199" s="432">
        <f t="shared" si="20"/>
        <v>459.62834194250058</v>
      </c>
      <c r="F199" s="362">
        <f t="shared" si="21"/>
        <v>0.35041170856271864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614</v>
      </c>
      <c r="C200" s="379">
        <f>IF(C191=0,0,C198/C191)</f>
        <v>3.8091872791519434</v>
      </c>
      <c r="D200" s="379">
        <f>IF(LN_IF4=0,0,LN_IF11/LN_IF4)</f>
        <v>3.7148760330578514</v>
      </c>
      <c r="E200" s="379">
        <f t="shared" si="20"/>
        <v>-9.4311246094092027E-2</v>
      </c>
      <c r="F200" s="362">
        <f t="shared" si="21"/>
        <v>-2.4758889280731024E-2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670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616</v>
      </c>
      <c r="C203" s="361">
        <f>C133+C168</f>
        <v>11235892</v>
      </c>
      <c r="D203" s="361">
        <f>LN_ID14+LN_IE14</f>
        <v>15380058</v>
      </c>
      <c r="E203" s="361">
        <f t="shared" ref="E203:E211" si="22">D203-C203</f>
        <v>4144166</v>
      </c>
      <c r="F203" s="362">
        <f t="shared" ref="F203:F211" si="23">IF(C203=0,0,E203/C203)</f>
        <v>0.36883284388991994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617</v>
      </c>
      <c r="C204" s="361">
        <f>C134+C169</f>
        <v>3003145</v>
      </c>
      <c r="D204" s="361">
        <f>LN_ID15+LN_IE15</f>
        <v>4163359</v>
      </c>
      <c r="E204" s="361">
        <f t="shared" si="22"/>
        <v>1160214</v>
      </c>
      <c r="F204" s="362">
        <f t="shared" si="23"/>
        <v>0.38633299424436718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618</v>
      </c>
      <c r="C205" s="366">
        <f>IF(C203=0,0,C204/C203)</f>
        <v>0.26728140498324476</v>
      </c>
      <c r="D205" s="366">
        <f>IF(LN_IF14=0,0,LN_IF15/LN_IF14)</f>
        <v>0.27069852402377154</v>
      </c>
      <c r="E205" s="367">
        <f t="shared" si="22"/>
        <v>3.4171190405267726E-3</v>
      </c>
      <c r="F205" s="362">
        <f t="shared" si="23"/>
        <v>1.2784724177654572E-2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619</v>
      </c>
      <c r="C206" s="366">
        <f>IF(C188=0,0,C203/C188)</f>
        <v>2.0925475092560175</v>
      </c>
      <c r="D206" s="366">
        <f>IF(LN_IF1=0,0,LN_IF14/LN_IF1)</f>
        <v>3.1389564662259355</v>
      </c>
      <c r="E206" s="367">
        <f t="shared" si="22"/>
        <v>1.046408956969918</v>
      </c>
      <c r="F206" s="362">
        <f t="shared" si="23"/>
        <v>0.50006461136070324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620</v>
      </c>
      <c r="C207" s="376">
        <f>C137+C172</f>
        <v>623.26897700990287</v>
      </c>
      <c r="D207" s="376">
        <f>LN_ID18+LN_IE18</f>
        <v>808.08273248754233</v>
      </c>
      <c r="E207" s="376">
        <f t="shared" si="22"/>
        <v>184.81375547763946</v>
      </c>
      <c r="F207" s="362">
        <f t="shared" si="23"/>
        <v>0.29652327052161787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621</v>
      </c>
      <c r="C208" s="378">
        <f>IF(C207=0,0,C204/C207)</f>
        <v>4818.3771546073349</v>
      </c>
      <c r="D208" s="378">
        <f>IF(LN_IF18=0,0,LN_IF15/LN_IF18)</f>
        <v>5152.1444929083218</v>
      </c>
      <c r="E208" s="378">
        <f t="shared" si="22"/>
        <v>333.76733830098692</v>
      </c>
      <c r="F208" s="362">
        <f t="shared" si="23"/>
        <v>6.9269658142438767E-2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671</v>
      </c>
      <c r="C209" s="378">
        <f>C61-C208</f>
        <v>7458.1721319438548</v>
      </c>
      <c r="D209" s="378">
        <f>LN_IB18-LN_IF19</f>
        <v>6061.6282939813873</v>
      </c>
      <c r="E209" s="378">
        <f t="shared" si="22"/>
        <v>-1396.5438379624675</v>
      </c>
      <c r="F209" s="362">
        <f t="shared" si="23"/>
        <v>-0.18725014832803014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672</v>
      </c>
      <c r="C210" s="378">
        <f>C32-C208</f>
        <v>1531.0644031490483</v>
      </c>
      <c r="D210" s="378">
        <f>LN_IA16-LN_IF19</f>
        <v>1548.7228260783559</v>
      </c>
      <c r="E210" s="378">
        <f t="shared" si="22"/>
        <v>17.658422929307562</v>
      </c>
      <c r="F210" s="362">
        <f t="shared" si="23"/>
        <v>1.1533429222825792E-2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632</v>
      </c>
      <c r="C211" s="391">
        <f>C141+C176</f>
        <v>954264.94428698509</v>
      </c>
      <c r="D211" s="353">
        <f>LN_IF21*LN_IF18</f>
        <v>1251496.1731632266</v>
      </c>
      <c r="E211" s="353">
        <f t="shared" si="22"/>
        <v>297231.22887624148</v>
      </c>
      <c r="F211" s="362">
        <f t="shared" si="23"/>
        <v>0.31147662989792524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673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623</v>
      </c>
      <c r="C214" s="361">
        <f>C188+C203</f>
        <v>16605372</v>
      </c>
      <c r="D214" s="361">
        <f>LN_IF1+LN_IF14</f>
        <v>20279794</v>
      </c>
      <c r="E214" s="361">
        <f>D214-C214</f>
        <v>3674422</v>
      </c>
      <c r="F214" s="362">
        <f>IF(C214=0,0,E214/C214)</f>
        <v>0.22127911377113382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624</v>
      </c>
      <c r="C215" s="361">
        <f>C189+C204</f>
        <v>4417137</v>
      </c>
      <c r="D215" s="361">
        <f>LN_IF2+LN_IF15</f>
        <v>5755766</v>
      </c>
      <c r="E215" s="361">
        <f>D215-C215</f>
        <v>1338629</v>
      </c>
      <c r="F215" s="362">
        <f>IF(C215=0,0,E215/C215)</f>
        <v>0.3030535389778492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625</v>
      </c>
      <c r="C216" s="361">
        <f>C214-C215</f>
        <v>12188235</v>
      </c>
      <c r="D216" s="361">
        <f>LN_IF23-LN_IF24</f>
        <v>14524028</v>
      </c>
      <c r="E216" s="361">
        <f>D216-C216</f>
        <v>2335793</v>
      </c>
      <c r="F216" s="362">
        <f>IF(C216=0,0,E216/C216)</f>
        <v>0.19164325269409394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366</v>
      </c>
      <c r="B218" s="356" t="s">
        <v>674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675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607</v>
      </c>
      <c r="C221" s="361">
        <v>103220</v>
      </c>
      <c r="D221" s="361">
        <v>206461</v>
      </c>
      <c r="E221" s="361">
        <f t="shared" ref="E221:E230" si="24">D221-C221</f>
        <v>103241</v>
      </c>
      <c r="F221" s="362">
        <f t="shared" ref="F221:F230" si="25">IF(C221=0,0,E221/C221)</f>
        <v>1.000203448944003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608</v>
      </c>
      <c r="C222" s="361">
        <v>23033</v>
      </c>
      <c r="D222" s="361">
        <v>41553</v>
      </c>
      <c r="E222" s="361">
        <f t="shared" si="24"/>
        <v>18520</v>
      </c>
      <c r="F222" s="362">
        <f t="shared" si="25"/>
        <v>0.80406373464160119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609</v>
      </c>
      <c r="C223" s="366">
        <f>IF(C221=0,0,C222/C221)</f>
        <v>0.22314473939159077</v>
      </c>
      <c r="D223" s="366">
        <f>IF(LN_IG1=0,0,LN_IG2/LN_IG1)</f>
        <v>0.2012631925642131</v>
      </c>
      <c r="E223" s="367">
        <f t="shared" si="24"/>
        <v>-2.1881546827377668E-2</v>
      </c>
      <c r="F223" s="362">
        <f t="shared" si="25"/>
        <v>-9.8059882061473674E-2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5</v>
      </c>
      <c r="D224" s="369">
        <v>7</v>
      </c>
      <c r="E224" s="369">
        <f t="shared" si="24"/>
        <v>2</v>
      </c>
      <c r="F224" s="362">
        <f t="shared" si="25"/>
        <v>0.4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610</v>
      </c>
      <c r="C225" s="372">
        <v>0.874</v>
      </c>
      <c r="D225" s="372">
        <v>1.1586000000000001</v>
      </c>
      <c r="E225" s="373">
        <f t="shared" si="24"/>
        <v>0.28460000000000008</v>
      </c>
      <c r="F225" s="362">
        <f t="shared" si="25"/>
        <v>0.32562929061784907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611</v>
      </c>
      <c r="C226" s="376">
        <f>C224*C225</f>
        <v>4.37</v>
      </c>
      <c r="D226" s="376">
        <f>LN_IG3*LN_IG4</f>
        <v>8.1102000000000007</v>
      </c>
      <c r="E226" s="376">
        <f t="shared" si="24"/>
        <v>3.7402000000000006</v>
      </c>
      <c r="F226" s="362">
        <f t="shared" si="25"/>
        <v>0.85588100686498869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612</v>
      </c>
      <c r="C227" s="378">
        <f>IF(C226=0,0,C222/C226)</f>
        <v>5270.7093821510298</v>
      </c>
      <c r="D227" s="378">
        <f>IF(LN_IG5=0,0,LN_IG2/LN_IG5)</f>
        <v>5123.5481245838573</v>
      </c>
      <c r="E227" s="378">
        <f t="shared" si="24"/>
        <v>-147.16125756717247</v>
      </c>
      <c r="F227" s="362">
        <f t="shared" si="25"/>
        <v>-2.7920578976622399E-2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15</v>
      </c>
      <c r="D228" s="369">
        <v>31</v>
      </c>
      <c r="E228" s="369">
        <f t="shared" si="24"/>
        <v>16</v>
      </c>
      <c r="F228" s="362">
        <f t="shared" si="25"/>
        <v>1.0666666666666667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613</v>
      </c>
      <c r="C229" s="378">
        <f>IF(C228=0,0,C222/C228)</f>
        <v>1535.5333333333333</v>
      </c>
      <c r="D229" s="378">
        <f>IF(LN_IG6=0,0,LN_IG2/LN_IG6)</f>
        <v>1340.4193548387098</v>
      </c>
      <c r="E229" s="378">
        <f t="shared" si="24"/>
        <v>-195.11397849462355</v>
      </c>
      <c r="F229" s="362">
        <f t="shared" si="25"/>
        <v>-0.12706593485083809</v>
      </c>
      <c r="Q229" s="330"/>
      <c r="U229" s="375"/>
    </row>
    <row r="230" spans="1:21" ht="11.25" customHeight="1" x14ac:dyDescent="0.2">
      <c r="A230" s="364">
        <v>10</v>
      </c>
      <c r="B230" s="360" t="s">
        <v>614</v>
      </c>
      <c r="C230" s="379">
        <f>IF(C224=0,0,C228/C224)</f>
        <v>3</v>
      </c>
      <c r="D230" s="379">
        <f>IF(LN_IG3=0,0,LN_IG6/LN_IG3)</f>
        <v>4.4285714285714288</v>
      </c>
      <c r="E230" s="379">
        <f t="shared" si="24"/>
        <v>1.4285714285714288</v>
      </c>
      <c r="F230" s="362">
        <f t="shared" si="25"/>
        <v>0.47619047619047628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676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616</v>
      </c>
      <c r="C233" s="361">
        <v>300717</v>
      </c>
      <c r="D233" s="361">
        <v>276437</v>
      </c>
      <c r="E233" s="361">
        <f>D233-C233</f>
        <v>-24280</v>
      </c>
      <c r="F233" s="362">
        <f>IF(C233=0,0,E233/C233)</f>
        <v>-8.0740363863699094E-2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617</v>
      </c>
      <c r="C234" s="361">
        <v>74027</v>
      </c>
      <c r="D234" s="361">
        <v>70301</v>
      </c>
      <c r="E234" s="361">
        <f>D234-C234</f>
        <v>-3726</v>
      </c>
      <c r="F234" s="362">
        <f>IF(C234=0,0,E234/C234)</f>
        <v>-5.0332986612992556E-2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677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623</v>
      </c>
      <c r="C237" s="361">
        <f>C221+C233</f>
        <v>403937</v>
      </c>
      <c r="D237" s="361">
        <f>LN_IG1+LN_IG9</f>
        <v>482898</v>
      </c>
      <c r="E237" s="361">
        <f>D237-C237</f>
        <v>78961</v>
      </c>
      <c r="F237" s="362">
        <f>IF(C237=0,0,E237/C237)</f>
        <v>0.19547850283583826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624</v>
      </c>
      <c r="C238" s="361">
        <f>C222+C234</f>
        <v>97060</v>
      </c>
      <c r="D238" s="361">
        <f>LN_IG2+LN_IG10</f>
        <v>111854</v>
      </c>
      <c r="E238" s="361">
        <f>D238-C238</f>
        <v>14794</v>
      </c>
      <c r="F238" s="362">
        <f>IF(C238=0,0,E238/C238)</f>
        <v>0.15242118277354214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625</v>
      </c>
      <c r="C239" s="361">
        <f>C237-C238</f>
        <v>306877</v>
      </c>
      <c r="D239" s="361">
        <f>LN_IG13-LN_IG14</f>
        <v>371044</v>
      </c>
      <c r="E239" s="361">
        <f>D239-C239</f>
        <v>64167</v>
      </c>
      <c r="F239" s="362">
        <f>IF(C239=0,0,E239/C239)</f>
        <v>0.20909680425708019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370</v>
      </c>
      <c r="B241" s="356" t="s">
        <v>678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679</v>
      </c>
      <c r="C243" s="361">
        <v>3523807</v>
      </c>
      <c r="D243" s="361">
        <v>3223427</v>
      </c>
      <c r="E243" s="353">
        <f>D243-C243</f>
        <v>-300380</v>
      </c>
      <c r="F243" s="415">
        <f>IF(C243=0,0,E243/C243)</f>
        <v>-8.5243034025416262E-2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680</v>
      </c>
      <c r="C244" s="361">
        <v>91802230</v>
      </c>
      <c r="D244" s="361">
        <v>93915766</v>
      </c>
      <c r="E244" s="353">
        <f>D244-C244</f>
        <v>2113536</v>
      </c>
      <c r="F244" s="415">
        <f>IF(C244=0,0,E244/C244)</f>
        <v>2.3022708707620718E-2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681</v>
      </c>
      <c r="C245" s="400">
        <v>351378</v>
      </c>
      <c r="D245" s="400">
        <v>0</v>
      </c>
      <c r="E245" s="400">
        <f>D245-C245</f>
        <v>-351378</v>
      </c>
      <c r="F245" s="401">
        <f>IF(C245=0,0,E245/C245)</f>
        <v>-1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682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683</v>
      </c>
      <c r="C248" s="353">
        <v>2208785</v>
      </c>
      <c r="D248" s="353">
        <v>1734591</v>
      </c>
      <c r="E248" s="353">
        <f>D248-C248</f>
        <v>-474194</v>
      </c>
      <c r="F248" s="362">
        <f>IF(C248=0,0,E248/C248)</f>
        <v>-0.21468544924019314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684</v>
      </c>
      <c r="C249" s="353">
        <v>3065190</v>
      </c>
      <c r="D249" s="353">
        <v>2545989</v>
      </c>
      <c r="E249" s="353">
        <f>D249-C249</f>
        <v>-519201</v>
      </c>
      <c r="F249" s="362">
        <f>IF(C249=0,0,E249/C249)</f>
        <v>-0.16938623706850145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685</v>
      </c>
      <c r="C250" s="353">
        <f>C248+C249</f>
        <v>5273975</v>
      </c>
      <c r="D250" s="353">
        <f>LN_IH4+LN_IH5</f>
        <v>4280580</v>
      </c>
      <c r="E250" s="353">
        <f>D250-C250</f>
        <v>-993395</v>
      </c>
      <c r="F250" s="362">
        <f>IF(C250=0,0,E250/C250)</f>
        <v>-0.18835792736977328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686</v>
      </c>
      <c r="C251" s="353">
        <f>C250*C313</f>
        <v>1874149.8402258465</v>
      </c>
      <c r="D251" s="353">
        <f>LN_IH6*LN_III10</f>
        <v>1574280.1790671933</v>
      </c>
      <c r="E251" s="353">
        <f>D251-C251</f>
        <v>-299869.66115865321</v>
      </c>
      <c r="F251" s="362">
        <f>IF(C251=0,0,E251/C251)</f>
        <v>-0.16000303429448154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687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623</v>
      </c>
      <c r="C254" s="353">
        <f>C188+C203</f>
        <v>16605372</v>
      </c>
      <c r="D254" s="353">
        <f>LN_IF23</f>
        <v>20279794</v>
      </c>
      <c r="E254" s="353">
        <f>D254-C254</f>
        <v>3674422</v>
      </c>
      <c r="F254" s="362">
        <f>IF(C254=0,0,E254/C254)</f>
        <v>0.22127911377113382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624</v>
      </c>
      <c r="C255" s="353">
        <f>C189+C204</f>
        <v>4417137</v>
      </c>
      <c r="D255" s="353">
        <f>LN_IF24</f>
        <v>5755766</v>
      </c>
      <c r="E255" s="353">
        <f>D255-C255</f>
        <v>1338629</v>
      </c>
      <c r="F255" s="362">
        <f>IF(C255=0,0,E255/C255)</f>
        <v>0.3030535389778492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688</v>
      </c>
      <c r="C256" s="353">
        <f>C254*C313</f>
        <v>5900853.7736130236</v>
      </c>
      <c r="D256" s="353">
        <f>LN_IH8*LN_III10</f>
        <v>7458353.2441318212</v>
      </c>
      <c r="E256" s="353">
        <f>D256-C256</f>
        <v>1557499.4705187976</v>
      </c>
      <c r="F256" s="362">
        <f>IF(C256=0,0,E256/C256)</f>
        <v>0.26394476634610098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689</v>
      </c>
      <c r="C257" s="353">
        <f>C256-C255</f>
        <v>1483716.7736130236</v>
      </c>
      <c r="D257" s="353">
        <f>LN_IH10-LN_IH9</f>
        <v>1702587.2441318212</v>
      </c>
      <c r="E257" s="353">
        <f>D257-C257</f>
        <v>218870.47051879764</v>
      </c>
      <c r="F257" s="362">
        <f>IF(C257=0,0,E257/C257)</f>
        <v>0.14751499370450769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690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691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692</v>
      </c>
      <c r="C261" s="361">
        <f>C15+C42+C188+C221</f>
        <v>70265597</v>
      </c>
      <c r="D261" s="361">
        <f>LN_IA1+LN_IB1+LN_IF1+LN_IG1</f>
        <v>67481950</v>
      </c>
      <c r="E261" s="361">
        <f t="shared" ref="E261:E274" si="26">D261-C261</f>
        <v>-2783647</v>
      </c>
      <c r="F261" s="415">
        <f t="shared" ref="F261:F274" si="27">IF(C261=0,0,E261/C261)</f>
        <v>-3.961607271336498E-2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693</v>
      </c>
      <c r="C262" s="361">
        <f>C16+C43+C189+C222</f>
        <v>24581836</v>
      </c>
      <c r="D262" s="361">
        <f>+LN_IA2+LN_IB2+LN_IF2+LN_IG2</f>
        <v>24278497</v>
      </c>
      <c r="E262" s="361">
        <f t="shared" si="26"/>
        <v>-303339</v>
      </c>
      <c r="F262" s="415">
        <f t="shared" si="27"/>
        <v>-1.2339965167776728E-2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694</v>
      </c>
      <c r="C263" s="366">
        <f>IF(C261=0,0,C262/C261)</f>
        <v>0.34984170133785386</v>
      </c>
      <c r="D263" s="366">
        <f>IF(LN_IIA1=0,0,LN_IIA2/LN_IIA1)</f>
        <v>0.3597776442441275</v>
      </c>
      <c r="E263" s="367">
        <f t="shared" si="26"/>
        <v>9.9359429062736426E-3</v>
      </c>
      <c r="F263" s="371">
        <f t="shared" si="27"/>
        <v>2.8401253676382535E-2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695</v>
      </c>
      <c r="C264" s="369">
        <f>C18+C45+C191+C224</f>
        <v>2512</v>
      </c>
      <c r="D264" s="369">
        <f>LN_IA4+LN_IB4+LN_IF4+LN_IG3</f>
        <v>2516</v>
      </c>
      <c r="E264" s="369">
        <f t="shared" si="26"/>
        <v>4</v>
      </c>
      <c r="F264" s="415">
        <f t="shared" si="27"/>
        <v>1.5923566878980893E-3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696</v>
      </c>
      <c r="C265" s="439">
        <f>IF(C264=0,0,C266/C264)</f>
        <v>1.3054694665605093</v>
      </c>
      <c r="D265" s="439">
        <f>IF(LN_IIA4=0,0,LN_IIA6/LN_IIA4)</f>
        <v>1.2217593402225755</v>
      </c>
      <c r="E265" s="439">
        <f t="shared" si="26"/>
        <v>-8.3710126337933843E-2</v>
      </c>
      <c r="F265" s="415">
        <f t="shared" si="27"/>
        <v>-6.4122622920077185E-2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697</v>
      </c>
      <c r="C266" s="376">
        <f>C20+C47+C193+C226</f>
        <v>3279.3392999999996</v>
      </c>
      <c r="D266" s="376">
        <f>LN_IA6+LN_IB6+LN_IF6+LN_IG5</f>
        <v>3073.9465</v>
      </c>
      <c r="E266" s="376">
        <f t="shared" si="26"/>
        <v>-205.39279999999962</v>
      </c>
      <c r="F266" s="415">
        <f t="shared" si="27"/>
        <v>-6.2632372319631466E-2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698</v>
      </c>
      <c r="C267" s="361">
        <f>C27+C56+C203+C233</f>
        <v>169862103</v>
      </c>
      <c r="D267" s="361">
        <f>LN_IA11+LN_IB13+LN_IF14+LN_IG9</f>
        <v>171003946</v>
      </c>
      <c r="E267" s="361">
        <f t="shared" si="26"/>
        <v>1141843</v>
      </c>
      <c r="F267" s="415">
        <f t="shared" si="27"/>
        <v>6.7221762820162427E-3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619</v>
      </c>
      <c r="C268" s="366">
        <f>IF(C261=0,0,C267/C261)</f>
        <v>2.4174291581127534</v>
      </c>
      <c r="D268" s="366">
        <f>IF(LN_IIA1=0,0,LN_IIA7/LN_IIA1)</f>
        <v>2.5340694215267936</v>
      </c>
      <c r="E268" s="367">
        <f t="shared" si="26"/>
        <v>0.11664026341404021</v>
      </c>
      <c r="F268" s="371">
        <f t="shared" si="27"/>
        <v>4.8249713139515253E-2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699</v>
      </c>
      <c r="C269" s="361">
        <f>C28+C57+C204+C234</f>
        <v>60398114</v>
      </c>
      <c r="D269" s="361">
        <f>LN_IA12+LN_IB14+LN_IF15+LN_IG10</f>
        <v>63430090</v>
      </c>
      <c r="E269" s="361">
        <f t="shared" si="26"/>
        <v>3031976</v>
      </c>
      <c r="F269" s="415">
        <f t="shared" si="27"/>
        <v>5.0199845644186836E-2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618</v>
      </c>
      <c r="C270" s="366">
        <f>IF(C267=0,0,C269/C267)</f>
        <v>0.35557144844721483</v>
      </c>
      <c r="D270" s="366">
        <f>IF(LN_IIA7=0,0,LN_IIA9/LN_IIA7)</f>
        <v>0.3709276392955283</v>
      </c>
      <c r="E270" s="367">
        <f t="shared" si="26"/>
        <v>1.5356190848313467E-2</v>
      </c>
      <c r="F270" s="371">
        <f t="shared" si="27"/>
        <v>4.318735633970093E-2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700</v>
      </c>
      <c r="C271" s="353">
        <f>C261+C267</f>
        <v>240127700</v>
      </c>
      <c r="D271" s="353">
        <f>LN_IIA1+LN_IIA7</f>
        <v>238485896</v>
      </c>
      <c r="E271" s="353">
        <f t="shared" si="26"/>
        <v>-1641804</v>
      </c>
      <c r="F271" s="415">
        <f t="shared" si="27"/>
        <v>-6.8372120334305453E-3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701</v>
      </c>
      <c r="C272" s="353">
        <f>C262+C269</f>
        <v>84979950</v>
      </c>
      <c r="D272" s="353">
        <f>LN_IIA2+LN_IIA9</f>
        <v>87708587</v>
      </c>
      <c r="E272" s="353">
        <f t="shared" si="26"/>
        <v>2728637</v>
      </c>
      <c r="F272" s="415">
        <f t="shared" si="27"/>
        <v>3.2109185754992796E-2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702</v>
      </c>
      <c r="C273" s="366">
        <f>IF(C271=0,0,C272/C271)</f>
        <v>0.35389482346268258</v>
      </c>
      <c r="D273" s="366">
        <f>IF(LN_IIA11=0,0,LN_IIA12/LN_IIA11)</f>
        <v>0.36777263759027495</v>
      </c>
      <c r="E273" s="367">
        <f t="shared" si="26"/>
        <v>1.3877814127592369E-2</v>
      </c>
      <c r="F273" s="371">
        <f t="shared" si="27"/>
        <v>3.9214515747376437E-2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9382</v>
      </c>
      <c r="D274" s="421">
        <f>LN_IA8+LN_IB10+LN_IF11+LN_IG6</f>
        <v>9347</v>
      </c>
      <c r="E274" s="442">
        <f t="shared" si="26"/>
        <v>-35</v>
      </c>
      <c r="F274" s="371">
        <f t="shared" si="27"/>
        <v>-3.7305478575996591E-3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703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704</v>
      </c>
      <c r="C277" s="361">
        <f>C15+C188+C221</f>
        <v>43902016</v>
      </c>
      <c r="D277" s="361">
        <f>LN_IA1+LN_IF1+LN_IG1</f>
        <v>43587628</v>
      </c>
      <c r="E277" s="361">
        <f t="shared" ref="E277:E291" si="28">D277-C277</f>
        <v>-314388</v>
      </c>
      <c r="F277" s="415">
        <f t="shared" ref="F277:F291" si="29">IF(C277=0,0,E277/C277)</f>
        <v>-7.1611290014563338E-3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705</v>
      </c>
      <c r="C278" s="361">
        <f>C16+C189+C222</f>
        <v>14005202</v>
      </c>
      <c r="D278" s="361">
        <f>LN_IA2+LN_IF2+LN_IG2</f>
        <v>14250004</v>
      </c>
      <c r="E278" s="361">
        <f t="shared" si="28"/>
        <v>244802</v>
      </c>
      <c r="F278" s="415">
        <f t="shared" si="29"/>
        <v>1.7479362311232642E-2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706</v>
      </c>
      <c r="C279" s="366">
        <f>IF(C277=0,0,C278/C277)</f>
        <v>0.31901045273182899</v>
      </c>
      <c r="D279" s="366">
        <f>IF(D277=0,0,LN_IIB2/D277)</f>
        <v>0.32692772361918848</v>
      </c>
      <c r="E279" s="367">
        <f t="shared" si="28"/>
        <v>7.9172708873594955E-3</v>
      </c>
      <c r="F279" s="371">
        <f t="shared" si="29"/>
        <v>2.4818217771738729E-2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707</v>
      </c>
      <c r="C280" s="369">
        <f>C18+C191+C224</f>
        <v>1455</v>
      </c>
      <c r="D280" s="369">
        <f>LN_IA4+LN_IF4+LN_IG3</f>
        <v>1448</v>
      </c>
      <c r="E280" s="369">
        <f t="shared" si="28"/>
        <v>-7</v>
      </c>
      <c r="F280" s="415">
        <f t="shared" si="29"/>
        <v>-4.8109965635738834E-3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708</v>
      </c>
      <c r="C281" s="439">
        <f>IF(C280=0,0,C282/C280)</f>
        <v>1.410420824742268</v>
      </c>
      <c r="D281" s="439">
        <f>IF(LN_IIB4=0,0,LN_IIB6/LN_IIB4)</f>
        <v>1.2901757596685082</v>
      </c>
      <c r="E281" s="439">
        <f t="shared" si="28"/>
        <v>-0.12024506507375987</v>
      </c>
      <c r="F281" s="415">
        <f t="shared" si="29"/>
        <v>-8.5254743098204563E-2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709</v>
      </c>
      <c r="C282" s="376">
        <f>C20+C193+C226</f>
        <v>2052.1623</v>
      </c>
      <c r="D282" s="376">
        <f>LN_IA6+LN_IF6+LN_IG5</f>
        <v>1868.1744999999999</v>
      </c>
      <c r="E282" s="376">
        <f t="shared" si="28"/>
        <v>-183.98780000000011</v>
      </c>
      <c r="F282" s="415">
        <f t="shared" si="29"/>
        <v>-8.9655579385704592E-2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710</v>
      </c>
      <c r="C283" s="361">
        <f>C27+C203+C233</f>
        <v>80369355</v>
      </c>
      <c r="D283" s="361">
        <f>LN_IA11+LN_IF14+LN_IG9</f>
        <v>79488798</v>
      </c>
      <c r="E283" s="361">
        <f t="shared" si="28"/>
        <v>-880557</v>
      </c>
      <c r="F283" s="415">
        <f t="shared" si="29"/>
        <v>-1.095637758944314E-2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711</v>
      </c>
      <c r="C284" s="366">
        <f>IF(C277=0,0,C283/C277)</f>
        <v>1.8306529476915137</v>
      </c>
      <c r="D284" s="366">
        <f>IF(D277=0,0,LN_IIB7/D277)</f>
        <v>1.8236550518417749</v>
      </c>
      <c r="E284" s="367">
        <f t="shared" si="28"/>
        <v>-6.9978958497387556E-3</v>
      </c>
      <c r="F284" s="371">
        <f t="shared" si="29"/>
        <v>-3.8226228835799973E-3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712</v>
      </c>
      <c r="C285" s="361">
        <f>C28+C204+C234</f>
        <v>16349247</v>
      </c>
      <c r="D285" s="361">
        <f>LN_IA12+LN_IF15+LN_IG10</f>
        <v>17560878</v>
      </c>
      <c r="E285" s="361">
        <f t="shared" si="28"/>
        <v>1211631</v>
      </c>
      <c r="F285" s="415">
        <f t="shared" si="29"/>
        <v>7.4109284666137837E-2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713</v>
      </c>
      <c r="C286" s="366">
        <f>IF(C283=0,0,C285/C283)</f>
        <v>0.20342638061485002</v>
      </c>
      <c r="D286" s="366">
        <f>IF(LN_IIB7=0,0,LN_IIB9/LN_IIB7)</f>
        <v>0.22092267642542537</v>
      </c>
      <c r="E286" s="367">
        <f t="shared" si="28"/>
        <v>1.7496295810575352E-2</v>
      </c>
      <c r="F286" s="371">
        <f t="shared" si="29"/>
        <v>8.6007998361340016E-2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714</v>
      </c>
      <c r="C287" s="353">
        <f>C277+C283</f>
        <v>124271371</v>
      </c>
      <c r="D287" s="353">
        <f>D277+LN_IIB7</f>
        <v>123076426</v>
      </c>
      <c r="E287" s="353">
        <f t="shared" si="28"/>
        <v>-1194945</v>
      </c>
      <c r="F287" s="415">
        <f t="shared" si="29"/>
        <v>-9.6156096966211156E-3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715</v>
      </c>
      <c r="C288" s="353">
        <f>C278+C285</f>
        <v>30354449</v>
      </c>
      <c r="D288" s="353">
        <f>LN_IIB2+LN_IIB9</f>
        <v>31810882</v>
      </c>
      <c r="E288" s="353">
        <f t="shared" si="28"/>
        <v>1456433</v>
      </c>
      <c r="F288" s="415">
        <f t="shared" si="29"/>
        <v>4.7980874236919935E-2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716</v>
      </c>
      <c r="C289" s="366">
        <f>IF(C287=0,0,C288/C287)</f>
        <v>0.244259387787715</v>
      </c>
      <c r="D289" s="366">
        <f>IF(LN_IIB11=0,0,LN_IIB12/LN_IIB11)</f>
        <v>0.25846446012333835</v>
      </c>
      <c r="E289" s="367">
        <f t="shared" si="28"/>
        <v>1.4205072335623348E-2</v>
      </c>
      <c r="F289" s="371">
        <f t="shared" si="29"/>
        <v>5.8155686314783232E-2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6144</v>
      </c>
      <c r="D290" s="421">
        <f>LN_IA8+LN_IF11+LN_IG6</f>
        <v>6298</v>
      </c>
      <c r="E290" s="442">
        <f t="shared" si="28"/>
        <v>154</v>
      </c>
      <c r="F290" s="371">
        <f t="shared" si="29"/>
        <v>2.5065104166666668E-2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717</v>
      </c>
      <c r="C291" s="361">
        <f>C287-C288</f>
        <v>93916922</v>
      </c>
      <c r="D291" s="429">
        <f>LN_IIB11-LN_IIB12</f>
        <v>91265544</v>
      </c>
      <c r="E291" s="353">
        <f t="shared" si="28"/>
        <v>-2651378</v>
      </c>
      <c r="F291" s="415">
        <f t="shared" si="29"/>
        <v>-2.8231099822457979E-2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614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605</v>
      </c>
      <c r="C294" s="379">
        <f>IF(C18=0,0,C22/C18)</f>
        <v>4.328191945158526</v>
      </c>
      <c r="D294" s="379">
        <f>IF(LN_IA4=0,0,LN_IA8/LN_IA4)</f>
        <v>4.477064220183486</v>
      </c>
      <c r="E294" s="379">
        <f t="shared" ref="E294:E300" si="30">D294-C294</f>
        <v>0.14887227502496003</v>
      </c>
      <c r="F294" s="415">
        <f t="shared" ref="F294:F300" si="31">IF(C294=0,0,E294/C294)</f>
        <v>3.4395950297788233E-2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626</v>
      </c>
      <c r="C295" s="379">
        <f>IF(C45=0,0,C51/C45)</f>
        <v>3.0633869441816461</v>
      </c>
      <c r="D295" s="379">
        <f>IF(LN_IB4=0,0,(LN_IB10)/(LN_IB4))</f>
        <v>2.8548689138576777</v>
      </c>
      <c r="E295" s="379">
        <f t="shared" si="30"/>
        <v>-0.20851803032396843</v>
      </c>
      <c r="F295" s="415">
        <f t="shared" si="31"/>
        <v>-6.8067806686977955E-2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641</v>
      </c>
      <c r="C296" s="379">
        <f>IF(C86=0,0,C93/C86)</f>
        <v>2.8235294117647061</v>
      </c>
      <c r="D296" s="379">
        <f>IF(LN_IC4=0,0,LN_IC11/LN_IC4)</f>
        <v>2.6</v>
      </c>
      <c r="E296" s="379">
        <f t="shared" si="30"/>
        <v>-0.22352941176470598</v>
      </c>
      <c r="F296" s="415">
        <f t="shared" si="31"/>
        <v>-7.9166666666666691E-2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3.7658730158730158</v>
      </c>
      <c r="D297" s="379">
        <f>IF(LN_ID4=0,0,LN_ID11/LN_ID4)</f>
        <v>3.5423728813559321</v>
      </c>
      <c r="E297" s="379">
        <f t="shared" si="30"/>
        <v>-0.22350013451708373</v>
      </c>
      <c r="F297" s="415">
        <f t="shared" si="31"/>
        <v>-5.9348823918129713E-2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718</v>
      </c>
      <c r="C298" s="379">
        <f>IF(C156=0,0,C163/C156)</f>
        <v>4.161290322580645</v>
      </c>
      <c r="D298" s="379">
        <f>IF(LN_IE4=0,0,LN_IE11/LN_IE4)</f>
        <v>10.5</v>
      </c>
      <c r="E298" s="379">
        <f t="shared" si="30"/>
        <v>6.338709677419355</v>
      </c>
      <c r="F298" s="415">
        <f t="shared" si="31"/>
        <v>1.5232558139534884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418</v>
      </c>
      <c r="C299" s="379">
        <f>IF(C224=0,0,C228/C224)</f>
        <v>3</v>
      </c>
      <c r="D299" s="379">
        <f>IF(LN_IG3=0,0,LN_IG6/LN_IG3)</f>
        <v>4.4285714285714288</v>
      </c>
      <c r="E299" s="379">
        <f t="shared" si="30"/>
        <v>1.4285714285714288</v>
      </c>
      <c r="F299" s="415">
        <f t="shared" si="31"/>
        <v>0.47619047619047628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719</v>
      </c>
      <c r="C300" s="379">
        <f>IF(C264=0,0,C274/C264)</f>
        <v>3.7348726114649682</v>
      </c>
      <c r="D300" s="379">
        <f>IF(LN_IIA4=0,0,LN_IIA14/LN_IIA4)</f>
        <v>3.7150238473767887</v>
      </c>
      <c r="E300" s="379">
        <f t="shared" si="30"/>
        <v>-1.9848764088179482E-2</v>
      </c>
      <c r="F300" s="415">
        <f t="shared" si="31"/>
        <v>-5.3144420581439844E-3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720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714</v>
      </c>
      <c r="C304" s="353">
        <f>C35+C66+C214+C221+C233</f>
        <v>240127700</v>
      </c>
      <c r="D304" s="353">
        <f>LN_IIA11</f>
        <v>238485896</v>
      </c>
      <c r="E304" s="353">
        <f t="shared" ref="E304:E316" si="32">D304-C304</f>
        <v>-1641804</v>
      </c>
      <c r="F304" s="362">
        <f>IF(C304=0,0,E304/C304)</f>
        <v>-6.8372120334305453E-3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717</v>
      </c>
      <c r="C305" s="353">
        <f>C291</f>
        <v>93916922</v>
      </c>
      <c r="D305" s="353">
        <f>LN_IIB14</f>
        <v>91265544</v>
      </c>
      <c r="E305" s="353">
        <f t="shared" si="32"/>
        <v>-2651378</v>
      </c>
      <c r="F305" s="362">
        <f>IF(C305=0,0,E305/C305)</f>
        <v>-2.8231099822457979E-2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721</v>
      </c>
      <c r="C306" s="353">
        <f>C250</f>
        <v>5273975</v>
      </c>
      <c r="D306" s="353">
        <f>LN_IH6</f>
        <v>4280580</v>
      </c>
      <c r="E306" s="353">
        <f t="shared" si="32"/>
        <v>-993395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722</v>
      </c>
      <c r="C307" s="353">
        <f>C73-C74</f>
        <v>55956853</v>
      </c>
      <c r="D307" s="353">
        <f>LN_IB32-LN_IB33</f>
        <v>55231186</v>
      </c>
      <c r="E307" s="353">
        <f t="shared" si="32"/>
        <v>-725667</v>
      </c>
      <c r="F307" s="362">
        <f t="shared" ref="F307:F316" si="33">IF(C307=0,0,E307/C307)</f>
        <v>-1.2968331153290553E-2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723</v>
      </c>
      <c r="C308" s="353">
        <v>0</v>
      </c>
      <c r="D308" s="353">
        <v>0</v>
      </c>
      <c r="E308" s="353">
        <f t="shared" si="32"/>
        <v>0</v>
      </c>
      <c r="F308" s="362">
        <f t="shared" si="33"/>
        <v>0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724</v>
      </c>
      <c r="C309" s="353">
        <f>C305+C307+C308+C306</f>
        <v>155147750</v>
      </c>
      <c r="D309" s="353">
        <f>LN_III2+LN_III3+LN_III4+LN_III5</f>
        <v>150777310</v>
      </c>
      <c r="E309" s="353">
        <f t="shared" si="32"/>
        <v>-4370440</v>
      </c>
      <c r="F309" s="362">
        <f t="shared" si="33"/>
        <v>-2.8169535168895456E-2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725</v>
      </c>
      <c r="C310" s="353">
        <f>C304-C309</f>
        <v>84979950</v>
      </c>
      <c r="D310" s="353">
        <f>LN_III1-LN_III6</f>
        <v>87708586</v>
      </c>
      <c r="E310" s="353">
        <f t="shared" si="32"/>
        <v>2728636</v>
      </c>
      <c r="F310" s="362">
        <f t="shared" si="33"/>
        <v>3.2109173987511175E-2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726</v>
      </c>
      <c r="C311" s="353">
        <f>C245</f>
        <v>351378</v>
      </c>
      <c r="D311" s="353">
        <f>LN_IH3</f>
        <v>0</v>
      </c>
      <c r="E311" s="353">
        <f t="shared" si="32"/>
        <v>-351378</v>
      </c>
      <c r="F311" s="362">
        <f t="shared" si="33"/>
        <v>-1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727</v>
      </c>
      <c r="C312" s="353">
        <f>C310+C311</f>
        <v>85331328</v>
      </c>
      <c r="D312" s="353">
        <f>LN_III7+LN_III8</f>
        <v>87708586</v>
      </c>
      <c r="E312" s="353">
        <f t="shared" si="32"/>
        <v>2377258</v>
      </c>
      <c r="F312" s="362">
        <f t="shared" si="33"/>
        <v>2.785914687745162E-2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728</v>
      </c>
      <c r="C313" s="448">
        <f>IF(C304=0,0,C312/C304)</f>
        <v>0.35535811986705407</v>
      </c>
      <c r="D313" s="448">
        <f>IF(LN_III1=0,0,LN_III9/LN_III1)</f>
        <v>0.36777263339715488</v>
      </c>
      <c r="E313" s="448">
        <f t="shared" si="32"/>
        <v>1.2414513530100812E-2</v>
      </c>
      <c r="F313" s="362">
        <f t="shared" si="33"/>
        <v>3.4935218406562114E-2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686</v>
      </c>
      <c r="C314" s="353">
        <f>C306*C313</f>
        <v>1874149.8402258465</v>
      </c>
      <c r="D314" s="353">
        <f>D313*LN_III5</f>
        <v>1574280.1790671933</v>
      </c>
      <c r="E314" s="353">
        <f t="shared" si="32"/>
        <v>-299869.66115865321</v>
      </c>
      <c r="F314" s="362">
        <f t="shared" si="33"/>
        <v>-0.16000303429448154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689</v>
      </c>
      <c r="C315" s="353">
        <f>(C214*C313)-C215</f>
        <v>1483716.7736130236</v>
      </c>
      <c r="D315" s="353">
        <f>D313*LN_IH8-LN_IH9</f>
        <v>1702587.2441318212</v>
      </c>
      <c r="E315" s="353">
        <f t="shared" si="32"/>
        <v>218870.47051879764</v>
      </c>
      <c r="F315" s="362">
        <f t="shared" si="33"/>
        <v>0.14751499370450769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729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730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731</v>
      </c>
      <c r="C318" s="353">
        <f>C314+C315+C316</f>
        <v>3357866.6138388701</v>
      </c>
      <c r="D318" s="353">
        <f>D314+D315+D316</f>
        <v>3276867.4231990147</v>
      </c>
      <c r="E318" s="353">
        <f>D318-C318</f>
        <v>-80999.19063985534</v>
      </c>
      <c r="F318" s="362">
        <f>IF(C318=0,0,E318/C318)</f>
        <v>-2.4122218049410032E-2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732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983733.19542212086</v>
      </c>
      <c r="D322" s="353">
        <f>LN_ID22</f>
        <v>1320341.2068919416</v>
      </c>
      <c r="E322" s="353">
        <f>LN_IV2-C322</f>
        <v>336608.01146982075</v>
      </c>
      <c r="F322" s="362">
        <f>IF(C322=0,0,E322/C322)</f>
        <v>0.34217409053212028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718</v>
      </c>
      <c r="C323" s="353">
        <f>C162+C176</f>
        <v>123784.40844023635</v>
      </c>
      <c r="D323" s="353">
        <f>LN_IE10+LN_IE22</f>
        <v>-158382.02030267337</v>
      </c>
      <c r="E323" s="353">
        <f>LN_IV3-C323</f>
        <v>-282166.42874290969</v>
      </c>
      <c r="F323" s="362">
        <f>IF(C323=0,0,E323/C323)</f>
        <v>-2.2794989473907843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733</v>
      </c>
      <c r="C324" s="353">
        <f>C92+C106</f>
        <v>1481898.0753318528</v>
      </c>
      <c r="D324" s="353">
        <f>LN_IC10+LN_IC22</f>
        <v>1333604.1402819732</v>
      </c>
      <c r="E324" s="353">
        <f>LN_IV1-C324</f>
        <v>-148293.9350498796</v>
      </c>
      <c r="F324" s="362">
        <f>IF(C324=0,0,E324/C324)</f>
        <v>-0.10007026631482129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734</v>
      </c>
      <c r="C325" s="429">
        <f>C324+C322+C323</f>
        <v>2589415.6791942101</v>
      </c>
      <c r="D325" s="429">
        <f>LN_IV1+LN_IV2+LN_IV3</f>
        <v>2495563.3268712414</v>
      </c>
      <c r="E325" s="353">
        <f>LN_IV4-C325</f>
        <v>-93852.352322968654</v>
      </c>
      <c r="F325" s="362">
        <f>IF(C325=0,0,E325/C325)</f>
        <v>-3.624460648673225E-2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735</v>
      </c>
      <c r="B327" s="446" t="s">
        <v>736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737</v>
      </c>
      <c r="C329" s="431">
        <v>0</v>
      </c>
      <c r="D329" s="431">
        <v>0</v>
      </c>
      <c r="E329" s="431">
        <f t="shared" ref="E329:E335" si="34">D329-C329</f>
        <v>0</v>
      </c>
      <c r="F329" s="462">
        <f t="shared" ref="F329:F335" si="35">IF(C329=0,0,E329/C329)</f>
        <v>0</v>
      </c>
    </row>
    <row r="330" spans="1:22" s="333" customFormat="1" ht="11.25" customHeight="1" x14ac:dyDescent="0.2">
      <c r="A330" s="364">
        <v>2</v>
      </c>
      <c r="B330" s="360" t="s">
        <v>738</v>
      </c>
      <c r="C330" s="429">
        <v>3065190</v>
      </c>
      <c r="D330" s="429">
        <v>2879520</v>
      </c>
      <c r="E330" s="431">
        <f t="shared" si="34"/>
        <v>-185670</v>
      </c>
      <c r="F330" s="463">
        <f t="shared" si="35"/>
        <v>-6.0573732786548304E-2</v>
      </c>
    </row>
    <row r="331" spans="1:22" s="333" customFormat="1" ht="11.25" customHeight="1" x14ac:dyDescent="0.2">
      <c r="A331" s="339">
        <v>3</v>
      </c>
      <c r="B331" s="360" t="s">
        <v>739</v>
      </c>
      <c r="C331" s="429">
        <v>88396564</v>
      </c>
      <c r="D331" s="429">
        <v>90588107</v>
      </c>
      <c r="E331" s="431">
        <f t="shared" si="34"/>
        <v>2191543</v>
      </c>
      <c r="F331" s="462">
        <f t="shared" si="35"/>
        <v>2.4792174048756013E-2</v>
      </c>
    </row>
    <row r="332" spans="1:22" s="333" customFormat="1" ht="11.25" customHeight="1" x14ac:dyDescent="0.2">
      <c r="A332" s="364">
        <v>4</v>
      </c>
      <c r="B332" s="360" t="s">
        <v>740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741</v>
      </c>
      <c r="C333" s="429">
        <v>240127700</v>
      </c>
      <c r="D333" s="429">
        <v>238485898</v>
      </c>
      <c r="E333" s="431">
        <f t="shared" si="34"/>
        <v>-1641802</v>
      </c>
      <c r="F333" s="462">
        <f t="shared" si="35"/>
        <v>-6.8372037045288823E-3</v>
      </c>
    </row>
    <row r="334" spans="1:22" s="333" customFormat="1" ht="11.25" customHeight="1" x14ac:dyDescent="0.2">
      <c r="A334" s="339">
        <v>6</v>
      </c>
      <c r="B334" s="360" t="s">
        <v>742</v>
      </c>
      <c r="C334" s="429">
        <v>386008</v>
      </c>
      <c r="D334" s="429">
        <v>850055</v>
      </c>
      <c r="E334" s="429">
        <f t="shared" si="34"/>
        <v>464047</v>
      </c>
      <c r="F334" s="463">
        <f t="shared" si="35"/>
        <v>1.2021693850904644</v>
      </c>
    </row>
    <row r="335" spans="1:22" s="333" customFormat="1" ht="11.25" customHeight="1" x14ac:dyDescent="0.2">
      <c r="A335" s="364">
        <v>7</v>
      </c>
      <c r="B335" s="360" t="s">
        <v>743</v>
      </c>
      <c r="C335" s="429">
        <v>5659983</v>
      </c>
      <c r="D335" s="429">
        <v>5130635</v>
      </c>
      <c r="E335" s="429">
        <f t="shared" si="34"/>
        <v>-529348</v>
      </c>
      <c r="F335" s="462">
        <f t="shared" si="35"/>
        <v>-9.3524662529905128E-2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FILING&amp;RNEW MILFORD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7.140625" style="330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596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744</v>
      </c>
      <c r="B5" s="710"/>
      <c r="C5" s="710"/>
      <c r="D5" s="710"/>
      <c r="E5" s="710"/>
    </row>
    <row r="6" spans="1:5" s="338" customFormat="1" ht="15.75" customHeight="1" x14ac:dyDescent="0.25">
      <c r="A6" s="710" t="s">
        <v>745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746</v>
      </c>
      <c r="D9" s="494" t="s">
        <v>747</v>
      </c>
      <c r="E9" s="495" t="s">
        <v>748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749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750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626</v>
      </c>
      <c r="C14" s="513">
        <v>26363581</v>
      </c>
      <c r="D14" s="513">
        <v>23894322</v>
      </c>
      <c r="E14" s="514">
        <f t="shared" ref="E14:E22" si="0">D14-C14</f>
        <v>-2469259</v>
      </c>
    </row>
    <row r="15" spans="1:5" s="506" customFormat="1" x14ac:dyDescent="0.2">
      <c r="A15" s="512">
        <v>2</v>
      </c>
      <c r="B15" s="511" t="s">
        <v>605</v>
      </c>
      <c r="C15" s="513">
        <v>38429316</v>
      </c>
      <c r="D15" s="515">
        <v>38481431</v>
      </c>
      <c r="E15" s="514">
        <f t="shared" si="0"/>
        <v>52115</v>
      </c>
    </row>
    <row r="16" spans="1:5" s="506" customFormat="1" x14ac:dyDescent="0.2">
      <c r="A16" s="512">
        <v>3</v>
      </c>
      <c r="B16" s="511" t="s">
        <v>751</v>
      </c>
      <c r="C16" s="513">
        <v>5369480</v>
      </c>
      <c r="D16" s="515">
        <v>4899736</v>
      </c>
      <c r="E16" s="514">
        <f t="shared" si="0"/>
        <v>-469744</v>
      </c>
    </row>
    <row r="17" spans="1:5" s="506" customFormat="1" x14ac:dyDescent="0.2">
      <c r="A17" s="512">
        <v>4</v>
      </c>
      <c r="B17" s="511" t="s">
        <v>114</v>
      </c>
      <c r="C17" s="513">
        <v>4407849</v>
      </c>
      <c r="D17" s="515">
        <v>4404387</v>
      </c>
      <c r="E17" s="514">
        <f t="shared" si="0"/>
        <v>-3462</v>
      </c>
    </row>
    <row r="18" spans="1:5" s="506" customFormat="1" x14ac:dyDescent="0.2">
      <c r="A18" s="512">
        <v>5</v>
      </c>
      <c r="B18" s="511" t="s">
        <v>718</v>
      </c>
      <c r="C18" s="513">
        <v>961631</v>
      </c>
      <c r="D18" s="515">
        <v>495349</v>
      </c>
      <c r="E18" s="514">
        <f t="shared" si="0"/>
        <v>-466282</v>
      </c>
    </row>
    <row r="19" spans="1:5" s="506" customFormat="1" x14ac:dyDescent="0.2">
      <c r="A19" s="512">
        <v>6</v>
      </c>
      <c r="B19" s="511" t="s">
        <v>418</v>
      </c>
      <c r="C19" s="513">
        <v>103220</v>
      </c>
      <c r="D19" s="515">
        <v>206461</v>
      </c>
      <c r="E19" s="514">
        <f t="shared" si="0"/>
        <v>103241</v>
      </c>
    </row>
    <row r="20" spans="1:5" s="506" customFormat="1" x14ac:dyDescent="0.2">
      <c r="A20" s="512">
        <v>7</v>
      </c>
      <c r="B20" s="511" t="s">
        <v>733</v>
      </c>
      <c r="C20" s="513">
        <v>947053</v>
      </c>
      <c r="D20" s="515">
        <v>817818</v>
      </c>
      <c r="E20" s="514">
        <f t="shared" si="0"/>
        <v>-129235</v>
      </c>
    </row>
    <row r="21" spans="1:5" s="506" customFormat="1" x14ac:dyDescent="0.2">
      <c r="A21" s="512"/>
      <c r="B21" s="516" t="s">
        <v>752</v>
      </c>
      <c r="C21" s="517">
        <f>SUM(C15+C16+C19)</f>
        <v>43902016</v>
      </c>
      <c r="D21" s="517">
        <f>SUM(D15+D16+D19)</f>
        <v>43587628</v>
      </c>
      <c r="E21" s="517">
        <f t="shared" si="0"/>
        <v>-314388</v>
      </c>
    </row>
    <row r="22" spans="1:5" s="506" customFormat="1" x14ac:dyDescent="0.2">
      <c r="A22" s="512"/>
      <c r="B22" s="516" t="s">
        <v>692</v>
      </c>
      <c r="C22" s="517">
        <f>SUM(C14+C21)</f>
        <v>70265597</v>
      </c>
      <c r="D22" s="517">
        <f>SUM(D14+D21)</f>
        <v>67481950</v>
      </c>
      <c r="E22" s="517">
        <f t="shared" si="0"/>
        <v>-2783647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753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626</v>
      </c>
      <c r="C25" s="513">
        <v>89492748</v>
      </c>
      <c r="D25" s="513">
        <v>91515148</v>
      </c>
      <c r="E25" s="514">
        <f t="shared" ref="E25:E33" si="1">D25-C25</f>
        <v>2022400</v>
      </c>
    </row>
    <row r="26" spans="1:5" s="506" customFormat="1" x14ac:dyDescent="0.2">
      <c r="A26" s="512">
        <v>2</v>
      </c>
      <c r="B26" s="511" t="s">
        <v>605</v>
      </c>
      <c r="C26" s="513">
        <v>68832746</v>
      </c>
      <c r="D26" s="515">
        <v>63832303</v>
      </c>
      <c r="E26" s="514">
        <f t="shared" si="1"/>
        <v>-5000443</v>
      </c>
    </row>
    <row r="27" spans="1:5" s="506" customFormat="1" x14ac:dyDescent="0.2">
      <c r="A27" s="512">
        <v>3</v>
      </c>
      <c r="B27" s="511" t="s">
        <v>751</v>
      </c>
      <c r="C27" s="513">
        <v>11235892</v>
      </c>
      <c r="D27" s="515">
        <v>15380058</v>
      </c>
      <c r="E27" s="514">
        <f t="shared" si="1"/>
        <v>4144166</v>
      </c>
    </row>
    <row r="28" spans="1:5" s="506" customFormat="1" x14ac:dyDescent="0.2">
      <c r="A28" s="512">
        <v>4</v>
      </c>
      <c r="B28" s="511" t="s">
        <v>114</v>
      </c>
      <c r="C28" s="513">
        <v>10470053</v>
      </c>
      <c r="D28" s="515">
        <v>14993613</v>
      </c>
      <c r="E28" s="514">
        <f t="shared" si="1"/>
        <v>4523560</v>
      </c>
    </row>
    <row r="29" spans="1:5" s="506" customFormat="1" x14ac:dyDescent="0.2">
      <c r="A29" s="512">
        <v>5</v>
      </c>
      <c r="B29" s="511" t="s">
        <v>718</v>
      </c>
      <c r="C29" s="513">
        <v>765839</v>
      </c>
      <c r="D29" s="515">
        <v>386445</v>
      </c>
      <c r="E29" s="514">
        <f t="shared" si="1"/>
        <v>-379394</v>
      </c>
    </row>
    <row r="30" spans="1:5" s="506" customFormat="1" x14ac:dyDescent="0.2">
      <c r="A30" s="512">
        <v>6</v>
      </c>
      <c r="B30" s="511" t="s">
        <v>418</v>
      </c>
      <c r="C30" s="513">
        <v>300717</v>
      </c>
      <c r="D30" s="515">
        <v>276437</v>
      </c>
      <c r="E30" s="514">
        <f t="shared" si="1"/>
        <v>-24280</v>
      </c>
    </row>
    <row r="31" spans="1:5" s="506" customFormat="1" x14ac:dyDescent="0.2">
      <c r="A31" s="512">
        <v>7</v>
      </c>
      <c r="B31" s="511" t="s">
        <v>733</v>
      </c>
      <c r="C31" s="514">
        <v>4062137</v>
      </c>
      <c r="D31" s="518">
        <v>3882484</v>
      </c>
      <c r="E31" s="514">
        <f t="shared" si="1"/>
        <v>-179653</v>
      </c>
    </row>
    <row r="32" spans="1:5" s="506" customFormat="1" x14ac:dyDescent="0.2">
      <c r="A32" s="512"/>
      <c r="B32" s="516" t="s">
        <v>754</v>
      </c>
      <c r="C32" s="517">
        <f>SUM(C26+C27+C30)</f>
        <v>80369355</v>
      </c>
      <c r="D32" s="517">
        <f>SUM(D26+D27+D30)</f>
        <v>79488798</v>
      </c>
      <c r="E32" s="517">
        <f t="shared" si="1"/>
        <v>-880557</v>
      </c>
    </row>
    <row r="33" spans="1:5" s="506" customFormat="1" x14ac:dyDescent="0.2">
      <c r="A33" s="512"/>
      <c r="B33" s="516" t="s">
        <v>698</v>
      </c>
      <c r="C33" s="517">
        <f>SUM(C25+C32)</f>
        <v>169862103</v>
      </c>
      <c r="D33" s="517">
        <f>SUM(D25+D32)</f>
        <v>171003946</v>
      </c>
      <c r="E33" s="517">
        <f t="shared" si="1"/>
        <v>1141843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623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755</v>
      </c>
      <c r="C36" s="514">
        <f t="shared" ref="C36:D42" si="2">C14+C25</f>
        <v>115856329</v>
      </c>
      <c r="D36" s="514">
        <f t="shared" si="2"/>
        <v>115409470</v>
      </c>
      <c r="E36" s="514">
        <f t="shared" ref="E36:E44" si="3">D36-C36</f>
        <v>-446859</v>
      </c>
    </row>
    <row r="37" spans="1:5" s="506" customFormat="1" x14ac:dyDescent="0.2">
      <c r="A37" s="512">
        <v>2</v>
      </c>
      <c r="B37" s="511" t="s">
        <v>756</v>
      </c>
      <c r="C37" s="514">
        <f t="shared" si="2"/>
        <v>107262062</v>
      </c>
      <c r="D37" s="514">
        <f t="shared" si="2"/>
        <v>102313734</v>
      </c>
      <c r="E37" s="514">
        <f t="shared" si="3"/>
        <v>-4948328</v>
      </c>
    </row>
    <row r="38" spans="1:5" s="506" customFormat="1" x14ac:dyDescent="0.2">
      <c r="A38" s="512">
        <v>3</v>
      </c>
      <c r="B38" s="511" t="s">
        <v>757</v>
      </c>
      <c r="C38" s="514">
        <f t="shared" si="2"/>
        <v>16605372</v>
      </c>
      <c r="D38" s="514">
        <f t="shared" si="2"/>
        <v>20279794</v>
      </c>
      <c r="E38" s="514">
        <f t="shared" si="3"/>
        <v>3674422</v>
      </c>
    </row>
    <row r="39" spans="1:5" s="506" customFormat="1" x14ac:dyDescent="0.2">
      <c r="A39" s="512">
        <v>4</v>
      </c>
      <c r="B39" s="511" t="s">
        <v>758</v>
      </c>
      <c r="C39" s="514">
        <f t="shared" si="2"/>
        <v>14877902</v>
      </c>
      <c r="D39" s="514">
        <f t="shared" si="2"/>
        <v>19398000</v>
      </c>
      <c r="E39" s="514">
        <f t="shared" si="3"/>
        <v>4520098</v>
      </c>
    </row>
    <row r="40" spans="1:5" s="506" customFormat="1" x14ac:dyDescent="0.2">
      <c r="A40" s="512">
        <v>5</v>
      </c>
      <c r="B40" s="511" t="s">
        <v>759</v>
      </c>
      <c r="C40" s="514">
        <f t="shared" si="2"/>
        <v>1727470</v>
      </c>
      <c r="D40" s="514">
        <f t="shared" si="2"/>
        <v>881794</v>
      </c>
      <c r="E40" s="514">
        <f t="shared" si="3"/>
        <v>-845676</v>
      </c>
    </row>
    <row r="41" spans="1:5" s="506" customFormat="1" x14ac:dyDescent="0.2">
      <c r="A41" s="512">
        <v>6</v>
      </c>
      <c r="B41" s="511" t="s">
        <v>760</v>
      </c>
      <c r="C41" s="514">
        <f t="shared" si="2"/>
        <v>403937</v>
      </c>
      <c r="D41" s="514">
        <f t="shared" si="2"/>
        <v>482898</v>
      </c>
      <c r="E41" s="514">
        <f t="shared" si="3"/>
        <v>78961</v>
      </c>
    </row>
    <row r="42" spans="1:5" s="506" customFormat="1" x14ac:dyDescent="0.2">
      <c r="A42" s="512">
        <v>7</v>
      </c>
      <c r="B42" s="511" t="s">
        <v>761</v>
      </c>
      <c r="C42" s="514">
        <f t="shared" si="2"/>
        <v>5009190</v>
      </c>
      <c r="D42" s="514">
        <f t="shared" si="2"/>
        <v>4700302</v>
      </c>
      <c r="E42" s="514">
        <f t="shared" si="3"/>
        <v>-308888</v>
      </c>
    </row>
    <row r="43" spans="1:5" s="506" customFormat="1" x14ac:dyDescent="0.2">
      <c r="A43" s="512"/>
      <c r="B43" s="516" t="s">
        <v>762</v>
      </c>
      <c r="C43" s="517">
        <f>SUM(C37+C38+C41)</f>
        <v>124271371</v>
      </c>
      <c r="D43" s="517">
        <f>SUM(D37+D38+D41)</f>
        <v>123076426</v>
      </c>
      <c r="E43" s="517">
        <f t="shared" si="3"/>
        <v>-1194945</v>
      </c>
    </row>
    <row r="44" spans="1:5" s="506" customFormat="1" x14ac:dyDescent="0.2">
      <c r="A44" s="512"/>
      <c r="B44" s="516" t="s">
        <v>700</v>
      </c>
      <c r="C44" s="517">
        <f>SUM(C36+C43)</f>
        <v>240127700</v>
      </c>
      <c r="D44" s="517">
        <f>SUM(D36+D43)</f>
        <v>238485896</v>
      </c>
      <c r="E44" s="517">
        <f t="shared" si="3"/>
        <v>-1641804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321</v>
      </c>
      <c r="B46" s="509" t="s">
        <v>763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626</v>
      </c>
      <c r="C47" s="513">
        <v>10576634</v>
      </c>
      <c r="D47" s="513">
        <v>10028493</v>
      </c>
      <c r="E47" s="514">
        <f t="shared" ref="E47:E55" si="4">D47-C47</f>
        <v>-548141</v>
      </c>
    </row>
    <row r="48" spans="1:5" s="506" customFormat="1" x14ac:dyDescent="0.2">
      <c r="A48" s="512">
        <v>2</v>
      </c>
      <c r="B48" s="511" t="s">
        <v>605</v>
      </c>
      <c r="C48" s="513">
        <v>12568177</v>
      </c>
      <c r="D48" s="515">
        <v>12616044</v>
      </c>
      <c r="E48" s="514">
        <f t="shared" si="4"/>
        <v>47867</v>
      </c>
    </row>
    <row r="49" spans="1:5" s="506" customFormat="1" x14ac:dyDescent="0.2">
      <c r="A49" s="512">
        <v>3</v>
      </c>
      <c r="B49" s="511" t="s">
        <v>751</v>
      </c>
      <c r="C49" s="513">
        <v>1413992</v>
      </c>
      <c r="D49" s="515">
        <v>1592407</v>
      </c>
      <c r="E49" s="514">
        <f t="shared" si="4"/>
        <v>178415</v>
      </c>
    </row>
    <row r="50" spans="1:5" s="506" customFormat="1" x14ac:dyDescent="0.2">
      <c r="A50" s="512">
        <v>4</v>
      </c>
      <c r="B50" s="511" t="s">
        <v>114</v>
      </c>
      <c r="C50" s="513">
        <v>1217702</v>
      </c>
      <c r="D50" s="515">
        <v>1436686</v>
      </c>
      <c r="E50" s="514">
        <f t="shared" si="4"/>
        <v>218984</v>
      </c>
    </row>
    <row r="51" spans="1:5" s="506" customFormat="1" x14ac:dyDescent="0.2">
      <c r="A51" s="512">
        <v>5</v>
      </c>
      <c r="B51" s="511" t="s">
        <v>718</v>
      </c>
      <c r="C51" s="513">
        <v>196290</v>
      </c>
      <c r="D51" s="515">
        <v>155721</v>
      </c>
      <c r="E51" s="514">
        <f t="shared" si="4"/>
        <v>-40569</v>
      </c>
    </row>
    <row r="52" spans="1:5" s="506" customFormat="1" x14ac:dyDescent="0.2">
      <c r="A52" s="512">
        <v>6</v>
      </c>
      <c r="B52" s="511" t="s">
        <v>418</v>
      </c>
      <c r="C52" s="513">
        <v>23033</v>
      </c>
      <c r="D52" s="515">
        <v>41553</v>
      </c>
      <c r="E52" s="514">
        <f t="shared" si="4"/>
        <v>18520</v>
      </c>
    </row>
    <row r="53" spans="1:5" s="506" customFormat="1" x14ac:dyDescent="0.2">
      <c r="A53" s="512">
        <v>7</v>
      </c>
      <c r="B53" s="511" t="s">
        <v>733</v>
      </c>
      <c r="C53" s="513">
        <v>51906</v>
      </c>
      <c r="D53" s="515">
        <v>73029</v>
      </c>
      <c r="E53" s="514">
        <f t="shared" si="4"/>
        <v>21123</v>
      </c>
    </row>
    <row r="54" spans="1:5" s="506" customFormat="1" x14ac:dyDescent="0.2">
      <c r="A54" s="512"/>
      <c r="B54" s="516" t="s">
        <v>764</v>
      </c>
      <c r="C54" s="517">
        <f>SUM(C48+C49+C52)</f>
        <v>14005202</v>
      </c>
      <c r="D54" s="517">
        <f>SUM(D48+D49+D52)</f>
        <v>14250004</v>
      </c>
      <c r="E54" s="517">
        <f t="shared" si="4"/>
        <v>244802</v>
      </c>
    </row>
    <row r="55" spans="1:5" s="506" customFormat="1" x14ac:dyDescent="0.2">
      <c r="A55" s="512"/>
      <c r="B55" s="516" t="s">
        <v>693</v>
      </c>
      <c r="C55" s="517">
        <f>SUM(C47+C54)</f>
        <v>24581836</v>
      </c>
      <c r="D55" s="517">
        <f>SUM(D47+D54)</f>
        <v>24278497</v>
      </c>
      <c r="E55" s="517">
        <f t="shared" si="4"/>
        <v>-303339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342</v>
      </c>
      <c r="B57" s="509" t="s">
        <v>765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626</v>
      </c>
      <c r="C58" s="513">
        <v>44048867</v>
      </c>
      <c r="D58" s="513">
        <v>45869212</v>
      </c>
      <c r="E58" s="514">
        <f t="shared" ref="E58:E66" si="5">D58-C58</f>
        <v>1820345</v>
      </c>
    </row>
    <row r="59" spans="1:5" s="506" customFormat="1" x14ac:dyDescent="0.2">
      <c r="A59" s="512">
        <v>2</v>
      </c>
      <c r="B59" s="511" t="s">
        <v>605</v>
      </c>
      <c r="C59" s="513">
        <v>13272075</v>
      </c>
      <c r="D59" s="515">
        <v>13327218</v>
      </c>
      <c r="E59" s="514">
        <f t="shared" si="5"/>
        <v>55143</v>
      </c>
    </row>
    <row r="60" spans="1:5" s="506" customFormat="1" x14ac:dyDescent="0.2">
      <c r="A60" s="512">
        <v>3</v>
      </c>
      <c r="B60" s="511" t="s">
        <v>751</v>
      </c>
      <c r="C60" s="513">
        <f>C61+C62</f>
        <v>3003145</v>
      </c>
      <c r="D60" s="515">
        <f>D61+D62</f>
        <v>4163359</v>
      </c>
      <c r="E60" s="514">
        <f t="shared" si="5"/>
        <v>1160214</v>
      </c>
    </row>
    <row r="61" spans="1:5" s="506" customFormat="1" x14ac:dyDescent="0.2">
      <c r="A61" s="512">
        <v>4</v>
      </c>
      <c r="B61" s="511" t="s">
        <v>114</v>
      </c>
      <c r="C61" s="513">
        <v>2816920</v>
      </c>
      <c r="D61" s="515">
        <v>4063148</v>
      </c>
      <c r="E61" s="514">
        <f t="shared" si="5"/>
        <v>1246228</v>
      </c>
    </row>
    <row r="62" spans="1:5" s="506" customFormat="1" x14ac:dyDescent="0.2">
      <c r="A62" s="512">
        <v>5</v>
      </c>
      <c r="B62" s="511" t="s">
        <v>718</v>
      </c>
      <c r="C62" s="513">
        <v>186225</v>
      </c>
      <c r="D62" s="515">
        <v>100211</v>
      </c>
      <c r="E62" s="514">
        <f t="shared" si="5"/>
        <v>-86014</v>
      </c>
    </row>
    <row r="63" spans="1:5" s="506" customFormat="1" x14ac:dyDescent="0.2">
      <c r="A63" s="512">
        <v>6</v>
      </c>
      <c r="B63" s="511" t="s">
        <v>418</v>
      </c>
      <c r="C63" s="513">
        <v>74027</v>
      </c>
      <c r="D63" s="515">
        <v>70301</v>
      </c>
      <c r="E63" s="514">
        <f t="shared" si="5"/>
        <v>-3726</v>
      </c>
    </row>
    <row r="64" spans="1:5" s="506" customFormat="1" x14ac:dyDescent="0.2">
      <c r="A64" s="512">
        <v>7</v>
      </c>
      <c r="B64" s="511" t="s">
        <v>733</v>
      </c>
      <c r="C64" s="513">
        <v>222636</v>
      </c>
      <c r="D64" s="515">
        <v>346693</v>
      </c>
      <c r="E64" s="514">
        <f t="shared" si="5"/>
        <v>124057</v>
      </c>
    </row>
    <row r="65" spans="1:5" s="506" customFormat="1" x14ac:dyDescent="0.2">
      <c r="A65" s="512"/>
      <c r="B65" s="516" t="s">
        <v>766</v>
      </c>
      <c r="C65" s="517">
        <f>SUM(C59+C60+C63)</f>
        <v>16349247</v>
      </c>
      <c r="D65" s="517">
        <f>SUM(D59+D60+D63)</f>
        <v>17560878</v>
      </c>
      <c r="E65" s="517">
        <f t="shared" si="5"/>
        <v>1211631</v>
      </c>
    </row>
    <row r="66" spans="1:5" s="506" customFormat="1" x14ac:dyDescent="0.2">
      <c r="A66" s="512"/>
      <c r="B66" s="516" t="s">
        <v>699</v>
      </c>
      <c r="C66" s="517">
        <f>SUM(C58+C65)</f>
        <v>60398114</v>
      </c>
      <c r="D66" s="517">
        <f>SUM(D58+D65)</f>
        <v>63430090</v>
      </c>
      <c r="E66" s="517">
        <f t="shared" si="5"/>
        <v>3031976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354</v>
      </c>
      <c r="B68" s="521" t="s">
        <v>624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755</v>
      </c>
      <c r="C69" s="514">
        <f t="shared" ref="C69:D75" si="6">C47+C58</f>
        <v>54625501</v>
      </c>
      <c r="D69" s="514">
        <f t="shared" si="6"/>
        <v>55897705</v>
      </c>
      <c r="E69" s="514">
        <f t="shared" ref="E69:E77" si="7">D69-C69</f>
        <v>1272204</v>
      </c>
    </row>
    <row r="70" spans="1:5" s="506" customFormat="1" x14ac:dyDescent="0.2">
      <c r="A70" s="512">
        <v>2</v>
      </c>
      <c r="B70" s="511" t="s">
        <v>756</v>
      </c>
      <c r="C70" s="514">
        <f t="shared" si="6"/>
        <v>25840252</v>
      </c>
      <c r="D70" s="514">
        <f t="shared" si="6"/>
        <v>25943262</v>
      </c>
      <c r="E70" s="514">
        <f t="shared" si="7"/>
        <v>103010</v>
      </c>
    </row>
    <row r="71" spans="1:5" s="506" customFormat="1" x14ac:dyDescent="0.2">
      <c r="A71" s="512">
        <v>3</v>
      </c>
      <c r="B71" s="511" t="s">
        <v>757</v>
      </c>
      <c r="C71" s="514">
        <f t="shared" si="6"/>
        <v>4417137</v>
      </c>
      <c r="D71" s="514">
        <f t="shared" si="6"/>
        <v>5755766</v>
      </c>
      <c r="E71" s="514">
        <f t="shared" si="7"/>
        <v>1338629</v>
      </c>
    </row>
    <row r="72" spans="1:5" s="506" customFormat="1" x14ac:dyDescent="0.2">
      <c r="A72" s="512">
        <v>4</v>
      </c>
      <c r="B72" s="511" t="s">
        <v>758</v>
      </c>
      <c r="C72" s="514">
        <f t="shared" si="6"/>
        <v>4034622</v>
      </c>
      <c r="D72" s="514">
        <f t="shared" si="6"/>
        <v>5499834</v>
      </c>
      <c r="E72" s="514">
        <f t="shared" si="7"/>
        <v>1465212</v>
      </c>
    </row>
    <row r="73" spans="1:5" s="506" customFormat="1" x14ac:dyDescent="0.2">
      <c r="A73" s="512">
        <v>5</v>
      </c>
      <c r="B73" s="511" t="s">
        <v>759</v>
      </c>
      <c r="C73" s="514">
        <f t="shared" si="6"/>
        <v>382515</v>
      </c>
      <c r="D73" s="514">
        <f t="shared" si="6"/>
        <v>255932</v>
      </c>
      <c r="E73" s="514">
        <f t="shared" si="7"/>
        <v>-126583</v>
      </c>
    </row>
    <row r="74" spans="1:5" s="506" customFormat="1" x14ac:dyDescent="0.2">
      <c r="A74" s="512">
        <v>6</v>
      </c>
      <c r="B74" s="511" t="s">
        <v>760</v>
      </c>
      <c r="C74" s="514">
        <f t="shared" si="6"/>
        <v>97060</v>
      </c>
      <c r="D74" s="514">
        <f t="shared" si="6"/>
        <v>111854</v>
      </c>
      <c r="E74" s="514">
        <f t="shared" si="7"/>
        <v>14794</v>
      </c>
    </row>
    <row r="75" spans="1:5" s="506" customFormat="1" x14ac:dyDescent="0.2">
      <c r="A75" s="512">
        <v>7</v>
      </c>
      <c r="B75" s="511" t="s">
        <v>761</v>
      </c>
      <c r="C75" s="514">
        <f t="shared" si="6"/>
        <v>274542</v>
      </c>
      <c r="D75" s="514">
        <f t="shared" si="6"/>
        <v>419722</v>
      </c>
      <c r="E75" s="514">
        <f t="shared" si="7"/>
        <v>145180</v>
      </c>
    </row>
    <row r="76" spans="1:5" s="506" customFormat="1" x14ac:dyDescent="0.2">
      <c r="A76" s="512"/>
      <c r="B76" s="516" t="s">
        <v>767</v>
      </c>
      <c r="C76" s="517">
        <f>SUM(C70+C71+C74)</f>
        <v>30354449</v>
      </c>
      <c r="D76" s="517">
        <f>SUM(D70+D71+D74)</f>
        <v>31810882</v>
      </c>
      <c r="E76" s="517">
        <f t="shared" si="7"/>
        <v>1456433</v>
      </c>
    </row>
    <row r="77" spans="1:5" s="506" customFormat="1" x14ac:dyDescent="0.2">
      <c r="A77" s="512"/>
      <c r="B77" s="516" t="s">
        <v>701</v>
      </c>
      <c r="C77" s="517">
        <f>SUM(C69+C76)</f>
        <v>84979950</v>
      </c>
      <c r="D77" s="517">
        <f>SUM(D69+D76)</f>
        <v>87708587</v>
      </c>
      <c r="E77" s="517">
        <f t="shared" si="7"/>
        <v>2728637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768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769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626</v>
      </c>
      <c r="C83" s="523">
        <f t="shared" ref="C83:D89" si="8">IF(C$44=0,0,C14/C$44)</f>
        <v>0.10978983682432306</v>
      </c>
      <c r="D83" s="523">
        <f t="shared" si="8"/>
        <v>0.10019176144487807</v>
      </c>
      <c r="E83" s="523">
        <f t="shared" ref="E83:E91" si="9">D83-C83</f>
        <v>-9.5980753794449869E-3</v>
      </c>
    </row>
    <row r="84" spans="1:5" s="506" customFormat="1" x14ac:dyDescent="0.2">
      <c r="A84" s="512">
        <v>2</v>
      </c>
      <c r="B84" s="511" t="s">
        <v>605</v>
      </c>
      <c r="C84" s="523">
        <f t="shared" si="8"/>
        <v>0.16003699698118959</v>
      </c>
      <c r="D84" s="523">
        <f t="shared" si="8"/>
        <v>0.16135726114386237</v>
      </c>
      <c r="E84" s="523">
        <f t="shared" si="9"/>
        <v>1.3202641626727796E-3</v>
      </c>
    </row>
    <row r="85" spans="1:5" s="506" customFormat="1" x14ac:dyDescent="0.2">
      <c r="A85" s="512">
        <v>3</v>
      </c>
      <c r="B85" s="511" t="s">
        <v>751</v>
      </c>
      <c r="C85" s="523">
        <f t="shared" si="8"/>
        <v>2.2360935452261442E-2</v>
      </c>
      <c r="D85" s="523">
        <f t="shared" si="8"/>
        <v>2.0545181422384828E-2</v>
      </c>
      <c r="E85" s="523">
        <f t="shared" si="9"/>
        <v>-1.8157540298766144E-3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1.8356270434439676E-2</v>
      </c>
      <c r="D86" s="523">
        <f t="shared" si="8"/>
        <v>1.846812358245286E-2</v>
      </c>
      <c r="E86" s="523">
        <f t="shared" si="9"/>
        <v>1.1185314801318361E-4</v>
      </c>
    </row>
    <row r="87" spans="1:5" s="506" customFormat="1" x14ac:dyDescent="0.2">
      <c r="A87" s="512">
        <v>5</v>
      </c>
      <c r="B87" s="511" t="s">
        <v>718</v>
      </c>
      <c r="C87" s="523">
        <f t="shared" si="8"/>
        <v>4.0046650178217676E-3</v>
      </c>
      <c r="D87" s="523">
        <f t="shared" si="8"/>
        <v>2.0770578399319679E-3</v>
      </c>
      <c r="E87" s="523">
        <f t="shared" si="9"/>
        <v>-1.9276071778897997E-3</v>
      </c>
    </row>
    <row r="88" spans="1:5" s="506" customFormat="1" x14ac:dyDescent="0.2">
      <c r="A88" s="512">
        <v>6</v>
      </c>
      <c r="B88" s="511" t="s">
        <v>418</v>
      </c>
      <c r="C88" s="523">
        <f t="shared" si="8"/>
        <v>4.2985461485701152E-4</v>
      </c>
      <c r="D88" s="523">
        <f t="shared" si="8"/>
        <v>8.6571576543042193E-4</v>
      </c>
      <c r="E88" s="523">
        <f t="shared" si="9"/>
        <v>4.3586115057341041E-4</v>
      </c>
    </row>
    <row r="89" spans="1:5" s="506" customFormat="1" x14ac:dyDescent="0.2">
      <c r="A89" s="512">
        <v>7</v>
      </c>
      <c r="B89" s="511" t="s">
        <v>733</v>
      </c>
      <c r="C89" s="523">
        <f t="shared" si="8"/>
        <v>3.9439556535959827E-3</v>
      </c>
      <c r="D89" s="523">
        <f t="shared" si="8"/>
        <v>3.4292090799365343E-3</v>
      </c>
      <c r="E89" s="523">
        <f t="shared" si="9"/>
        <v>-5.1474657365944846E-4</v>
      </c>
    </row>
    <row r="90" spans="1:5" s="506" customFormat="1" x14ac:dyDescent="0.2">
      <c r="A90" s="512"/>
      <c r="B90" s="516" t="s">
        <v>770</v>
      </c>
      <c r="C90" s="524">
        <f>SUM(C84+C85+C88)</f>
        <v>0.18282778704830804</v>
      </c>
      <c r="D90" s="524">
        <f>SUM(D84+D85+D88)</f>
        <v>0.18276815833167762</v>
      </c>
      <c r="E90" s="525">
        <f t="shared" si="9"/>
        <v>-5.9628716630427681E-5</v>
      </c>
    </row>
    <row r="91" spans="1:5" s="506" customFormat="1" x14ac:dyDescent="0.2">
      <c r="A91" s="512"/>
      <c r="B91" s="516" t="s">
        <v>771</v>
      </c>
      <c r="C91" s="524">
        <f>SUM(C83+C90)</f>
        <v>0.29261762387263113</v>
      </c>
      <c r="D91" s="524">
        <f>SUM(D83+D90)</f>
        <v>0.28295991977655566</v>
      </c>
      <c r="E91" s="525">
        <f t="shared" si="9"/>
        <v>-9.6577040960754701E-3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772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626</v>
      </c>
      <c r="C95" s="523">
        <f t="shared" ref="C95:D101" si="10">IF(C$44=0,0,C25/C$44)</f>
        <v>0.37268814884746743</v>
      </c>
      <c r="D95" s="523">
        <f t="shared" si="10"/>
        <v>0.38373400496606308</v>
      </c>
      <c r="E95" s="523">
        <f t="shared" ref="E95:E103" si="11">D95-C95</f>
        <v>1.1045856118595654E-2</v>
      </c>
    </row>
    <row r="96" spans="1:5" s="506" customFormat="1" x14ac:dyDescent="0.2">
      <c r="A96" s="512">
        <v>2</v>
      </c>
      <c r="B96" s="511" t="s">
        <v>605</v>
      </c>
      <c r="C96" s="523">
        <f t="shared" si="10"/>
        <v>0.28665058633385487</v>
      </c>
      <c r="D96" s="523">
        <f t="shared" si="10"/>
        <v>0.26765651164545179</v>
      </c>
      <c r="E96" s="523">
        <f t="shared" si="11"/>
        <v>-1.8994074688403084E-2</v>
      </c>
    </row>
    <row r="97" spans="1:5" s="506" customFormat="1" x14ac:dyDescent="0.2">
      <c r="A97" s="512">
        <v>3</v>
      </c>
      <c r="B97" s="511" t="s">
        <v>751</v>
      </c>
      <c r="C97" s="523">
        <f t="shared" si="10"/>
        <v>4.6791319785264254E-2</v>
      </c>
      <c r="D97" s="523">
        <f t="shared" si="10"/>
        <v>6.4490430075579822E-2</v>
      </c>
      <c r="E97" s="523">
        <f t="shared" si="11"/>
        <v>1.7699110290315567E-2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4.3602020924699648E-2</v>
      </c>
      <c r="D98" s="523">
        <f t="shared" si="10"/>
        <v>6.2870019785153247E-2</v>
      </c>
      <c r="E98" s="523">
        <f t="shared" si="11"/>
        <v>1.9267998860453599E-2</v>
      </c>
    </row>
    <row r="99" spans="1:5" s="506" customFormat="1" x14ac:dyDescent="0.2">
      <c r="A99" s="512">
        <v>5</v>
      </c>
      <c r="B99" s="511" t="s">
        <v>718</v>
      </c>
      <c r="C99" s="523">
        <f t="shared" si="10"/>
        <v>3.189298860564608E-3</v>
      </c>
      <c r="D99" s="523">
        <f t="shared" si="10"/>
        <v>1.6204102904265668E-3</v>
      </c>
      <c r="E99" s="523">
        <f t="shared" si="11"/>
        <v>-1.5688885701380412E-3</v>
      </c>
    </row>
    <row r="100" spans="1:5" s="506" customFormat="1" x14ac:dyDescent="0.2">
      <c r="A100" s="512">
        <v>6</v>
      </c>
      <c r="B100" s="511" t="s">
        <v>418</v>
      </c>
      <c r="C100" s="523">
        <f t="shared" si="10"/>
        <v>1.2523211607823671E-3</v>
      </c>
      <c r="D100" s="523">
        <f t="shared" si="10"/>
        <v>1.1591335363496716E-3</v>
      </c>
      <c r="E100" s="523">
        <f t="shared" si="11"/>
        <v>-9.3187624432695439E-5</v>
      </c>
    </row>
    <row r="101" spans="1:5" s="506" customFormat="1" x14ac:dyDescent="0.2">
      <c r="A101" s="512">
        <v>7</v>
      </c>
      <c r="B101" s="511" t="s">
        <v>733</v>
      </c>
      <c r="C101" s="523">
        <f t="shared" si="10"/>
        <v>1.691656980848107E-2</v>
      </c>
      <c r="D101" s="523">
        <f t="shared" si="10"/>
        <v>1.6279721631840233E-2</v>
      </c>
      <c r="E101" s="523">
        <f t="shared" si="11"/>
        <v>-6.3684817664083626E-4</v>
      </c>
    </row>
    <row r="102" spans="1:5" s="506" customFormat="1" x14ac:dyDescent="0.2">
      <c r="A102" s="512"/>
      <c r="B102" s="516" t="s">
        <v>773</v>
      </c>
      <c r="C102" s="524">
        <f>SUM(C96+C97+C100)</f>
        <v>0.3346942272799015</v>
      </c>
      <c r="D102" s="524">
        <f>SUM(D96+D97+D100)</f>
        <v>0.33330607525738126</v>
      </c>
      <c r="E102" s="525">
        <f t="shared" si="11"/>
        <v>-1.3881520225202393E-3</v>
      </c>
    </row>
    <row r="103" spans="1:5" s="506" customFormat="1" x14ac:dyDescent="0.2">
      <c r="A103" s="512"/>
      <c r="B103" s="516" t="s">
        <v>774</v>
      </c>
      <c r="C103" s="524">
        <f>SUM(C95+C102)</f>
        <v>0.70738237612736898</v>
      </c>
      <c r="D103" s="524">
        <f>SUM(D95+D102)</f>
        <v>0.71704008022344434</v>
      </c>
      <c r="E103" s="525">
        <f t="shared" si="11"/>
        <v>9.6577040960753591E-3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775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776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626</v>
      </c>
      <c r="C109" s="523">
        <f t="shared" ref="C109:D115" si="12">IF(C$77=0,0,C47/C$77)</f>
        <v>0.12446034623461182</v>
      </c>
      <c r="D109" s="523">
        <f t="shared" si="12"/>
        <v>0.11433878190284835</v>
      </c>
      <c r="E109" s="523">
        <f t="shared" ref="E109:E117" si="13">D109-C109</f>
        <v>-1.0121564331763463E-2</v>
      </c>
    </row>
    <row r="110" spans="1:5" s="506" customFormat="1" x14ac:dyDescent="0.2">
      <c r="A110" s="512">
        <v>2</v>
      </c>
      <c r="B110" s="511" t="s">
        <v>605</v>
      </c>
      <c r="C110" s="523">
        <f t="shared" si="12"/>
        <v>0.14789579188973398</v>
      </c>
      <c r="D110" s="523">
        <f t="shared" si="12"/>
        <v>0.14384046570035383</v>
      </c>
      <c r="E110" s="523">
        <f t="shared" si="13"/>
        <v>-4.0553261893801484E-3</v>
      </c>
    </row>
    <row r="111" spans="1:5" s="506" customFormat="1" x14ac:dyDescent="0.2">
      <c r="A111" s="512">
        <v>3</v>
      </c>
      <c r="B111" s="511" t="s">
        <v>751</v>
      </c>
      <c r="C111" s="523">
        <f t="shared" si="12"/>
        <v>1.6639124875926614E-2</v>
      </c>
      <c r="D111" s="523">
        <f t="shared" si="12"/>
        <v>1.8155656754566117E-2</v>
      </c>
      <c r="E111" s="523">
        <f t="shared" si="13"/>
        <v>1.516531878639503E-3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1.4329285908028894E-2</v>
      </c>
      <c r="D112" s="523">
        <f t="shared" si="12"/>
        <v>1.6380220559248093E-2</v>
      </c>
      <c r="E112" s="523">
        <f t="shared" si="13"/>
        <v>2.0509346512191991E-3</v>
      </c>
    </row>
    <row r="113" spans="1:5" s="506" customFormat="1" x14ac:dyDescent="0.2">
      <c r="A113" s="512">
        <v>5</v>
      </c>
      <c r="B113" s="511" t="s">
        <v>718</v>
      </c>
      <c r="C113" s="523">
        <f t="shared" si="12"/>
        <v>2.3098389678977219E-3</v>
      </c>
      <c r="D113" s="523">
        <f t="shared" si="12"/>
        <v>1.7754361953180252E-3</v>
      </c>
      <c r="E113" s="523">
        <f t="shared" si="13"/>
        <v>-5.3440277257969663E-4</v>
      </c>
    </row>
    <row r="114" spans="1:5" s="506" customFormat="1" x14ac:dyDescent="0.2">
      <c r="A114" s="512">
        <v>6</v>
      </c>
      <c r="B114" s="511" t="s">
        <v>418</v>
      </c>
      <c r="C114" s="523">
        <f t="shared" si="12"/>
        <v>2.7104040423652875E-4</v>
      </c>
      <c r="D114" s="523">
        <f t="shared" si="12"/>
        <v>4.7376205023118203E-4</v>
      </c>
      <c r="E114" s="523">
        <f t="shared" si="13"/>
        <v>2.0272164599465328E-4</v>
      </c>
    </row>
    <row r="115" spans="1:5" s="506" customFormat="1" x14ac:dyDescent="0.2">
      <c r="A115" s="512">
        <v>7</v>
      </c>
      <c r="B115" s="511" t="s">
        <v>733</v>
      </c>
      <c r="C115" s="523">
        <f t="shared" si="12"/>
        <v>6.1080290115491948E-4</v>
      </c>
      <c r="D115" s="523">
        <f t="shared" si="12"/>
        <v>8.326322712279015E-4</v>
      </c>
      <c r="E115" s="523">
        <f t="shared" si="13"/>
        <v>2.2182937007298202E-4</v>
      </c>
    </row>
    <row r="116" spans="1:5" s="506" customFormat="1" x14ac:dyDescent="0.2">
      <c r="A116" s="512"/>
      <c r="B116" s="516" t="s">
        <v>770</v>
      </c>
      <c r="C116" s="524">
        <f>SUM(C110+C111+C114)</f>
        <v>0.16480595716989713</v>
      </c>
      <c r="D116" s="524">
        <f>SUM(D110+D111+D114)</f>
        <v>0.16246988450515112</v>
      </c>
      <c r="E116" s="525">
        <f t="shared" si="13"/>
        <v>-2.3360726647460028E-3</v>
      </c>
    </row>
    <row r="117" spans="1:5" s="506" customFormat="1" x14ac:dyDescent="0.2">
      <c r="A117" s="512"/>
      <c r="B117" s="516" t="s">
        <v>771</v>
      </c>
      <c r="C117" s="524">
        <f>SUM(C109+C116)</f>
        <v>0.28926630340450893</v>
      </c>
      <c r="D117" s="524">
        <f>SUM(D109+D116)</f>
        <v>0.2768086664079995</v>
      </c>
      <c r="E117" s="525">
        <f t="shared" si="13"/>
        <v>-1.2457636996509425E-2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321</v>
      </c>
      <c r="B119" s="522" t="s">
        <v>777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626</v>
      </c>
      <c r="C121" s="523">
        <f t="shared" ref="C121:D127" si="14">IF(C$77=0,0,C58/C$77)</f>
        <v>0.51834423296318721</v>
      </c>
      <c r="D121" s="523">
        <f t="shared" si="14"/>
        <v>0.52297287607654652</v>
      </c>
      <c r="E121" s="523">
        <f t="shared" ref="E121:E129" si="15">D121-C121</f>
        <v>4.6286431133593098E-3</v>
      </c>
    </row>
    <row r="122" spans="1:5" s="506" customFormat="1" x14ac:dyDescent="0.2">
      <c r="A122" s="512">
        <v>2</v>
      </c>
      <c r="B122" s="511" t="s">
        <v>605</v>
      </c>
      <c r="C122" s="523">
        <f t="shared" si="14"/>
        <v>0.15617889866962736</v>
      </c>
      <c r="D122" s="523">
        <f t="shared" si="14"/>
        <v>0.15194883939927115</v>
      </c>
      <c r="E122" s="523">
        <f t="shared" si="15"/>
        <v>-4.2300592703562179E-3</v>
      </c>
    </row>
    <row r="123" spans="1:5" s="506" customFormat="1" x14ac:dyDescent="0.2">
      <c r="A123" s="512">
        <v>3</v>
      </c>
      <c r="B123" s="511" t="s">
        <v>751</v>
      </c>
      <c r="C123" s="523">
        <f t="shared" si="14"/>
        <v>3.5339453600525768E-2</v>
      </c>
      <c r="D123" s="523">
        <f t="shared" si="14"/>
        <v>4.7468088842886044E-2</v>
      </c>
      <c r="E123" s="523">
        <f t="shared" si="15"/>
        <v>1.2128635242360276E-2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3.3148054335169652E-2</v>
      </c>
      <c r="D124" s="523">
        <f t="shared" si="14"/>
        <v>4.6325543928783165E-2</v>
      </c>
      <c r="E124" s="523">
        <f t="shared" si="15"/>
        <v>1.3177489593613513E-2</v>
      </c>
    </row>
    <row r="125" spans="1:5" s="506" customFormat="1" x14ac:dyDescent="0.2">
      <c r="A125" s="512">
        <v>5</v>
      </c>
      <c r="B125" s="511" t="s">
        <v>718</v>
      </c>
      <c r="C125" s="523">
        <f t="shared" si="14"/>
        <v>2.1913992653561222E-3</v>
      </c>
      <c r="D125" s="523">
        <f t="shared" si="14"/>
        <v>1.1425449141028803E-3</v>
      </c>
      <c r="E125" s="523">
        <f t="shared" si="15"/>
        <v>-1.0488543512532419E-3</v>
      </c>
    </row>
    <row r="126" spans="1:5" s="506" customFormat="1" x14ac:dyDescent="0.2">
      <c r="A126" s="512">
        <v>6</v>
      </c>
      <c r="B126" s="511" t="s">
        <v>418</v>
      </c>
      <c r="C126" s="523">
        <f t="shared" si="14"/>
        <v>8.7111136215071907E-4</v>
      </c>
      <c r="D126" s="523">
        <f t="shared" si="14"/>
        <v>8.015292732968096E-4</v>
      </c>
      <c r="E126" s="523">
        <f t="shared" si="15"/>
        <v>-6.9582088853909472E-5</v>
      </c>
    </row>
    <row r="127" spans="1:5" s="506" customFormat="1" x14ac:dyDescent="0.2">
      <c r="A127" s="512">
        <v>7</v>
      </c>
      <c r="B127" s="511" t="s">
        <v>733</v>
      </c>
      <c r="C127" s="523">
        <f t="shared" si="14"/>
        <v>2.6198650387532587E-3</v>
      </c>
      <c r="D127" s="523">
        <f t="shared" si="14"/>
        <v>3.952782867200905E-3</v>
      </c>
      <c r="E127" s="523">
        <f t="shared" si="15"/>
        <v>1.3329178284476463E-3</v>
      </c>
    </row>
    <row r="128" spans="1:5" s="506" customFormat="1" x14ac:dyDescent="0.2">
      <c r="A128" s="512"/>
      <c r="B128" s="516" t="s">
        <v>773</v>
      </c>
      <c r="C128" s="524">
        <f>SUM(C122+C123+C126)</f>
        <v>0.19238946363230383</v>
      </c>
      <c r="D128" s="524">
        <f>SUM(D122+D123+D126)</f>
        <v>0.20021845751545397</v>
      </c>
      <c r="E128" s="525">
        <f t="shared" si="15"/>
        <v>7.8289938831501427E-3</v>
      </c>
    </row>
    <row r="129" spans="1:5" s="506" customFormat="1" x14ac:dyDescent="0.2">
      <c r="A129" s="512"/>
      <c r="B129" s="516" t="s">
        <v>774</v>
      </c>
      <c r="C129" s="524">
        <f>SUM(C121+C128)</f>
        <v>0.71073369659549102</v>
      </c>
      <c r="D129" s="524">
        <f>SUM(D121+D128)</f>
        <v>0.7231913335920005</v>
      </c>
      <c r="E129" s="525">
        <f t="shared" si="15"/>
        <v>1.245763699650948E-2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778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779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780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626</v>
      </c>
      <c r="C137" s="530">
        <v>1057</v>
      </c>
      <c r="D137" s="530">
        <v>1068</v>
      </c>
      <c r="E137" s="531">
        <f t="shared" ref="E137:E145" si="16">D137-C137</f>
        <v>11</v>
      </c>
    </row>
    <row r="138" spans="1:5" s="506" customFormat="1" x14ac:dyDescent="0.2">
      <c r="A138" s="512">
        <v>2</v>
      </c>
      <c r="B138" s="511" t="s">
        <v>605</v>
      </c>
      <c r="C138" s="530">
        <v>1167</v>
      </c>
      <c r="D138" s="530">
        <v>1199</v>
      </c>
      <c r="E138" s="531">
        <f t="shared" si="16"/>
        <v>32</v>
      </c>
    </row>
    <row r="139" spans="1:5" s="506" customFormat="1" x14ac:dyDescent="0.2">
      <c r="A139" s="512">
        <v>3</v>
      </c>
      <c r="B139" s="511" t="s">
        <v>751</v>
      </c>
      <c r="C139" s="530">
        <f>C140+C141</f>
        <v>283</v>
      </c>
      <c r="D139" s="530">
        <f>D140+D141</f>
        <v>242</v>
      </c>
      <c r="E139" s="531">
        <f t="shared" si="16"/>
        <v>-41</v>
      </c>
    </row>
    <row r="140" spans="1:5" s="506" customFormat="1" x14ac:dyDescent="0.2">
      <c r="A140" s="512">
        <v>4</v>
      </c>
      <c r="B140" s="511" t="s">
        <v>114</v>
      </c>
      <c r="C140" s="530">
        <v>252</v>
      </c>
      <c r="D140" s="530">
        <v>236</v>
      </c>
      <c r="E140" s="531">
        <f t="shared" si="16"/>
        <v>-16</v>
      </c>
    </row>
    <row r="141" spans="1:5" s="506" customFormat="1" x14ac:dyDescent="0.2">
      <c r="A141" s="512">
        <v>5</v>
      </c>
      <c r="B141" s="511" t="s">
        <v>718</v>
      </c>
      <c r="C141" s="530">
        <v>31</v>
      </c>
      <c r="D141" s="530">
        <v>6</v>
      </c>
      <c r="E141" s="531">
        <f t="shared" si="16"/>
        <v>-25</v>
      </c>
    </row>
    <row r="142" spans="1:5" s="506" customFormat="1" x14ac:dyDescent="0.2">
      <c r="A142" s="512">
        <v>6</v>
      </c>
      <c r="B142" s="511" t="s">
        <v>418</v>
      </c>
      <c r="C142" s="530">
        <v>5</v>
      </c>
      <c r="D142" s="530">
        <v>7</v>
      </c>
      <c r="E142" s="531">
        <f t="shared" si="16"/>
        <v>2</v>
      </c>
    </row>
    <row r="143" spans="1:5" s="506" customFormat="1" x14ac:dyDescent="0.2">
      <c r="A143" s="512">
        <v>7</v>
      </c>
      <c r="B143" s="511" t="s">
        <v>733</v>
      </c>
      <c r="C143" s="530">
        <v>51</v>
      </c>
      <c r="D143" s="530">
        <v>55</v>
      </c>
      <c r="E143" s="531">
        <f t="shared" si="16"/>
        <v>4</v>
      </c>
    </row>
    <row r="144" spans="1:5" s="506" customFormat="1" x14ac:dyDescent="0.2">
      <c r="A144" s="512"/>
      <c r="B144" s="516" t="s">
        <v>781</v>
      </c>
      <c r="C144" s="532">
        <f>SUM(C138+C139+C142)</f>
        <v>1455</v>
      </c>
      <c r="D144" s="532">
        <f>SUM(D138+D139+D142)</f>
        <v>1448</v>
      </c>
      <c r="E144" s="533">
        <f t="shared" si="16"/>
        <v>-7</v>
      </c>
    </row>
    <row r="145" spans="1:5" s="506" customFormat="1" x14ac:dyDescent="0.2">
      <c r="A145" s="512"/>
      <c r="B145" s="516" t="s">
        <v>695</v>
      </c>
      <c r="C145" s="532">
        <f>SUM(C137+C144)</f>
        <v>2512</v>
      </c>
      <c r="D145" s="532">
        <f>SUM(D137+D144)</f>
        <v>2516</v>
      </c>
      <c r="E145" s="533">
        <f t="shared" si="16"/>
        <v>4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626</v>
      </c>
      <c r="C149" s="534">
        <v>3238</v>
      </c>
      <c r="D149" s="534">
        <v>3049</v>
      </c>
      <c r="E149" s="531">
        <f t="shared" ref="E149:E157" si="17">D149-C149</f>
        <v>-189</v>
      </c>
    </row>
    <row r="150" spans="1:5" s="506" customFormat="1" x14ac:dyDescent="0.2">
      <c r="A150" s="512">
        <v>2</v>
      </c>
      <c r="B150" s="511" t="s">
        <v>605</v>
      </c>
      <c r="C150" s="534">
        <v>5051</v>
      </c>
      <c r="D150" s="534">
        <v>5368</v>
      </c>
      <c r="E150" s="531">
        <f t="shared" si="17"/>
        <v>317</v>
      </c>
    </row>
    <row r="151" spans="1:5" s="506" customFormat="1" x14ac:dyDescent="0.2">
      <c r="A151" s="512">
        <v>3</v>
      </c>
      <c r="B151" s="511" t="s">
        <v>751</v>
      </c>
      <c r="C151" s="534">
        <f>C152+C153</f>
        <v>1078</v>
      </c>
      <c r="D151" s="534">
        <f>D152+D153</f>
        <v>899</v>
      </c>
      <c r="E151" s="531">
        <f t="shared" si="17"/>
        <v>-179</v>
      </c>
    </row>
    <row r="152" spans="1:5" s="506" customFormat="1" x14ac:dyDescent="0.2">
      <c r="A152" s="512">
        <v>4</v>
      </c>
      <c r="B152" s="511" t="s">
        <v>114</v>
      </c>
      <c r="C152" s="534">
        <v>949</v>
      </c>
      <c r="D152" s="534">
        <v>836</v>
      </c>
      <c r="E152" s="531">
        <f t="shared" si="17"/>
        <v>-113</v>
      </c>
    </row>
    <row r="153" spans="1:5" s="506" customFormat="1" x14ac:dyDescent="0.2">
      <c r="A153" s="512">
        <v>5</v>
      </c>
      <c r="B153" s="511" t="s">
        <v>718</v>
      </c>
      <c r="C153" s="535">
        <v>129</v>
      </c>
      <c r="D153" s="534">
        <v>63</v>
      </c>
      <c r="E153" s="531">
        <f t="shared" si="17"/>
        <v>-66</v>
      </c>
    </row>
    <row r="154" spans="1:5" s="506" customFormat="1" x14ac:dyDescent="0.2">
      <c r="A154" s="512">
        <v>6</v>
      </c>
      <c r="B154" s="511" t="s">
        <v>418</v>
      </c>
      <c r="C154" s="534">
        <v>15</v>
      </c>
      <c r="D154" s="534">
        <v>31</v>
      </c>
      <c r="E154" s="531">
        <f t="shared" si="17"/>
        <v>16</v>
      </c>
    </row>
    <row r="155" spans="1:5" s="506" customFormat="1" x14ac:dyDescent="0.2">
      <c r="A155" s="512">
        <v>7</v>
      </c>
      <c r="B155" s="511" t="s">
        <v>733</v>
      </c>
      <c r="C155" s="534">
        <v>144</v>
      </c>
      <c r="D155" s="534">
        <v>143</v>
      </c>
      <c r="E155" s="531">
        <f t="shared" si="17"/>
        <v>-1</v>
      </c>
    </row>
    <row r="156" spans="1:5" s="506" customFormat="1" x14ac:dyDescent="0.2">
      <c r="A156" s="512"/>
      <c r="B156" s="516" t="s">
        <v>782</v>
      </c>
      <c r="C156" s="532">
        <f>SUM(C150+C151+C154)</f>
        <v>6144</v>
      </c>
      <c r="D156" s="532">
        <f>SUM(D150+D151+D154)</f>
        <v>6298</v>
      </c>
      <c r="E156" s="533">
        <f t="shared" si="17"/>
        <v>154</v>
      </c>
    </row>
    <row r="157" spans="1:5" s="506" customFormat="1" x14ac:dyDescent="0.2">
      <c r="A157" s="512"/>
      <c r="B157" s="516" t="s">
        <v>783</v>
      </c>
      <c r="C157" s="532">
        <f>SUM(C149+C156)</f>
        <v>9382</v>
      </c>
      <c r="D157" s="532">
        <f>SUM(D149+D156)</f>
        <v>9347</v>
      </c>
      <c r="E157" s="533">
        <f t="shared" si="17"/>
        <v>-35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784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626</v>
      </c>
      <c r="C161" s="536">
        <f t="shared" ref="C161:D169" si="18">IF(C137=0,0,C149/C137)</f>
        <v>3.0633869441816461</v>
      </c>
      <c r="D161" s="536">
        <f t="shared" si="18"/>
        <v>2.8548689138576777</v>
      </c>
      <c r="E161" s="537">
        <f t="shared" ref="E161:E169" si="19">D161-C161</f>
        <v>-0.20851803032396843</v>
      </c>
    </row>
    <row r="162" spans="1:5" s="506" customFormat="1" x14ac:dyDescent="0.2">
      <c r="A162" s="512">
        <v>2</v>
      </c>
      <c r="B162" s="511" t="s">
        <v>605</v>
      </c>
      <c r="C162" s="536">
        <f t="shared" si="18"/>
        <v>4.328191945158526</v>
      </c>
      <c r="D162" s="536">
        <f t="shared" si="18"/>
        <v>4.477064220183486</v>
      </c>
      <c r="E162" s="537">
        <f t="shared" si="19"/>
        <v>0.14887227502496003</v>
      </c>
    </row>
    <row r="163" spans="1:5" s="506" customFormat="1" x14ac:dyDescent="0.2">
      <c r="A163" s="512">
        <v>3</v>
      </c>
      <c r="B163" s="511" t="s">
        <v>751</v>
      </c>
      <c r="C163" s="536">
        <f t="shared" si="18"/>
        <v>3.8091872791519434</v>
      </c>
      <c r="D163" s="536">
        <f t="shared" si="18"/>
        <v>3.7148760330578514</v>
      </c>
      <c r="E163" s="537">
        <f t="shared" si="19"/>
        <v>-9.4311246094092027E-2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3.7658730158730158</v>
      </c>
      <c r="D164" s="536">
        <f t="shared" si="18"/>
        <v>3.5423728813559321</v>
      </c>
      <c r="E164" s="537">
        <f t="shared" si="19"/>
        <v>-0.22350013451708373</v>
      </c>
    </row>
    <row r="165" spans="1:5" s="506" customFormat="1" x14ac:dyDescent="0.2">
      <c r="A165" s="512">
        <v>5</v>
      </c>
      <c r="B165" s="511" t="s">
        <v>718</v>
      </c>
      <c r="C165" s="536">
        <f t="shared" si="18"/>
        <v>4.161290322580645</v>
      </c>
      <c r="D165" s="536">
        <f t="shared" si="18"/>
        <v>10.5</v>
      </c>
      <c r="E165" s="537">
        <f t="shared" si="19"/>
        <v>6.338709677419355</v>
      </c>
    </row>
    <row r="166" spans="1:5" s="506" customFormat="1" x14ac:dyDescent="0.2">
      <c r="A166" s="512">
        <v>6</v>
      </c>
      <c r="B166" s="511" t="s">
        <v>418</v>
      </c>
      <c r="C166" s="536">
        <f t="shared" si="18"/>
        <v>3</v>
      </c>
      <c r="D166" s="536">
        <f t="shared" si="18"/>
        <v>4.4285714285714288</v>
      </c>
      <c r="E166" s="537">
        <f t="shared" si="19"/>
        <v>1.4285714285714288</v>
      </c>
    </row>
    <row r="167" spans="1:5" s="506" customFormat="1" x14ac:dyDescent="0.2">
      <c r="A167" s="512">
        <v>7</v>
      </c>
      <c r="B167" s="511" t="s">
        <v>733</v>
      </c>
      <c r="C167" s="536">
        <f t="shared" si="18"/>
        <v>2.8235294117647061</v>
      </c>
      <c r="D167" s="536">
        <f t="shared" si="18"/>
        <v>2.6</v>
      </c>
      <c r="E167" s="537">
        <f t="shared" si="19"/>
        <v>-0.22352941176470598</v>
      </c>
    </row>
    <row r="168" spans="1:5" s="506" customFormat="1" x14ac:dyDescent="0.2">
      <c r="A168" s="512"/>
      <c r="B168" s="516" t="s">
        <v>785</v>
      </c>
      <c r="C168" s="538">
        <f t="shared" si="18"/>
        <v>4.2226804123711341</v>
      </c>
      <c r="D168" s="538">
        <f t="shared" si="18"/>
        <v>4.3494475138121551</v>
      </c>
      <c r="E168" s="539">
        <f t="shared" si="19"/>
        <v>0.12676710144102099</v>
      </c>
    </row>
    <row r="169" spans="1:5" s="506" customFormat="1" x14ac:dyDescent="0.2">
      <c r="A169" s="512"/>
      <c r="B169" s="516" t="s">
        <v>719</v>
      </c>
      <c r="C169" s="538">
        <f t="shared" si="18"/>
        <v>3.7348726114649682</v>
      </c>
      <c r="D169" s="538">
        <f t="shared" si="18"/>
        <v>3.7150238473767887</v>
      </c>
      <c r="E169" s="539">
        <f t="shared" si="19"/>
        <v>-1.9848764088179482E-2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321</v>
      </c>
      <c r="B171" s="509" t="s">
        <v>786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626</v>
      </c>
      <c r="C173" s="541">
        <f t="shared" ref="C173:D181" si="20">IF(C137=0,0,C203/C137)</f>
        <v>1.161</v>
      </c>
      <c r="D173" s="541">
        <f t="shared" si="20"/>
        <v>1.129</v>
      </c>
      <c r="E173" s="542">
        <f t="shared" ref="E173:E181" si="21">D173-C173</f>
        <v>-3.2000000000000028E-2</v>
      </c>
    </row>
    <row r="174" spans="1:5" s="506" customFormat="1" x14ac:dyDescent="0.2">
      <c r="A174" s="512">
        <v>2</v>
      </c>
      <c r="B174" s="511" t="s">
        <v>605</v>
      </c>
      <c r="C174" s="541">
        <f t="shared" si="20"/>
        <v>1.5347999999999999</v>
      </c>
      <c r="D174" s="541">
        <f t="shared" si="20"/>
        <v>1.3738999999999999</v>
      </c>
      <c r="E174" s="542">
        <f t="shared" si="21"/>
        <v>-0.16090000000000004</v>
      </c>
    </row>
    <row r="175" spans="1:5" s="506" customFormat="1" x14ac:dyDescent="0.2">
      <c r="A175" s="512">
        <v>0</v>
      </c>
      <c r="B175" s="511" t="s">
        <v>751</v>
      </c>
      <c r="C175" s="541">
        <f t="shared" si="20"/>
        <v>0.90699893992932867</v>
      </c>
      <c r="D175" s="541">
        <f t="shared" si="20"/>
        <v>0.87916611570247927</v>
      </c>
      <c r="E175" s="542">
        <f t="shared" si="21"/>
        <v>-2.7832824226849406E-2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0.82089999999999996</v>
      </c>
      <c r="D176" s="541">
        <f t="shared" si="20"/>
        <v>0.8649</v>
      </c>
      <c r="E176" s="542">
        <f t="shared" si="21"/>
        <v>4.4000000000000039E-2</v>
      </c>
    </row>
    <row r="177" spans="1:5" s="506" customFormat="1" x14ac:dyDescent="0.2">
      <c r="A177" s="512">
        <v>5</v>
      </c>
      <c r="B177" s="511" t="s">
        <v>718</v>
      </c>
      <c r="C177" s="541">
        <f t="shared" si="20"/>
        <v>1.6069</v>
      </c>
      <c r="D177" s="541">
        <f t="shared" si="20"/>
        <v>1.4402999999999999</v>
      </c>
      <c r="E177" s="542">
        <f t="shared" si="21"/>
        <v>-0.16660000000000008</v>
      </c>
    </row>
    <row r="178" spans="1:5" s="506" customFormat="1" x14ac:dyDescent="0.2">
      <c r="A178" s="512">
        <v>6</v>
      </c>
      <c r="B178" s="511" t="s">
        <v>418</v>
      </c>
      <c r="C178" s="541">
        <f t="shared" si="20"/>
        <v>0.874</v>
      </c>
      <c r="D178" s="541">
        <f t="shared" si="20"/>
        <v>1.1586000000000001</v>
      </c>
      <c r="E178" s="542">
        <f t="shared" si="21"/>
        <v>0.28460000000000008</v>
      </c>
    </row>
    <row r="179" spans="1:5" s="506" customFormat="1" x14ac:dyDescent="0.2">
      <c r="A179" s="512">
        <v>7</v>
      </c>
      <c r="B179" s="511" t="s">
        <v>733</v>
      </c>
      <c r="C179" s="541">
        <f t="shared" si="20"/>
        <v>1.0268999999999999</v>
      </c>
      <c r="D179" s="541">
        <f t="shared" si="20"/>
        <v>8.77E-3</v>
      </c>
      <c r="E179" s="542">
        <f t="shared" si="21"/>
        <v>-1.01813</v>
      </c>
    </row>
    <row r="180" spans="1:5" s="506" customFormat="1" x14ac:dyDescent="0.2">
      <c r="A180" s="512"/>
      <c r="B180" s="516" t="s">
        <v>787</v>
      </c>
      <c r="C180" s="543">
        <f t="shared" si="20"/>
        <v>1.410420824742268</v>
      </c>
      <c r="D180" s="543">
        <f t="shared" si="20"/>
        <v>1.2901757596685082</v>
      </c>
      <c r="E180" s="544">
        <f t="shared" si="21"/>
        <v>-0.12024506507375987</v>
      </c>
    </row>
    <row r="181" spans="1:5" s="506" customFormat="1" x14ac:dyDescent="0.2">
      <c r="A181" s="512"/>
      <c r="B181" s="516" t="s">
        <v>696</v>
      </c>
      <c r="C181" s="543">
        <f t="shared" si="20"/>
        <v>1.3054694665605096</v>
      </c>
      <c r="D181" s="543">
        <f t="shared" si="20"/>
        <v>1.2217593402225755</v>
      </c>
      <c r="E181" s="544">
        <f t="shared" si="21"/>
        <v>-8.3710126337934065E-2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342</v>
      </c>
      <c r="B183" s="509" t="s">
        <v>788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789</v>
      </c>
      <c r="C185" s="513">
        <v>110847139</v>
      </c>
      <c r="D185" s="513">
        <v>110709168</v>
      </c>
      <c r="E185" s="514">
        <f>D185-C185</f>
        <v>-137971</v>
      </c>
    </row>
    <row r="186" spans="1:5" s="506" customFormat="1" ht="25.5" x14ac:dyDescent="0.2">
      <c r="A186" s="512">
        <v>2</v>
      </c>
      <c r="B186" s="511" t="s">
        <v>790</v>
      </c>
      <c r="C186" s="513">
        <v>54890286</v>
      </c>
      <c r="D186" s="513">
        <v>55477982</v>
      </c>
      <c r="E186" s="514">
        <f>D186-C186</f>
        <v>587696</v>
      </c>
    </row>
    <row r="187" spans="1:5" s="506" customFormat="1" x14ac:dyDescent="0.2">
      <c r="A187" s="512"/>
      <c r="B187" s="511" t="s">
        <v>638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722</v>
      </c>
      <c r="C188" s="546">
        <f>+C185-C186</f>
        <v>55956853</v>
      </c>
      <c r="D188" s="546">
        <f>+D185-D186</f>
        <v>55231186</v>
      </c>
      <c r="E188" s="514">
        <f t="shared" ref="E188:E197" si="22">D188-C188</f>
        <v>-725667</v>
      </c>
    </row>
    <row r="189" spans="1:5" s="506" customFormat="1" x14ac:dyDescent="0.2">
      <c r="A189" s="512">
        <v>4</v>
      </c>
      <c r="B189" s="511" t="s">
        <v>640</v>
      </c>
      <c r="C189" s="547">
        <f>IF(C185=0,0,+C188/C185)</f>
        <v>0.50481098118373624</v>
      </c>
      <c r="D189" s="547">
        <f>IF(D185=0,0,+D188/D185)</f>
        <v>0.49888538589685727</v>
      </c>
      <c r="E189" s="523">
        <f t="shared" si="22"/>
        <v>-5.9255952868789707E-3</v>
      </c>
    </row>
    <row r="190" spans="1:5" s="506" customFormat="1" x14ac:dyDescent="0.2">
      <c r="A190" s="512">
        <v>5</v>
      </c>
      <c r="B190" s="511" t="s">
        <v>737</v>
      </c>
      <c r="C190" s="513">
        <v>0</v>
      </c>
      <c r="D190" s="513">
        <v>0</v>
      </c>
      <c r="E190" s="546">
        <f t="shared" si="22"/>
        <v>0</v>
      </c>
    </row>
    <row r="191" spans="1:5" s="506" customFormat="1" x14ac:dyDescent="0.2">
      <c r="A191" s="512">
        <v>6</v>
      </c>
      <c r="B191" s="511" t="s">
        <v>723</v>
      </c>
      <c r="C191" s="513">
        <v>0</v>
      </c>
      <c r="D191" s="513">
        <v>0</v>
      </c>
      <c r="E191" s="546">
        <f t="shared" si="22"/>
        <v>0</v>
      </c>
    </row>
    <row r="192" spans="1:5" ht="29.25" x14ac:dyDescent="0.2">
      <c r="A192" s="512">
        <v>7</v>
      </c>
      <c r="B192" s="548" t="s">
        <v>791</v>
      </c>
      <c r="C192" s="513">
        <v>351378</v>
      </c>
      <c r="D192" s="513">
        <v>0</v>
      </c>
      <c r="E192" s="546">
        <f t="shared" si="22"/>
        <v>-351378</v>
      </c>
    </row>
    <row r="193" spans="1:5" s="506" customFormat="1" x14ac:dyDescent="0.2">
      <c r="A193" s="512">
        <v>8</v>
      </c>
      <c r="B193" s="511" t="s">
        <v>792</v>
      </c>
      <c r="C193" s="513">
        <v>2208785</v>
      </c>
      <c r="D193" s="513">
        <v>1734591</v>
      </c>
      <c r="E193" s="546">
        <f t="shared" si="22"/>
        <v>-474194</v>
      </c>
    </row>
    <row r="194" spans="1:5" s="506" customFormat="1" x14ac:dyDescent="0.2">
      <c r="A194" s="512">
        <v>9</v>
      </c>
      <c r="B194" s="511" t="s">
        <v>793</v>
      </c>
      <c r="C194" s="513">
        <v>3065190</v>
      </c>
      <c r="D194" s="513">
        <v>2545989</v>
      </c>
      <c r="E194" s="546">
        <f t="shared" si="22"/>
        <v>-519201</v>
      </c>
    </row>
    <row r="195" spans="1:5" s="506" customFormat="1" x14ac:dyDescent="0.2">
      <c r="A195" s="512">
        <v>10</v>
      </c>
      <c r="B195" s="511" t="s">
        <v>794</v>
      </c>
      <c r="C195" s="513">
        <f>+C193+C194</f>
        <v>5273975</v>
      </c>
      <c r="D195" s="513">
        <f>+D193+D194</f>
        <v>4280580</v>
      </c>
      <c r="E195" s="549">
        <f t="shared" si="22"/>
        <v>-993395</v>
      </c>
    </row>
    <row r="196" spans="1:5" s="506" customFormat="1" x14ac:dyDescent="0.2">
      <c r="A196" s="512">
        <v>11</v>
      </c>
      <c r="B196" s="511" t="s">
        <v>795</v>
      </c>
      <c r="C196" s="513">
        <v>110847139</v>
      </c>
      <c r="D196" s="513">
        <v>110709168</v>
      </c>
      <c r="E196" s="546">
        <f t="shared" si="22"/>
        <v>-137971</v>
      </c>
    </row>
    <row r="197" spans="1:5" s="506" customFormat="1" x14ac:dyDescent="0.2">
      <c r="A197" s="512">
        <v>12</v>
      </c>
      <c r="B197" s="511" t="s">
        <v>680</v>
      </c>
      <c r="C197" s="513">
        <v>91802230</v>
      </c>
      <c r="D197" s="513">
        <v>93915766</v>
      </c>
      <c r="E197" s="546">
        <f t="shared" si="22"/>
        <v>2113536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796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797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626</v>
      </c>
      <c r="C203" s="553">
        <v>1227.1770000000001</v>
      </c>
      <c r="D203" s="553">
        <v>1205.7719999999999</v>
      </c>
      <c r="E203" s="554">
        <f t="shared" ref="E203:E211" si="23">D203-C203</f>
        <v>-21.4050000000002</v>
      </c>
    </row>
    <row r="204" spans="1:5" s="506" customFormat="1" x14ac:dyDescent="0.2">
      <c r="A204" s="512">
        <v>2</v>
      </c>
      <c r="B204" s="511" t="s">
        <v>605</v>
      </c>
      <c r="C204" s="553">
        <v>1791.1116</v>
      </c>
      <c r="D204" s="553">
        <v>1647.3060999999998</v>
      </c>
      <c r="E204" s="554">
        <f t="shared" si="23"/>
        <v>-143.80550000000017</v>
      </c>
    </row>
    <row r="205" spans="1:5" s="506" customFormat="1" x14ac:dyDescent="0.2">
      <c r="A205" s="512">
        <v>3</v>
      </c>
      <c r="B205" s="511" t="s">
        <v>751</v>
      </c>
      <c r="C205" s="553">
        <f>C206+C207</f>
        <v>256.6807</v>
      </c>
      <c r="D205" s="553">
        <f>D206+D207</f>
        <v>212.75819999999999</v>
      </c>
      <c r="E205" s="554">
        <f t="shared" si="23"/>
        <v>-43.922500000000014</v>
      </c>
    </row>
    <row r="206" spans="1:5" s="506" customFormat="1" x14ac:dyDescent="0.2">
      <c r="A206" s="512">
        <v>4</v>
      </c>
      <c r="B206" s="511" t="s">
        <v>114</v>
      </c>
      <c r="C206" s="553">
        <v>206.86679999999998</v>
      </c>
      <c r="D206" s="553">
        <v>204.1164</v>
      </c>
      <c r="E206" s="554">
        <f t="shared" si="23"/>
        <v>-2.7503999999999849</v>
      </c>
    </row>
    <row r="207" spans="1:5" s="506" customFormat="1" x14ac:dyDescent="0.2">
      <c r="A207" s="512">
        <v>5</v>
      </c>
      <c r="B207" s="511" t="s">
        <v>718</v>
      </c>
      <c r="C207" s="553">
        <v>49.813899999999997</v>
      </c>
      <c r="D207" s="553">
        <v>8.6417999999999999</v>
      </c>
      <c r="E207" s="554">
        <f t="shared" si="23"/>
        <v>-41.1721</v>
      </c>
    </row>
    <row r="208" spans="1:5" s="506" customFormat="1" x14ac:dyDescent="0.2">
      <c r="A208" s="512">
        <v>6</v>
      </c>
      <c r="B208" s="511" t="s">
        <v>418</v>
      </c>
      <c r="C208" s="553">
        <v>4.37</v>
      </c>
      <c r="D208" s="553">
        <v>8.1102000000000007</v>
      </c>
      <c r="E208" s="554">
        <f t="shared" si="23"/>
        <v>3.7402000000000006</v>
      </c>
    </row>
    <row r="209" spans="1:5" s="506" customFormat="1" x14ac:dyDescent="0.2">
      <c r="A209" s="512">
        <v>7</v>
      </c>
      <c r="B209" s="511" t="s">
        <v>733</v>
      </c>
      <c r="C209" s="553">
        <v>52.371899999999997</v>
      </c>
      <c r="D209" s="553">
        <v>0.48235</v>
      </c>
      <c r="E209" s="554">
        <f t="shared" si="23"/>
        <v>-51.88955</v>
      </c>
    </row>
    <row r="210" spans="1:5" s="506" customFormat="1" x14ac:dyDescent="0.2">
      <c r="A210" s="512"/>
      <c r="B210" s="516" t="s">
        <v>798</v>
      </c>
      <c r="C210" s="555">
        <f>C204+C205+C208</f>
        <v>2052.1623</v>
      </c>
      <c r="D210" s="555">
        <f>D204+D205+D208</f>
        <v>1868.1744999999999</v>
      </c>
      <c r="E210" s="556">
        <f t="shared" si="23"/>
        <v>-183.98780000000011</v>
      </c>
    </row>
    <row r="211" spans="1:5" s="506" customFormat="1" x14ac:dyDescent="0.2">
      <c r="A211" s="512"/>
      <c r="B211" s="516" t="s">
        <v>697</v>
      </c>
      <c r="C211" s="555">
        <f>C210+C203</f>
        <v>3279.3393000000001</v>
      </c>
      <c r="D211" s="555">
        <f>D210+D203</f>
        <v>3073.9465</v>
      </c>
      <c r="E211" s="556">
        <f t="shared" si="23"/>
        <v>-205.39280000000008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799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626</v>
      </c>
      <c r="C215" s="557">
        <f>IF(C14*C137=0,0,C25/C14*C137)</f>
        <v>3588.0495383385132</v>
      </c>
      <c r="D215" s="557">
        <f>IF(D14*D137=0,0,D25/D14*D137)</f>
        <v>4090.4352952136496</v>
      </c>
      <c r="E215" s="557">
        <f t="shared" ref="E215:E223" si="24">D215-C215</f>
        <v>502.38575687513639</v>
      </c>
    </row>
    <row r="216" spans="1:5" s="506" customFormat="1" x14ac:dyDescent="0.2">
      <c r="A216" s="512">
        <v>2</v>
      </c>
      <c r="B216" s="511" t="s">
        <v>605</v>
      </c>
      <c r="C216" s="557">
        <f>IF(C15*C138=0,0,C26/C15*C138)</f>
        <v>2090.2743775611307</v>
      </c>
      <c r="D216" s="557">
        <f>IF(D15*D138=0,0,D26/D15*D138)</f>
        <v>1988.8795532837644</v>
      </c>
      <c r="E216" s="557">
        <f t="shared" si="24"/>
        <v>-101.3948242773663</v>
      </c>
    </row>
    <row r="217" spans="1:5" s="506" customFormat="1" x14ac:dyDescent="0.2">
      <c r="A217" s="512">
        <v>3</v>
      </c>
      <c r="B217" s="511" t="s">
        <v>751</v>
      </c>
      <c r="C217" s="557">
        <f>C218+C219</f>
        <v>623.26897700990287</v>
      </c>
      <c r="D217" s="557">
        <f>D218+D219</f>
        <v>808.08273248754233</v>
      </c>
      <c r="E217" s="557">
        <f t="shared" si="24"/>
        <v>184.81375547763946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598.5807036493311</v>
      </c>
      <c r="D218" s="557">
        <f t="shared" si="25"/>
        <v>803.4018509272687</v>
      </c>
      <c r="E218" s="557">
        <f t="shared" si="24"/>
        <v>204.8211472779376</v>
      </c>
    </row>
    <row r="219" spans="1:5" s="506" customFormat="1" x14ac:dyDescent="0.2">
      <c r="A219" s="512">
        <v>5</v>
      </c>
      <c r="B219" s="511" t="s">
        <v>718</v>
      </c>
      <c r="C219" s="557">
        <f t="shared" si="25"/>
        <v>24.688273360571777</v>
      </c>
      <c r="D219" s="557">
        <f t="shared" si="25"/>
        <v>4.6808815602736651</v>
      </c>
      <c r="E219" s="557">
        <f t="shared" si="24"/>
        <v>-20.007391800298112</v>
      </c>
    </row>
    <row r="220" spans="1:5" s="506" customFormat="1" x14ac:dyDescent="0.2">
      <c r="A220" s="512">
        <v>6</v>
      </c>
      <c r="B220" s="511" t="s">
        <v>418</v>
      </c>
      <c r="C220" s="557">
        <f t="shared" si="25"/>
        <v>14.566799069947685</v>
      </c>
      <c r="D220" s="557">
        <f t="shared" si="25"/>
        <v>9.3725158746688244</v>
      </c>
      <c r="E220" s="557">
        <f t="shared" si="24"/>
        <v>-5.1942831952788602</v>
      </c>
    </row>
    <row r="221" spans="1:5" s="506" customFormat="1" x14ac:dyDescent="0.2">
      <c r="A221" s="512">
        <v>7</v>
      </c>
      <c r="B221" s="511" t="s">
        <v>733</v>
      </c>
      <c r="C221" s="557">
        <f t="shared" si="25"/>
        <v>218.75120716580801</v>
      </c>
      <c r="D221" s="557">
        <f t="shared" si="25"/>
        <v>261.10530704875657</v>
      </c>
      <c r="E221" s="557">
        <f t="shared" si="24"/>
        <v>42.35409988294856</v>
      </c>
    </row>
    <row r="222" spans="1:5" s="506" customFormat="1" x14ac:dyDescent="0.2">
      <c r="A222" s="512"/>
      <c r="B222" s="516" t="s">
        <v>800</v>
      </c>
      <c r="C222" s="558">
        <f>C216+C218+C219+C220</f>
        <v>2728.110153640981</v>
      </c>
      <c r="D222" s="558">
        <f>D216+D218+D219+D220</f>
        <v>2806.3348016459754</v>
      </c>
      <c r="E222" s="558">
        <f t="shared" si="24"/>
        <v>78.224648004994378</v>
      </c>
    </row>
    <row r="223" spans="1:5" s="506" customFormat="1" x14ac:dyDescent="0.2">
      <c r="A223" s="512"/>
      <c r="B223" s="516" t="s">
        <v>801</v>
      </c>
      <c r="C223" s="558">
        <f>C215+C222</f>
        <v>6316.1596919794938</v>
      </c>
      <c r="D223" s="558">
        <f>D215+D222</f>
        <v>6896.7700968596255</v>
      </c>
      <c r="E223" s="558">
        <f t="shared" si="24"/>
        <v>580.61040488013168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802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626</v>
      </c>
      <c r="C227" s="560">
        <f t="shared" ref="C227:D235" si="26">IF(C203=0,0,C47/C203)</f>
        <v>8618.6703303598406</v>
      </c>
      <c r="D227" s="560">
        <f t="shared" si="26"/>
        <v>8317.0723818433344</v>
      </c>
      <c r="E227" s="560">
        <f t="shared" ref="E227:E235" si="27">D227-C227</f>
        <v>-301.59794851650622</v>
      </c>
    </row>
    <row r="228" spans="1:5" s="506" customFormat="1" x14ac:dyDescent="0.2">
      <c r="A228" s="512">
        <v>2</v>
      </c>
      <c r="B228" s="511" t="s">
        <v>605</v>
      </c>
      <c r="C228" s="560">
        <f t="shared" si="26"/>
        <v>7016.9703551693819</v>
      </c>
      <c r="D228" s="560">
        <f t="shared" si="26"/>
        <v>7658.5911992919846</v>
      </c>
      <c r="E228" s="560">
        <f t="shared" si="27"/>
        <v>641.62084412260265</v>
      </c>
    </row>
    <row r="229" spans="1:5" s="506" customFormat="1" x14ac:dyDescent="0.2">
      <c r="A229" s="512">
        <v>3</v>
      </c>
      <c r="B229" s="511" t="s">
        <v>751</v>
      </c>
      <c r="C229" s="560">
        <f t="shared" si="26"/>
        <v>5508.7585470976201</v>
      </c>
      <c r="D229" s="560">
        <f t="shared" si="26"/>
        <v>7484.5857879978312</v>
      </c>
      <c r="E229" s="560">
        <f t="shared" si="27"/>
        <v>1975.8272409002111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5886.4061318684298</v>
      </c>
      <c r="D230" s="560">
        <f t="shared" si="26"/>
        <v>7038.5623105247787</v>
      </c>
      <c r="E230" s="560">
        <f t="shared" si="27"/>
        <v>1152.1561786563489</v>
      </c>
    </row>
    <row r="231" spans="1:5" s="506" customFormat="1" x14ac:dyDescent="0.2">
      <c r="A231" s="512">
        <v>5</v>
      </c>
      <c r="B231" s="511" t="s">
        <v>718</v>
      </c>
      <c r="C231" s="560">
        <f t="shared" si="26"/>
        <v>3940.4664160003535</v>
      </c>
      <c r="D231" s="560">
        <f t="shared" si="26"/>
        <v>18019.509824342153</v>
      </c>
      <c r="E231" s="560">
        <f t="shared" si="27"/>
        <v>14079.043408341799</v>
      </c>
    </row>
    <row r="232" spans="1:5" s="506" customFormat="1" x14ac:dyDescent="0.2">
      <c r="A232" s="512">
        <v>6</v>
      </c>
      <c r="B232" s="511" t="s">
        <v>418</v>
      </c>
      <c r="C232" s="560">
        <f t="shared" si="26"/>
        <v>5270.7093821510298</v>
      </c>
      <c r="D232" s="560">
        <f t="shared" si="26"/>
        <v>5123.5481245838573</v>
      </c>
      <c r="E232" s="560">
        <f t="shared" si="27"/>
        <v>-147.16125756717247</v>
      </c>
    </row>
    <row r="233" spans="1:5" s="506" customFormat="1" x14ac:dyDescent="0.2">
      <c r="A233" s="512">
        <v>7</v>
      </c>
      <c r="B233" s="511" t="s">
        <v>733</v>
      </c>
      <c r="C233" s="560">
        <f t="shared" si="26"/>
        <v>991.10400806539394</v>
      </c>
      <c r="D233" s="560">
        <f t="shared" si="26"/>
        <v>151402.50855188142</v>
      </c>
      <c r="E233" s="560">
        <f t="shared" si="27"/>
        <v>150411.40454381602</v>
      </c>
    </row>
    <row r="234" spans="1:5" x14ac:dyDescent="0.2">
      <c r="A234" s="512"/>
      <c r="B234" s="516" t="s">
        <v>803</v>
      </c>
      <c r="C234" s="561">
        <f t="shared" si="26"/>
        <v>6824.6073909456381</v>
      </c>
      <c r="D234" s="561">
        <f t="shared" si="26"/>
        <v>7627.7692474659088</v>
      </c>
      <c r="E234" s="561">
        <f t="shared" si="27"/>
        <v>803.1618565202707</v>
      </c>
    </row>
    <row r="235" spans="1:5" s="506" customFormat="1" x14ac:dyDescent="0.2">
      <c r="A235" s="512"/>
      <c r="B235" s="516" t="s">
        <v>804</v>
      </c>
      <c r="C235" s="561">
        <f t="shared" si="26"/>
        <v>7495.9721307276741</v>
      </c>
      <c r="D235" s="561">
        <f t="shared" si="26"/>
        <v>7898.1520986132973</v>
      </c>
      <c r="E235" s="561">
        <f t="shared" si="27"/>
        <v>402.17996788562323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321</v>
      </c>
      <c r="B237" s="509" t="s">
        <v>805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626</v>
      </c>
      <c r="C239" s="560">
        <f t="shared" ref="C239:D247" si="28">IF(C215=0,0,C58/C215)</f>
        <v>12276.54928655119</v>
      </c>
      <c r="D239" s="560">
        <f t="shared" si="28"/>
        <v>11213.772786889709</v>
      </c>
      <c r="E239" s="562">
        <f t="shared" ref="E239:E247" si="29">D239-C239</f>
        <v>-1062.7764996614806</v>
      </c>
    </row>
    <row r="240" spans="1:5" s="506" customFormat="1" x14ac:dyDescent="0.2">
      <c r="A240" s="512">
        <v>2</v>
      </c>
      <c r="B240" s="511" t="s">
        <v>605</v>
      </c>
      <c r="C240" s="560">
        <f t="shared" si="28"/>
        <v>6349.4415577563832</v>
      </c>
      <c r="D240" s="560">
        <f t="shared" si="28"/>
        <v>6700.8673189866777</v>
      </c>
      <c r="E240" s="562">
        <f t="shared" si="29"/>
        <v>351.42576123029448</v>
      </c>
    </row>
    <row r="241" spans="1:5" x14ac:dyDescent="0.2">
      <c r="A241" s="512">
        <v>3</v>
      </c>
      <c r="B241" s="511" t="s">
        <v>751</v>
      </c>
      <c r="C241" s="560">
        <f t="shared" si="28"/>
        <v>4818.3771546073349</v>
      </c>
      <c r="D241" s="560">
        <f t="shared" si="28"/>
        <v>5152.1444929083218</v>
      </c>
      <c r="E241" s="562">
        <f t="shared" si="29"/>
        <v>333.76733830098692</v>
      </c>
    </row>
    <row r="242" spans="1:5" x14ac:dyDescent="0.2">
      <c r="A242" s="512">
        <v>4</v>
      </c>
      <c r="B242" s="511" t="s">
        <v>114</v>
      </c>
      <c r="C242" s="560">
        <f t="shared" si="28"/>
        <v>4705.9986779163655</v>
      </c>
      <c r="D242" s="560">
        <f t="shared" si="28"/>
        <v>5057.429224628253</v>
      </c>
      <c r="E242" s="562">
        <f t="shared" si="29"/>
        <v>351.43054671188747</v>
      </c>
    </row>
    <row r="243" spans="1:5" x14ac:dyDescent="0.2">
      <c r="A243" s="512">
        <v>5</v>
      </c>
      <c r="B243" s="511" t="s">
        <v>718</v>
      </c>
      <c r="C243" s="560">
        <f t="shared" si="28"/>
        <v>7543.0548455206772</v>
      </c>
      <c r="D243" s="560">
        <f t="shared" si="28"/>
        <v>21408.574156305127</v>
      </c>
      <c r="E243" s="562">
        <f t="shared" si="29"/>
        <v>13865.51931078445</v>
      </c>
    </row>
    <row r="244" spans="1:5" x14ac:dyDescent="0.2">
      <c r="A244" s="512">
        <v>6</v>
      </c>
      <c r="B244" s="511" t="s">
        <v>418</v>
      </c>
      <c r="C244" s="560">
        <f t="shared" si="28"/>
        <v>5081.8988883235734</v>
      </c>
      <c r="D244" s="560">
        <f t="shared" si="28"/>
        <v>7500.7608351993395</v>
      </c>
      <c r="E244" s="562">
        <f t="shared" si="29"/>
        <v>2418.8619468757661</v>
      </c>
    </row>
    <row r="245" spans="1:5" x14ac:dyDescent="0.2">
      <c r="A245" s="512">
        <v>7</v>
      </c>
      <c r="B245" s="511" t="s">
        <v>733</v>
      </c>
      <c r="C245" s="560">
        <f t="shared" si="28"/>
        <v>1017.7589549540058</v>
      </c>
      <c r="D245" s="560">
        <f t="shared" si="28"/>
        <v>1327.7899400767888</v>
      </c>
      <c r="E245" s="562">
        <f t="shared" si="29"/>
        <v>310.03098512278291</v>
      </c>
    </row>
    <row r="246" spans="1:5" ht="25.5" x14ac:dyDescent="0.2">
      <c r="A246" s="512"/>
      <c r="B246" s="516" t="s">
        <v>806</v>
      </c>
      <c r="C246" s="561">
        <f t="shared" si="28"/>
        <v>5992.8837470803828</v>
      </c>
      <c r="D246" s="561">
        <f t="shared" si="28"/>
        <v>6257.5848005377584</v>
      </c>
      <c r="E246" s="563">
        <f t="shared" si="29"/>
        <v>264.70105345737556</v>
      </c>
    </row>
    <row r="247" spans="1:5" x14ac:dyDescent="0.2">
      <c r="A247" s="512"/>
      <c r="B247" s="516" t="s">
        <v>807</v>
      </c>
      <c r="C247" s="561">
        <f t="shared" si="28"/>
        <v>9562.4741845422122</v>
      </c>
      <c r="D247" s="561">
        <f t="shared" si="28"/>
        <v>9197.0718335068541</v>
      </c>
      <c r="E247" s="563">
        <f t="shared" si="29"/>
        <v>-365.40235103535815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735</v>
      </c>
      <c r="B249" s="550" t="s">
        <v>732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983733.19542212086</v>
      </c>
      <c r="D251" s="546">
        <f>((IF((IF(D15=0,0,D26/D15)*D138)=0,0,D59/(IF(D15=0,0,D26/D15)*D138)))-(IF((IF(D17=0,0,D28/D17)*D140)=0,0,D61/(IF(D17=0,0,D28/D17)*D140))))*(IF(D17=0,0,D28/D17)*D140)</f>
        <v>1320341.2068919416</v>
      </c>
      <c r="E251" s="546">
        <f>D251-C251</f>
        <v>336608.01146982075</v>
      </c>
    </row>
    <row r="252" spans="1:5" x14ac:dyDescent="0.2">
      <c r="A252" s="512">
        <v>2</v>
      </c>
      <c r="B252" s="511" t="s">
        <v>718</v>
      </c>
      <c r="C252" s="546">
        <f>IF(C231=0,0,(C228-C231)*C207)+IF(C243=0,0,(C240-C243)*C219)</f>
        <v>123784.40844023635</v>
      </c>
      <c r="D252" s="546">
        <f>IF(D231=0,0,(D228-D231)*D207)+IF(D243=0,0,(D240-D243)*D219)</f>
        <v>-158382.02030267337</v>
      </c>
      <c r="E252" s="546">
        <f>D252-C252</f>
        <v>-282166.42874290969</v>
      </c>
    </row>
    <row r="253" spans="1:5" x14ac:dyDescent="0.2">
      <c r="A253" s="512">
        <v>3</v>
      </c>
      <c r="B253" s="511" t="s">
        <v>733</v>
      </c>
      <c r="C253" s="546">
        <f>IF(C233=0,0,(C228-C233)*C209+IF(C221=0,0,(C240-C245)*C221))</f>
        <v>1481898.0753318528</v>
      </c>
      <c r="D253" s="546">
        <f>IF(D233=0,0,(D228-D233)*D209+IF(D221=0,0,(D240-D245)*D221))</f>
        <v>1333604.1402819732</v>
      </c>
      <c r="E253" s="546">
        <f>D253-C253</f>
        <v>-148293.9350498796</v>
      </c>
    </row>
    <row r="254" spans="1:5" ht="15" customHeight="1" x14ac:dyDescent="0.2">
      <c r="A254" s="512"/>
      <c r="B254" s="516" t="s">
        <v>734</v>
      </c>
      <c r="C254" s="564">
        <f>+C251+C252+C253</f>
        <v>2589415.6791942101</v>
      </c>
      <c r="D254" s="564">
        <f>+D251+D252+D253</f>
        <v>2495563.3268712414</v>
      </c>
      <c r="E254" s="564">
        <f>D254-C254</f>
        <v>-93852.352322968654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808</v>
      </c>
      <c r="B256" s="550" t="s">
        <v>809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700</v>
      </c>
      <c r="C258" s="546">
        <f>+C44</f>
        <v>240127700</v>
      </c>
      <c r="D258" s="549">
        <f>+D44</f>
        <v>238485896</v>
      </c>
      <c r="E258" s="546">
        <f t="shared" ref="E258:E271" si="30">D258-C258</f>
        <v>-1641804</v>
      </c>
    </row>
    <row r="259" spans="1:5" x14ac:dyDescent="0.2">
      <c r="A259" s="512">
        <v>2</v>
      </c>
      <c r="B259" s="511" t="s">
        <v>717</v>
      </c>
      <c r="C259" s="546">
        <f>+(C43-C76)</f>
        <v>93916922</v>
      </c>
      <c r="D259" s="549">
        <f>+(D43-D76)</f>
        <v>91265544</v>
      </c>
      <c r="E259" s="546">
        <f t="shared" si="30"/>
        <v>-2651378</v>
      </c>
    </row>
    <row r="260" spans="1:5" x14ac:dyDescent="0.2">
      <c r="A260" s="512">
        <v>3</v>
      </c>
      <c r="B260" s="511" t="s">
        <v>721</v>
      </c>
      <c r="C260" s="546">
        <f>C195</f>
        <v>5273975</v>
      </c>
      <c r="D260" s="546">
        <f>D195</f>
        <v>4280580</v>
      </c>
      <c r="E260" s="546">
        <f t="shared" si="30"/>
        <v>-993395</v>
      </c>
    </row>
    <row r="261" spans="1:5" x14ac:dyDescent="0.2">
      <c r="A261" s="512">
        <v>4</v>
      </c>
      <c r="B261" s="511" t="s">
        <v>722</v>
      </c>
      <c r="C261" s="546">
        <f>C188</f>
        <v>55956853</v>
      </c>
      <c r="D261" s="546">
        <f>D188</f>
        <v>55231186</v>
      </c>
      <c r="E261" s="546">
        <f t="shared" si="30"/>
        <v>-725667</v>
      </c>
    </row>
    <row r="262" spans="1:5" x14ac:dyDescent="0.2">
      <c r="A262" s="512">
        <v>5</v>
      </c>
      <c r="B262" s="511" t="s">
        <v>723</v>
      </c>
      <c r="C262" s="546">
        <f>C191</f>
        <v>0</v>
      </c>
      <c r="D262" s="546">
        <f>D191</f>
        <v>0</v>
      </c>
      <c r="E262" s="546">
        <f t="shared" si="30"/>
        <v>0</v>
      </c>
    </row>
    <row r="263" spans="1:5" x14ac:dyDescent="0.2">
      <c r="A263" s="512">
        <v>6</v>
      </c>
      <c r="B263" s="511" t="s">
        <v>724</v>
      </c>
      <c r="C263" s="546">
        <f>+C259+C260+C261+C262</f>
        <v>155147750</v>
      </c>
      <c r="D263" s="546">
        <f>+D259+D260+D261+D262</f>
        <v>150777310</v>
      </c>
      <c r="E263" s="546">
        <f t="shared" si="30"/>
        <v>-4370440</v>
      </c>
    </row>
    <row r="264" spans="1:5" x14ac:dyDescent="0.2">
      <c r="A264" s="512">
        <v>7</v>
      </c>
      <c r="B264" s="511" t="s">
        <v>624</v>
      </c>
      <c r="C264" s="546">
        <f>+C258-C263</f>
        <v>84979950</v>
      </c>
      <c r="D264" s="546">
        <f>+D258-D263</f>
        <v>87708586</v>
      </c>
      <c r="E264" s="546">
        <f t="shared" si="30"/>
        <v>2728636</v>
      </c>
    </row>
    <row r="265" spans="1:5" x14ac:dyDescent="0.2">
      <c r="A265" s="512">
        <v>8</v>
      </c>
      <c r="B265" s="511" t="s">
        <v>810</v>
      </c>
      <c r="C265" s="565">
        <f>C192</f>
        <v>351378</v>
      </c>
      <c r="D265" s="565">
        <f>D192</f>
        <v>0</v>
      </c>
      <c r="E265" s="546">
        <f t="shared" si="30"/>
        <v>-351378</v>
      </c>
    </row>
    <row r="266" spans="1:5" x14ac:dyDescent="0.2">
      <c r="A266" s="512">
        <v>9</v>
      </c>
      <c r="B266" s="511" t="s">
        <v>811</v>
      </c>
      <c r="C266" s="546">
        <f>+C264+C265</f>
        <v>85331328</v>
      </c>
      <c r="D266" s="546">
        <f>+D264+D265</f>
        <v>87708586</v>
      </c>
      <c r="E266" s="565">
        <f t="shared" si="30"/>
        <v>2377258</v>
      </c>
    </row>
    <row r="267" spans="1:5" x14ac:dyDescent="0.2">
      <c r="A267" s="512">
        <v>10</v>
      </c>
      <c r="B267" s="511" t="s">
        <v>812</v>
      </c>
      <c r="C267" s="566">
        <f>IF(C258=0,0,C266/C258)</f>
        <v>0.35535811986705407</v>
      </c>
      <c r="D267" s="566">
        <f>IF(D258=0,0,D266/D258)</f>
        <v>0.36777263339715488</v>
      </c>
      <c r="E267" s="567">
        <f t="shared" si="30"/>
        <v>1.2414513530100812E-2</v>
      </c>
    </row>
    <row r="268" spans="1:5" x14ac:dyDescent="0.2">
      <c r="A268" s="512">
        <v>11</v>
      </c>
      <c r="B268" s="511" t="s">
        <v>686</v>
      </c>
      <c r="C268" s="546">
        <f>+C260*C267</f>
        <v>1874149.8402258465</v>
      </c>
      <c r="D268" s="568">
        <f>+D260*D267</f>
        <v>1574280.1790671933</v>
      </c>
      <c r="E268" s="546">
        <f t="shared" si="30"/>
        <v>-299869.66115865321</v>
      </c>
    </row>
    <row r="269" spans="1:5" x14ac:dyDescent="0.2">
      <c r="A269" s="512">
        <v>12</v>
      </c>
      <c r="B269" s="511" t="s">
        <v>813</v>
      </c>
      <c r="C269" s="546">
        <f>((C17+C18+C28+C29)*C267)-(C50+C51+C61+C62)</f>
        <v>1483716.7736130236</v>
      </c>
      <c r="D269" s="568">
        <f>((D17+D18+D28+D29)*D267)-(D50+D51+D61+D62)</f>
        <v>1702587.2441318212</v>
      </c>
      <c r="E269" s="546">
        <f t="shared" si="30"/>
        <v>218870.47051879764</v>
      </c>
    </row>
    <row r="270" spans="1:5" s="569" customFormat="1" x14ac:dyDescent="0.2">
      <c r="A270" s="570">
        <v>13</v>
      </c>
      <c r="B270" s="571" t="s">
        <v>814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815</v>
      </c>
      <c r="C271" s="546">
        <f>+C268+C269+C270</f>
        <v>3357866.6138388701</v>
      </c>
      <c r="D271" s="546">
        <f>+D268+D269+D270</f>
        <v>3276867.4231990147</v>
      </c>
      <c r="E271" s="549">
        <f t="shared" si="30"/>
        <v>-80999.19063985534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816</v>
      </c>
      <c r="B273" s="550" t="s">
        <v>817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818</v>
      </c>
      <c r="C275" s="340"/>
      <c r="D275" s="340"/>
      <c r="E275" s="520"/>
    </row>
    <row r="276" spans="1:5" x14ac:dyDescent="0.2">
      <c r="A276" s="512">
        <v>1</v>
      </c>
      <c r="B276" s="511" t="s">
        <v>626</v>
      </c>
      <c r="C276" s="547">
        <f t="shared" ref="C276:D284" si="31">IF(C14=0,0,+C47/C14)</f>
        <v>0.40118351145089126</v>
      </c>
      <c r="D276" s="547">
        <f t="shared" si="31"/>
        <v>0.41970192751231861</v>
      </c>
      <c r="E276" s="574">
        <f t="shared" ref="E276:E284" si="32">D276-C276</f>
        <v>1.8518416061427345E-2</v>
      </c>
    </row>
    <row r="277" spans="1:5" x14ac:dyDescent="0.2">
      <c r="A277" s="512">
        <v>2</v>
      </c>
      <c r="B277" s="511" t="s">
        <v>605</v>
      </c>
      <c r="C277" s="547">
        <f t="shared" si="31"/>
        <v>0.3270465964057232</v>
      </c>
      <c r="D277" s="547">
        <f t="shared" si="31"/>
        <v>0.3278475792649187</v>
      </c>
      <c r="E277" s="574">
        <f t="shared" si="32"/>
        <v>8.0098285919549816E-4</v>
      </c>
    </row>
    <row r="278" spans="1:5" x14ac:dyDescent="0.2">
      <c r="A278" s="512">
        <v>3</v>
      </c>
      <c r="B278" s="511" t="s">
        <v>751</v>
      </c>
      <c r="C278" s="547">
        <f t="shared" si="31"/>
        <v>0.26333872181291296</v>
      </c>
      <c r="D278" s="547">
        <f t="shared" si="31"/>
        <v>0.32499853053307359</v>
      </c>
      <c r="E278" s="574">
        <f t="shared" si="32"/>
        <v>6.1659808720160636E-2</v>
      </c>
    </row>
    <row r="279" spans="1:5" x14ac:dyDescent="0.2">
      <c r="A279" s="512">
        <v>4</v>
      </c>
      <c r="B279" s="511" t="s">
        <v>114</v>
      </c>
      <c r="C279" s="547">
        <f t="shared" si="31"/>
        <v>0.27625764857189983</v>
      </c>
      <c r="D279" s="547">
        <f t="shared" si="31"/>
        <v>0.32619431489558026</v>
      </c>
      <c r="E279" s="574">
        <f t="shared" si="32"/>
        <v>4.9936666323680434E-2</v>
      </c>
    </row>
    <row r="280" spans="1:5" x14ac:dyDescent="0.2">
      <c r="A280" s="512">
        <v>5</v>
      </c>
      <c r="B280" s="511" t="s">
        <v>718</v>
      </c>
      <c r="C280" s="547">
        <f t="shared" si="31"/>
        <v>0.20412195530302163</v>
      </c>
      <c r="D280" s="547">
        <f t="shared" si="31"/>
        <v>0.31436623471532193</v>
      </c>
      <c r="E280" s="574">
        <f t="shared" si="32"/>
        <v>0.11024427941230031</v>
      </c>
    </row>
    <row r="281" spans="1:5" x14ac:dyDescent="0.2">
      <c r="A281" s="512">
        <v>6</v>
      </c>
      <c r="B281" s="511" t="s">
        <v>418</v>
      </c>
      <c r="C281" s="547">
        <f t="shared" si="31"/>
        <v>0.22314473939159077</v>
      </c>
      <c r="D281" s="547">
        <f t="shared" si="31"/>
        <v>0.2012631925642131</v>
      </c>
      <c r="E281" s="574">
        <f t="shared" si="32"/>
        <v>-2.1881546827377668E-2</v>
      </c>
    </row>
    <row r="282" spans="1:5" x14ac:dyDescent="0.2">
      <c r="A282" s="512">
        <v>7</v>
      </c>
      <c r="B282" s="511" t="s">
        <v>733</v>
      </c>
      <c r="C282" s="547">
        <f t="shared" si="31"/>
        <v>5.480791465736342E-2</v>
      </c>
      <c r="D282" s="547">
        <f t="shared" si="31"/>
        <v>8.9297374232408674E-2</v>
      </c>
      <c r="E282" s="574">
        <f t="shared" si="32"/>
        <v>3.4489459575045255E-2</v>
      </c>
    </row>
    <row r="283" spans="1:5" ht="29.25" customHeight="1" x14ac:dyDescent="0.2">
      <c r="A283" s="512"/>
      <c r="B283" s="516" t="s">
        <v>819</v>
      </c>
      <c r="C283" s="575">
        <f t="shared" si="31"/>
        <v>0.31901045273182899</v>
      </c>
      <c r="D283" s="575">
        <f t="shared" si="31"/>
        <v>0.32692772361918848</v>
      </c>
      <c r="E283" s="576">
        <f t="shared" si="32"/>
        <v>7.9172708873594955E-3</v>
      </c>
    </row>
    <row r="284" spans="1:5" x14ac:dyDescent="0.2">
      <c r="A284" s="512"/>
      <c r="B284" s="516" t="s">
        <v>820</v>
      </c>
      <c r="C284" s="575">
        <f t="shared" si="31"/>
        <v>0.34984170133785386</v>
      </c>
      <c r="D284" s="575">
        <f t="shared" si="31"/>
        <v>0.3597776442441275</v>
      </c>
      <c r="E284" s="576">
        <f t="shared" si="32"/>
        <v>9.9359429062736426E-3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821</v>
      </c>
      <c r="C286" s="520"/>
      <c r="D286" s="520"/>
      <c r="E286" s="520"/>
    </row>
    <row r="287" spans="1:5" x14ac:dyDescent="0.2">
      <c r="A287" s="512">
        <v>1</v>
      </c>
      <c r="B287" s="511" t="s">
        <v>626</v>
      </c>
      <c r="C287" s="547">
        <f t="shared" ref="C287:D295" si="33">IF(C25=0,0,+C58/C25)</f>
        <v>0.4922059941661418</v>
      </c>
      <c r="D287" s="547">
        <f t="shared" si="33"/>
        <v>0.5012198854773201</v>
      </c>
      <c r="E287" s="574">
        <f t="shared" ref="E287:E295" si="34">D287-C287</f>
        <v>9.0138913111783014E-3</v>
      </c>
    </row>
    <row r="288" spans="1:5" x14ac:dyDescent="0.2">
      <c r="A288" s="512">
        <v>2</v>
      </c>
      <c r="B288" s="511" t="s">
        <v>605</v>
      </c>
      <c r="C288" s="547">
        <f t="shared" si="33"/>
        <v>0.19281629415162371</v>
      </c>
      <c r="D288" s="547">
        <f t="shared" si="33"/>
        <v>0.20878485302339789</v>
      </c>
      <c r="E288" s="574">
        <f t="shared" si="34"/>
        <v>1.5968558871774174E-2</v>
      </c>
    </row>
    <row r="289" spans="1:5" x14ac:dyDescent="0.2">
      <c r="A289" s="512">
        <v>3</v>
      </c>
      <c r="B289" s="511" t="s">
        <v>751</v>
      </c>
      <c r="C289" s="547">
        <f t="shared" si="33"/>
        <v>0.26728140498324476</v>
      </c>
      <c r="D289" s="547">
        <f t="shared" si="33"/>
        <v>0.27069852402377154</v>
      </c>
      <c r="E289" s="574">
        <f t="shared" si="34"/>
        <v>3.4171190405267726E-3</v>
      </c>
    </row>
    <row r="290" spans="1:5" x14ac:dyDescent="0.2">
      <c r="A290" s="512">
        <v>4</v>
      </c>
      <c r="B290" s="511" t="s">
        <v>114</v>
      </c>
      <c r="C290" s="547">
        <f t="shared" si="33"/>
        <v>0.26904543845193524</v>
      </c>
      <c r="D290" s="547">
        <f t="shared" si="33"/>
        <v>0.27099192169359049</v>
      </c>
      <c r="E290" s="574">
        <f t="shared" si="34"/>
        <v>1.9464832416552502E-3</v>
      </c>
    </row>
    <row r="291" spans="1:5" x14ac:dyDescent="0.2">
      <c r="A291" s="512">
        <v>5</v>
      </c>
      <c r="B291" s="511" t="s">
        <v>718</v>
      </c>
      <c r="C291" s="547">
        <f t="shared" si="33"/>
        <v>0.24316468605020114</v>
      </c>
      <c r="D291" s="547">
        <f t="shared" si="33"/>
        <v>0.25931503836250952</v>
      </c>
      <c r="E291" s="574">
        <f t="shared" si="34"/>
        <v>1.615035231230838E-2</v>
      </c>
    </row>
    <row r="292" spans="1:5" x14ac:dyDescent="0.2">
      <c r="A292" s="512">
        <v>6</v>
      </c>
      <c r="B292" s="511" t="s">
        <v>418</v>
      </c>
      <c r="C292" s="547">
        <f t="shared" si="33"/>
        <v>0.24616832437141897</v>
      </c>
      <c r="D292" s="547">
        <f t="shared" si="33"/>
        <v>0.25431110886024666</v>
      </c>
      <c r="E292" s="574">
        <f t="shared" si="34"/>
        <v>8.1427844888276868E-3</v>
      </c>
    </row>
    <row r="293" spans="1:5" x14ac:dyDescent="0.2">
      <c r="A293" s="512">
        <v>7</v>
      </c>
      <c r="B293" s="511" t="s">
        <v>733</v>
      </c>
      <c r="C293" s="547">
        <f t="shared" si="33"/>
        <v>5.4807604962609585E-2</v>
      </c>
      <c r="D293" s="547">
        <f t="shared" si="33"/>
        <v>8.9296697681175249E-2</v>
      </c>
      <c r="E293" s="574">
        <f t="shared" si="34"/>
        <v>3.4489092718565664E-2</v>
      </c>
    </row>
    <row r="294" spans="1:5" ht="29.25" customHeight="1" x14ac:dyDescent="0.2">
      <c r="A294" s="512"/>
      <c r="B294" s="516" t="s">
        <v>822</v>
      </c>
      <c r="C294" s="575">
        <f t="shared" si="33"/>
        <v>0.20342638061485002</v>
      </c>
      <c r="D294" s="575">
        <f t="shared" si="33"/>
        <v>0.22092267642542537</v>
      </c>
      <c r="E294" s="576">
        <f t="shared" si="34"/>
        <v>1.7496295810575352E-2</v>
      </c>
    </row>
    <row r="295" spans="1:5" x14ac:dyDescent="0.2">
      <c r="A295" s="512"/>
      <c r="B295" s="516" t="s">
        <v>823</v>
      </c>
      <c r="C295" s="575">
        <f t="shared" si="33"/>
        <v>0.35557144844721483</v>
      </c>
      <c r="D295" s="575">
        <f t="shared" si="33"/>
        <v>0.3709276392955283</v>
      </c>
      <c r="E295" s="576">
        <f t="shared" si="34"/>
        <v>1.5356190848313467E-2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824</v>
      </c>
      <c r="B297" s="501" t="s">
        <v>825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826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624</v>
      </c>
      <c r="C301" s="514">
        <f>+C48+C47+C50+C51+C52+C59+C58+C61+C62+C63</f>
        <v>84979950</v>
      </c>
      <c r="D301" s="514">
        <f>+D48+D47+D50+D51+D52+D59+D58+D61+D62+D63</f>
        <v>87708587</v>
      </c>
      <c r="E301" s="514">
        <f>D301-C301</f>
        <v>2728637</v>
      </c>
    </row>
    <row r="302" spans="1:5" ht="25.5" x14ac:dyDescent="0.2">
      <c r="A302" s="512">
        <v>2</v>
      </c>
      <c r="B302" s="511" t="s">
        <v>827</v>
      </c>
      <c r="C302" s="546">
        <f>C265</f>
        <v>351378</v>
      </c>
      <c r="D302" s="546">
        <f>D265</f>
        <v>0</v>
      </c>
      <c r="E302" s="514">
        <f>D302-C302</f>
        <v>-351378</v>
      </c>
    </row>
    <row r="303" spans="1:5" x14ac:dyDescent="0.2">
      <c r="A303" s="512"/>
      <c r="B303" s="516" t="s">
        <v>828</v>
      </c>
      <c r="C303" s="517">
        <f>+C301+C302</f>
        <v>85331328</v>
      </c>
      <c r="D303" s="517">
        <f>+D301+D302</f>
        <v>87708587</v>
      </c>
      <c r="E303" s="517">
        <f>D303-C303</f>
        <v>2377259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829</v>
      </c>
      <c r="C305" s="513">
        <v>3065190</v>
      </c>
      <c r="D305" s="578">
        <v>2879520</v>
      </c>
      <c r="E305" s="579">
        <f>D305-C305</f>
        <v>-185670</v>
      </c>
    </row>
    <row r="306" spans="1:5" x14ac:dyDescent="0.2">
      <c r="A306" s="512">
        <v>4</v>
      </c>
      <c r="B306" s="516" t="s">
        <v>830</v>
      </c>
      <c r="C306" s="580">
        <f>+C303+C305</f>
        <v>88396518</v>
      </c>
      <c r="D306" s="580">
        <f>+D303+D305</f>
        <v>90588107</v>
      </c>
      <c r="E306" s="580">
        <f>D306-C306</f>
        <v>2191589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831</v>
      </c>
      <c r="C308" s="513">
        <v>88396564</v>
      </c>
      <c r="D308" s="513">
        <v>90588107</v>
      </c>
      <c r="E308" s="514">
        <f>D308-C308</f>
        <v>2191543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832</v>
      </c>
      <c r="C310" s="581">
        <f>C306-C308</f>
        <v>-46</v>
      </c>
      <c r="D310" s="582">
        <f>D306-D308</f>
        <v>0</v>
      </c>
      <c r="E310" s="580">
        <f>D310-C310</f>
        <v>46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833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834</v>
      </c>
      <c r="C314" s="514">
        <f>+C14+C15+C16+C19+C25+C26+C27+C30</f>
        <v>240127700</v>
      </c>
      <c r="D314" s="514">
        <f>+D14+D15+D16+D19+D25+D26+D27+D30</f>
        <v>238485896</v>
      </c>
      <c r="E314" s="514">
        <f>D314-C314</f>
        <v>-1641804</v>
      </c>
    </row>
    <row r="315" spans="1:5" x14ac:dyDescent="0.2">
      <c r="A315" s="512">
        <v>2</v>
      </c>
      <c r="B315" s="583" t="s">
        <v>835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836</v>
      </c>
      <c r="C316" s="581">
        <f>C314+C315</f>
        <v>240127700</v>
      </c>
      <c r="D316" s="581">
        <f>D314+D315</f>
        <v>238485896</v>
      </c>
      <c r="E316" s="517">
        <f>D316-C316</f>
        <v>-1641804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837</v>
      </c>
      <c r="C318" s="513">
        <v>240127700</v>
      </c>
      <c r="D318" s="513">
        <v>238485898</v>
      </c>
      <c r="E318" s="514">
        <f>D318-C318</f>
        <v>-1641802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832</v>
      </c>
      <c r="C320" s="581">
        <f>C316-C318</f>
        <v>0</v>
      </c>
      <c r="D320" s="581">
        <f>D316-D318</f>
        <v>-2</v>
      </c>
      <c r="E320" s="517">
        <f>D320-C320</f>
        <v>-2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838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839</v>
      </c>
      <c r="C324" s="513">
        <f>+C193+C194</f>
        <v>5273975</v>
      </c>
      <c r="D324" s="513">
        <f>+D193+D194</f>
        <v>4280580</v>
      </c>
      <c r="E324" s="514">
        <f>D324-C324</f>
        <v>-993395</v>
      </c>
    </row>
    <row r="325" spans="1:5" x14ac:dyDescent="0.2">
      <c r="A325" s="512">
        <v>2</v>
      </c>
      <c r="B325" s="511" t="s">
        <v>840</v>
      </c>
      <c r="C325" s="513">
        <v>386008</v>
      </c>
      <c r="D325" s="513">
        <v>850055</v>
      </c>
      <c r="E325" s="514">
        <f>D325-C325</f>
        <v>464047</v>
      </c>
    </row>
    <row r="326" spans="1:5" x14ac:dyDescent="0.2">
      <c r="A326" s="512"/>
      <c r="B326" s="516" t="s">
        <v>841</v>
      </c>
      <c r="C326" s="581">
        <f>C324+C325</f>
        <v>5659983</v>
      </c>
      <c r="D326" s="581">
        <f>D324+D325</f>
        <v>5130635</v>
      </c>
      <c r="E326" s="517">
        <f>D326-C326</f>
        <v>-529348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842</v>
      </c>
      <c r="C328" s="513">
        <v>5659983</v>
      </c>
      <c r="D328" s="513">
        <v>5130635</v>
      </c>
      <c r="E328" s="514">
        <f>D328-C328</f>
        <v>-529348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843</v>
      </c>
      <c r="C330" s="581">
        <f>C326-C328</f>
        <v>0</v>
      </c>
      <c r="D330" s="581">
        <f>D326-D328</f>
        <v>0</v>
      </c>
      <c r="E330" s="517">
        <f>D330-C330</f>
        <v>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 r:id="rId1"/>
  <headerFooter>
    <oddHeader>&amp;LOFFICE OF HEALTH CARE ACCESS&amp;CTWELVE MONTHS ACTUAL FILING&amp;RNEW MILFORD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596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844</v>
      </c>
      <c r="B5" s="696"/>
      <c r="C5" s="697"/>
      <c r="D5" s="585"/>
    </row>
    <row r="6" spans="1:58" s="338" customFormat="1" ht="15.75" customHeight="1" x14ac:dyDescent="0.25">
      <c r="A6" s="695" t="s">
        <v>845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846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847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750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626</v>
      </c>
      <c r="C14" s="513">
        <v>23894322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605</v>
      </c>
      <c r="C15" s="515">
        <v>38481431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751</v>
      </c>
      <c r="C16" s="515">
        <v>4899736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4404387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718</v>
      </c>
      <c r="C18" s="515">
        <v>495349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418</v>
      </c>
      <c r="C19" s="515">
        <v>206461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733</v>
      </c>
      <c r="C20" s="515">
        <v>817818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752</v>
      </c>
      <c r="C21" s="517">
        <f>SUM(C15+C16+C19)</f>
        <v>43587628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692</v>
      </c>
      <c r="C22" s="517">
        <f>SUM(C14+C21)</f>
        <v>67481950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753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626</v>
      </c>
      <c r="C25" s="513">
        <v>91515148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605</v>
      </c>
      <c r="C26" s="515">
        <v>63832303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751</v>
      </c>
      <c r="C27" s="515">
        <v>15380058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14993613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718</v>
      </c>
      <c r="C29" s="515">
        <v>386445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418</v>
      </c>
      <c r="C30" s="515">
        <v>276437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733</v>
      </c>
      <c r="C31" s="518">
        <v>3882484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754</v>
      </c>
      <c r="C32" s="517">
        <f>SUM(C26+C27+C30)</f>
        <v>79488798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698</v>
      </c>
      <c r="C33" s="517">
        <f>SUM(C25+C32)</f>
        <v>171003946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623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848</v>
      </c>
      <c r="C36" s="514">
        <f>SUM(C14+C25)</f>
        <v>115409470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849</v>
      </c>
      <c r="C37" s="518">
        <f>SUM(C21+C32)</f>
        <v>123076426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623</v>
      </c>
      <c r="C38" s="517">
        <f>SUM(+C36+C37)</f>
        <v>238485896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321</v>
      </c>
      <c r="B40" s="509" t="s">
        <v>763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626</v>
      </c>
      <c r="C41" s="513">
        <v>10028493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605</v>
      </c>
      <c r="C42" s="515">
        <v>12616044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751</v>
      </c>
      <c r="C43" s="515">
        <v>1592407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1436686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718</v>
      </c>
      <c r="C45" s="515">
        <v>155721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418</v>
      </c>
      <c r="C46" s="515">
        <v>41553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733</v>
      </c>
      <c r="C47" s="515">
        <v>73029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764</v>
      </c>
      <c r="C48" s="517">
        <f>SUM(C42+C43+C46)</f>
        <v>14250004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693</v>
      </c>
      <c r="C49" s="517">
        <f>SUM(C41+C48)</f>
        <v>24278497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342</v>
      </c>
      <c r="B51" s="509" t="s">
        <v>765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626</v>
      </c>
      <c r="C52" s="513">
        <v>45869212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605</v>
      </c>
      <c r="C53" s="515">
        <v>13327218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751</v>
      </c>
      <c r="C54" s="515">
        <v>4163359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4063148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718</v>
      </c>
      <c r="C56" s="515">
        <v>100211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418</v>
      </c>
      <c r="C57" s="515">
        <v>70301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733</v>
      </c>
      <c r="C58" s="515">
        <v>346693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766</v>
      </c>
      <c r="C59" s="517">
        <f>SUM(C53+C54+C57)</f>
        <v>17560878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699</v>
      </c>
      <c r="C60" s="517">
        <f>SUM(C52+C59)</f>
        <v>63430090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354</v>
      </c>
      <c r="B62" s="521" t="s">
        <v>624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850</v>
      </c>
      <c r="C63" s="514">
        <f>SUM(C41+C52)</f>
        <v>55897705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851</v>
      </c>
      <c r="C64" s="518">
        <f>SUM(C48+C59)</f>
        <v>31810882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624</v>
      </c>
      <c r="C65" s="517">
        <f>SUM(+C63+C64)</f>
        <v>87708587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852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853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626</v>
      </c>
      <c r="C70" s="530">
        <v>1068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605</v>
      </c>
      <c r="C71" s="530">
        <v>1199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751</v>
      </c>
      <c r="C72" s="530">
        <v>242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236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718</v>
      </c>
      <c r="C74" s="530">
        <v>6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418</v>
      </c>
      <c r="C75" s="545">
        <v>7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733</v>
      </c>
      <c r="C76" s="545">
        <v>55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781</v>
      </c>
      <c r="C77" s="532">
        <f>SUM(C71+C72+C75)</f>
        <v>1448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695</v>
      </c>
      <c r="C78" s="596">
        <f>SUM(C70+C77)</f>
        <v>2516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786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626</v>
      </c>
      <c r="C81" s="541">
        <v>1.129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605</v>
      </c>
      <c r="C82" s="541">
        <v>1.3738999999999999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751</v>
      </c>
      <c r="C83" s="541">
        <f>((C73*C84)+(C74*C85))/(C73+C74)</f>
        <v>0.87916611570247927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0.8649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718</v>
      </c>
      <c r="C85" s="541">
        <v>1.4402999999999999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418</v>
      </c>
      <c r="C86" s="541">
        <v>1.1586000000000001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733</v>
      </c>
      <c r="C87" s="541">
        <v>8.77E-3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787</v>
      </c>
      <c r="C88" s="543">
        <f>((C71*C82)+(C73*C84)+(C74*C85)+(C75*C86))/(C71+C73+C74+C75)</f>
        <v>1.2901757596685082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696</v>
      </c>
      <c r="C89" s="543">
        <f>((C70*C81)+(C71*C82)+(C73*C84)+(C74*C85)+(C75*C86))/(C70+C71+C73+C74+C75)</f>
        <v>1.2217593402225753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788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789</v>
      </c>
      <c r="C92" s="513">
        <v>110709168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790</v>
      </c>
      <c r="C93" s="546">
        <v>55477982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638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722</v>
      </c>
      <c r="C95" s="513">
        <f>+C92-C93</f>
        <v>55231186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640</v>
      </c>
      <c r="C96" s="597">
        <f>(+C92-C93)/C92</f>
        <v>0.49888538589685727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737</v>
      </c>
      <c r="C98" s="513">
        <v>0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723</v>
      </c>
      <c r="C99" s="513">
        <v>0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854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792</v>
      </c>
      <c r="C103" s="513">
        <v>1734591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793</v>
      </c>
      <c r="C104" s="513">
        <v>2545989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794</v>
      </c>
      <c r="C105" s="578">
        <f>+C103+C104</f>
        <v>4280580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795</v>
      </c>
      <c r="C107" s="513">
        <v>3223427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680</v>
      </c>
      <c r="C108" s="513">
        <v>93915766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825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826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624</v>
      </c>
      <c r="C114" s="514">
        <f>+C65</f>
        <v>87708587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827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828</v>
      </c>
      <c r="C116" s="517">
        <f>+C114+C115</f>
        <v>87708587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829</v>
      </c>
      <c r="C118" s="578">
        <v>2879520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830</v>
      </c>
      <c r="C119" s="580">
        <f>+C116+C118</f>
        <v>90588107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831</v>
      </c>
      <c r="C121" s="513">
        <v>90588107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832</v>
      </c>
      <c r="C123" s="582">
        <f>C119-C121</f>
        <v>0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833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834</v>
      </c>
      <c r="C127" s="514">
        <f>+C38</f>
        <v>238485896</v>
      </c>
      <c r="D127" s="588"/>
      <c r="AR127" s="507"/>
    </row>
    <row r="128" spans="1:58" s="506" customFormat="1" x14ac:dyDescent="0.2">
      <c r="A128" s="512">
        <v>2</v>
      </c>
      <c r="B128" s="583" t="s">
        <v>835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836</v>
      </c>
      <c r="C129" s="581">
        <f>C127+C128</f>
        <v>238485896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837</v>
      </c>
      <c r="C131" s="513">
        <v>238485898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832</v>
      </c>
      <c r="C133" s="581">
        <f>C129-C131</f>
        <v>-2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838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839</v>
      </c>
      <c r="C137" s="513">
        <f>C105</f>
        <v>4280580</v>
      </c>
      <c r="D137" s="588"/>
      <c r="AR137" s="507"/>
    </row>
    <row r="138" spans="1:44" s="506" customFormat="1" x14ac:dyDescent="0.2">
      <c r="A138" s="512">
        <v>2</v>
      </c>
      <c r="B138" s="511" t="s">
        <v>855</v>
      </c>
      <c r="C138" s="513">
        <v>850055</v>
      </c>
      <c r="D138" s="588"/>
      <c r="AR138" s="507"/>
    </row>
    <row r="139" spans="1:44" s="506" customFormat="1" x14ac:dyDescent="0.2">
      <c r="A139" s="512"/>
      <c r="B139" s="516" t="s">
        <v>841</v>
      </c>
      <c r="C139" s="581">
        <f>C137+C138</f>
        <v>5130635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856</v>
      </c>
      <c r="C141" s="513">
        <v>5130635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843</v>
      </c>
      <c r="C143" s="581">
        <f>C139-C141</f>
        <v>0</v>
      </c>
      <c r="D143" s="588"/>
      <c r="AR143" s="507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&amp;LOFFICE OF HEALTH CARE ACCESS&amp;CTWELVE MONTHS ACTUAL FILING&amp;RNEW MILFORD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596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597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857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600</v>
      </c>
      <c r="D8" s="35" t="s">
        <v>600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602</v>
      </c>
      <c r="D9" s="607" t="s">
        <v>603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858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859</v>
      </c>
      <c r="C12" s="49">
        <v>238</v>
      </c>
      <c r="D12" s="49">
        <v>114</v>
      </c>
      <c r="E12" s="49">
        <f>+D12-C12</f>
        <v>-124</v>
      </c>
      <c r="F12" s="70">
        <f>IF(C12=0,0,+E12/C12)</f>
        <v>-0.52100840336134457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860</v>
      </c>
      <c r="C13" s="49">
        <v>218</v>
      </c>
      <c r="D13" s="49">
        <v>110</v>
      </c>
      <c r="E13" s="49">
        <f>+D13-C13</f>
        <v>-108</v>
      </c>
      <c r="F13" s="70">
        <f>IF(C13=0,0,+E13/C13)</f>
        <v>-0.49541284403669728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861</v>
      </c>
      <c r="C15" s="51">
        <v>2208785</v>
      </c>
      <c r="D15" s="51">
        <v>1734591</v>
      </c>
      <c r="E15" s="51">
        <f>+D15-C15</f>
        <v>-474194</v>
      </c>
      <c r="F15" s="70">
        <f>IF(C15=0,0,+E15/C15)</f>
        <v>-0.21468544924019314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862</v>
      </c>
      <c r="C16" s="27">
        <f>IF(C13=0,0,+C15/+C13)</f>
        <v>10132.041284403669</v>
      </c>
      <c r="D16" s="27">
        <f>IF(D13=0,0,+D15/+D13)</f>
        <v>15769.00909090909</v>
      </c>
      <c r="E16" s="27">
        <f>+D16-C16</f>
        <v>5636.9678065054213</v>
      </c>
      <c r="F16" s="28">
        <f>IF(C16=0,0,+E16/C16)</f>
        <v>0.55635065514216275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863</v>
      </c>
      <c r="C18" s="210">
        <v>0.42127900000000001</v>
      </c>
      <c r="D18" s="210">
        <v>0.37677699999999997</v>
      </c>
      <c r="E18" s="210">
        <f>+D18-C18</f>
        <v>-4.4502000000000042E-2</v>
      </c>
      <c r="F18" s="70">
        <f>IF(C18=0,0,+E18/C18)</f>
        <v>-0.10563545773703423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864</v>
      </c>
      <c r="C19" s="27">
        <f>+C15*C18</f>
        <v>930514.73601500003</v>
      </c>
      <c r="D19" s="27">
        <f>+D15*D18</f>
        <v>653553.99320699996</v>
      </c>
      <c r="E19" s="27">
        <f>+D19-C19</f>
        <v>-276960.74280800007</v>
      </c>
      <c r="F19" s="28">
        <f>IF(C19=0,0,+E19/C19)</f>
        <v>-0.29764251127725871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865</v>
      </c>
      <c r="C20" s="27">
        <f>IF(C13=0,0,+C19/C13)</f>
        <v>4268.4162202522939</v>
      </c>
      <c r="D20" s="27">
        <f>IF(D13=0,0,+D19/D13)</f>
        <v>5941.399938245454</v>
      </c>
      <c r="E20" s="27">
        <f>+D20-C20</f>
        <v>1672.9837179931601</v>
      </c>
      <c r="F20" s="28">
        <f>IF(C20=0,0,+E20/C20)</f>
        <v>0.39194484128688717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866</v>
      </c>
      <c r="C22" s="51">
        <v>570582</v>
      </c>
      <c r="D22" s="51">
        <v>316633</v>
      </c>
      <c r="E22" s="51">
        <f>+D22-C22</f>
        <v>-253949</v>
      </c>
      <c r="F22" s="70">
        <f>IF(C22=0,0,+E22/C22)</f>
        <v>-0.44507012138483165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867</v>
      </c>
      <c r="C23" s="49">
        <v>1306699</v>
      </c>
      <c r="D23" s="49">
        <v>1168282</v>
      </c>
      <c r="E23" s="49">
        <f>+D23-C23</f>
        <v>-138417</v>
      </c>
      <c r="F23" s="70">
        <f>IF(C23=0,0,+E23/C23)</f>
        <v>-0.10592875635475346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868</v>
      </c>
      <c r="C24" s="49">
        <v>331504</v>
      </c>
      <c r="D24" s="49">
        <v>249676</v>
      </c>
      <c r="E24" s="49">
        <f>+D24-C24</f>
        <v>-81828</v>
      </c>
      <c r="F24" s="70">
        <f>IF(C24=0,0,+E24/C24)</f>
        <v>-0.24683865051402096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861</v>
      </c>
      <c r="C25" s="27">
        <f>+C22+C23+C24</f>
        <v>2208785</v>
      </c>
      <c r="D25" s="27">
        <f>+D22+D23+D24</f>
        <v>1734591</v>
      </c>
      <c r="E25" s="27">
        <f>+E22+E23+E24</f>
        <v>-474194</v>
      </c>
      <c r="F25" s="28">
        <f>IF(C25=0,0,+E25/C25)</f>
        <v>-0.21468544924019314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869</v>
      </c>
      <c r="C27" s="49">
        <v>115</v>
      </c>
      <c r="D27" s="49">
        <v>204</v>
      </c>
      <c r="E27" s="49">
        <f>+D27-C27</f>
        <v>89</v>
      </c>
      <c r="F27" s="70">
        <f>IF(C27=0,0,+E27/C27)</f>
        <v>0.77391304347826084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870</v>
      </c>
      <c r="C28" s="49">
        <v>39</v>
      </c>
      <c r="D28" s="49">
        <v>64</v>
      </c>
      <c r="E28" s="49">
        <f>+D28-C28</f>
        <v>25</v>
      </c>
      <c r="F28" s="70">
        <f>IF(C28=0,0,+E28/C28)</f>
        <v>0.64102564102564108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871</v>
      </c>
      <c r="C29" s="49">
        <v>293</v>
      </c>
      <c r="D29" s="49">
        <v>414</v>
      </c>
      <c r="E29" s="49">
        <f>+D29-C29</f>
        <v>121</v>
      </c>
      <c r="F29" s="70">
        <f>IF(C29=0,0,+E29/C29)</f>
        <v>0.41296928327645049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872</v>
      </c>
      <c r="C30" s="49">
        <v>472</v>
      </c>
      <c r="D30" s="49">
        <v>917</v>
      </c>
      <c r="E30" s="49">
        <f>+D30-C30</f>
        <v>445</v>
      </c>
      <c r="F30" s="70">
        <f>IF(C30=0,0,+E30/C30)</f>
        <v>0.94279661016949157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873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874</v>
      </c>
      <c r="C33" s="51">
        <v>896929</v>
      </c>
      <c r="D33" s="51">
        <v>720413</v>
      </c>
      <c r="E33" s="51">
        <f>+D33-C33</f>
        <v>-176516</v>
      </c>
      <c r="F33" s="70">
        <f>IF(C33=0,0,+E33/C33)</f>
        <v>-0.1968004156404799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875</v>
      </c>
      <c r="C34" s="49">
        <v>2083090</v>
      </c>
      <c r="D34" s="49">
        <v>1741296</v>
      </c>
      <c r="E34" s="49">
        <f>+D34-C34</f>
        <v>-341794</v>
      </c>
      <c r="F34" s="70">
        <f>IF(C34=0,0,+E34/C34)</f>
        <v>-0.16408028457723861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876</v>
      </c>
      <c r="C35" s="49">
        <v>85171</v>
      </c>
      <c r="D35" s="49">
        <v>84280</v>
      </c>
      <c r="E35" s="49">
        <f>+D35-C35</f>
        <v>-891</v>
      </c>
      <c r="F35" s="70">
        <f>IF(C35=0,0,+E35/C35)</f>
        <v>-1.0461307252468563E-2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877</v>
      </c>
      <c r="C36" s="27">
        <f>+C33+C34+C35</f>
        <v>3065190</v>
      </c>
      <c r="D36" s="27">
        <f>+D33+D34+D35</f>
        <v>2545989</v>
      </c>
      <c r="E36" s="27">
        <f>+E33+E34+E35</f>
        <v>-519201</v>
      </c>
      <c r="F36" s="28">
        <f>IF(C36=0,0,+E36/C36)</f>
        <v>-0.16938623706850145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878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879</v>
      </c>
      <c r="C39" s="51">
        <f>+C25</f>
        <v>2208785</v>
      </c>
      <c r="D39" s="51">
        <f>+D25</f>
        <v>1734591</v>
      </c>
      <c r="E39" s="51">
        <f>+D39-C39</f>
        <v>-474194</v>
      </c>
      <c r="F39" s="70">
        <f>IF(C39=0,0,+E39/C39)</f>
        <v>-0.21468544924019314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880</v>
      </c>
      <c r="C40" s="49">
        <f>+C36</f>
        <v>3065190</v>
      </c>
      <c r="D40" s="49">
        <f>+D36</f>
        <v>2545989</v>
      </c>
      <c r="E40" s="49">
        <f>+D40-C40</f>
        <v>-519201</v>
      </c>
      <c r="F40" s="70">
        <f>IF(C40=0,0,+E40/C40)</f>
        <v>-0.16938623706850145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881</v>
      </c>
      <c r="C41" s="27">
        <f>+C39+C40</f>
        <v>5273975</v>
      </c>
      <c r="D41" s="27">
        <f>+D39+D40</f>
        <v>4280580</v>
      </c>
      <c r="E41" s="27">
        <f>+E39+E40</f>
        <v>-993395</v>
      </c>
      <c r="F41" s="28">
        <f>IF(C41=0,0,+E41/C41)</f>
        <v>-0.18835792736977328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882</v>
      </c>
      <c r="C43" s="51">
        <f t="shared" ref="C43:D45" si="0">+C22+C33</f>
        <v>1467511</v>
      </c>
      <c r="D43" s="51">
        <f t="shared" si="0"/>
        <v>1037046</v>
      </c>
      <c r="E43" s="51">
        <f>+D43-C43</f>
        <v>-430465</v>
      </c>
      <c r="F43" s="70">
        <f>IF(C43=0,0,+E43/C43)</f>
        <v>-0.2933299988892758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883</v>
      </c>
      <c r="C44" s="49">
        <f t="shared" si="0"/>
        <v>3389789</v>
      </c>
      <c r="D44" s="49">
        <f t="shared" si="0"/>
        <v>2909578</v>
      </c>
      <c r="E44" s="49">
        <f>+D44-C44</f>
        <v>-480211</v>
      </c>
      <c r="F44" s="70">
        <f>IF(C44=0,0,+E44/C44)</f>
        <v>-0.14166397967543112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884</v>
      </c>
      <c r="C45" s="49">
        <f t="shared" si="0"/>
        <v>416675</v>
      </c>
      <c r="D45" s="49">
        <f t="shared" si="0"/>
        <v>333956</v>
      </c>
      <c r="E45" s="49">
        <f>+D45-C45</f>
        <v>-82719</v>
      </c>
      <c r="F45" s="70">
        <f>IF(C45=0,0,+E45/C45)</f>
        <v>-0.19852162956740865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881</v>
      </c>
      <c r="C46" s="27">
        <f>+C43+C44+C45</f>
        <v>5273975</v>
      </c>
      <c r="D46" s="27">
        <f>+D43+D44+D45</f>
        <v>4280580</v>
      </c>
      <c r="E46" s="27">
        <f>+E43+E44+E45</f>
        <v>-993395</v>
      </c>
      <c r="F46" s="28">
        <f>IF(C46=0,0,+E46/C46)</f>
        <v>-0.18835792736977328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885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70" orientation="portrait" horizontalDpi="1200" verticalDpi="1200"/>
  <headerFooter>
    <oddHeader>&amp;LOFFICE OF HEALTH CARE ACCESS&amp;CTWELVE MONTHS ACTUAL FILING&amp;RNEW MILFORD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596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597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886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887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602</v>
      </c>
      <c r="D9" s="35" t="s">
        <v>603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888</v>
      </c>
      <c r="D10" s="35" t="s">
        <v>888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889</v>
      </c>
      <c r="D11" s="605" t="s">
        <v>889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890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325</v>
      </c>
      <c r="C15" s="51">
        <v>110847139</v>
      </c>
      <c r="D15" s="51">
        <v>110709168</v>
      </c>
      <c r="E15" s="51">
        <f>+D15-C15</f>
        <v>-137971</v>
      </c>
      <c r="F15" s="70">
        <f>+E15/C15</f>
        <v>-1.2446960854803838E-3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507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891</v>
      </c>
      <c r="C17" s="51">
        <v>55956853</v>
      </c>
      <c r="D17" s="51">
        <v>55231186</v>
      </c>
      <c r="E17" s="51">
        <f>+D17-C17</f>
        <v>-725667</v>
      </c>
      <c r="F17" s="70">
        <f>+E17/C17</f>
        <v>-1.2968331153290553E-2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892</v>
      </c>
      <c r="C19" s="27">
        <f>+C15-C17</f>
        <v>54890286</v>
      </c>
      <c r="D19" s="27">
        <f>+D15-D17</f>
        <v>55477982</v>
      </c>
      <c r="E19" s="27">
        <f>+D19-C19</f>
        <v>587696</v>
      </c>
      <c r="F19" s="28">
        <f>+E19/C19</f>
        <v>1.0706739622380543E-2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893</v>
      </c>
      <c r="C21" s="628">
        <f>+C17/C15</f>
        <v>0.50481098118373624</v>
      </c>
      <c r="D21" s="628">
        <f>+D17/D15</f>
        <v>0.49888538589685727</v>
      </c>
      <c r="E21" s="628">
        <f>+D21-C21</f>
        <v>-5.9255952868789707E-3</v>
      </c>
      <c r="F21" s="28">
        <f>+E21/C21</f>
        <v>-1.173824561617892E-2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507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507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507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507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894</v>
      </c>
      <c r="B26" s="715"/>
      <c r="C26" s="715"/>
      <c r="D26" s="715"/>
      <c r="E26" s="715"/>
      <c r="F26" s="716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90" orientation="landscape" horizontalDpi="1200" verticalDpi="1200"/>
  <headerFooter>
    <oddHeader>&amp;L&amp;12OFFICE OF HEALTH CARE ACCESS&amp;C&amp;12TWELVE MONTHS ACTUAL FILING&amp;R&amp;12NEW MILFORD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895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896</v>
      </c>
      <c r="B6" s="632" t="s">
        <v>897</v>
      </c>
      <c r="C6" s="632" t="s">
        <v>898</v>
      </c>
      <c r="D6" s="632" t="s">
        <v>899</v>
      </c>
      <c r="E6" s="632" t="s">
        <v>900</v>
      </c>
    </row>
    <row r="7" spans="1:6" ht="37.5" customHeight="1" x14ac:dyDescent="0.25">
      <c r="A7" s="633" t="s">
        <v>8</v>
      </c>
      <c r="B7" s="634" t="s">
        <v>901</v>
      </c>
      <c r="C7" s="631" t="s">
        <v>902</v>
      </c>
      <c r="D7" s="631" t="s">
        <v>903</v>
      </c>
      <c r="E7" s="631" t="s">
        <v>904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905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906</v>
      </c>
      <c r="C10" s="641">
        <v>73007025</v>
      </c>
      <c r="D10" s="641">
        <v>70265597</v>
      </c>
      <c r="E10" s="641">
        <v>67481950</v>
      </c>
    </row>
    <row r="11" spans="1:6" ht="26.1" customHeight="1" x14ac:dyDescent="0.25">
      <c r="A11" s="639">
        <v>2</v>
      </c>
      <c r="B11" s="640" t="s">
        <v>907</v>
      </c>
      <c r="C11" s="641">
        <v>157824683</v>
      </c>
      <c r="D11" s="641">
        <v>169862103</v>
      </c>
      <c r="E11" s="641">
        <v>171003946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230831708</v>
      </c>
      <c r="D12" s="641">
        <f>+D11+D10</f>
        <v>240127700</v>
      </c>
      <c r="E12" s="641">
        <f>+E11+E10</f>
        <v>238485896</v>
      </c>
    </row>
    <row r="13" spans="1:6" ht="26.1" customHeight="1" x14ac:dyDescent="0.25">
      <c r="A13" s="639">
        <v>4</v>
      </c>
      <c r="B13" s="640" t="s">
        <v>484</v>
      </c>
      <c r="C13" s="641">
        <v>89326362</v>
      </c>
      <c r="D13" s="641">
        <v>88045146</v>
      </c>
      <c r="E13" s="641">
        <v>90588107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324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908</v>
      </c>
      <c r="C16" s="641">
        <v>98752754</v>
      </c>
      <c r="D16" s="641">
        <v>91802230</v>
      </c>
      <c r="E16" s="641">
        <v>93915766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909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372</v>
      </c>
      <c r="C19" s="644">
        <v>9874</v>
      </c>
      <c r="D19" s="644">
        <v>9382</v>
      </c>
      <c r="E19" s="644">
        <v>9347</v>
      </c>
    </row>
    <row r="20" spans="1:5" ht="26.1" customHeight="1" x14ac:dyDescent="0.25">
      <c r="A20" s="639">
        <v>2</v>
      </c>
      <c r="B20" s="640" t="s">
        <v>373</v>
      </c>
      <c r="C20" s="645">
        <v>2774</v>
      </c>
      <c r="D20" s="645">
        <v>2512</v>
      </c>
      <c r="E20" s="645">
        <v>2516</v>
      </c>
    </row>
    <row r="21" spans="1:5" ht="26.1" customHeight="1" x14ac:dyDescent="0.25">
      <c r="A21" s="639">
        <v>3</v>
      </c>
      <c r="B21" s="640" t="s">
        <v>910</v>
      </c>
      <c r="C21" s="646">
        <f>IF(C20=0,0,+C19/C20)</f>
        <v>3.5594808940158615</v>
      </c>
      <c r="D21" s="646">
        <f>IF(D20=0,0,+D19/D20)</f>
        <v>3.7348726114649682</v>
      </c>
      <c r="E21" s="646">
        <f>IF(E20=0,0,+E19/E20)</f>
        <v>3.7150238473767887</v>
      </c>
    </row>
    <row r="22" spans="1:5" ht="26.1" customHeight="1" x14ac:dyDescent="0.25">
      <c r="A22" s="639">
        <v>4</v>
      </c>
      <c r="B22" s="640" t="s">
        <v>911</v>
      </c>
      <c r="C22" s="645">
        <f>IF(C10=0,0,C19*(C12/C10))</f>
        <v>31219.355737232137</v>
      </c>
      <c r="D22" s="645">
        <f>IF(D10=0,0,D19*(D12/D10))</f>
        <v>32062.320361413851</v>
      </c>
      <c r="E22" s="645">
        <f>IF(E10=0,0,E19*(E12/E10))</f>
        <v>33032.94688301094</v>
      </c>
    </row>
    <row r="23" spans="1:5" ht="26.1" customHeight="1" x14ac:dyDescent="0.25">
      <c r="A23" s="639">
        <v>0</v>
      </c>
      <c r="B23" s="640" t="s">
        <v>912</v>
      </c>
      <c r="C23" s="645">
        <f>IF(C10=0,0,C20*(C12/C10))</f>
        <v>8770.760868450674</v>
      </c>
      <c r="D23" s="645">
        <f>IF(D10=0,0,D20*(D12/D10))</f>
        <v>8584.582045179237</v>
      </c>
      <c r="E23" s="645">
        <f>IF(E10=0,0,E20*(E12/E10))</f>
        <v>8891.7186645614129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321</v>
      </c>
      <c r="B25" s="642" t="s">
        <v>913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422</v>
      </c>
      <c r="C26" s="647">
        <v>1.2982345710165824</v>
      </c>
      <c r="D26" s="647">
        <v>1.3054694665605093</v>
      </c>
      <c r="E26" s="647">
        <v>1.2217593402225755</v>
      </c>
    </row>
    <row r="27" spans="1:5" ht="26.1" customHeight="1" x14ac:dyDescent="0.25">
      <c r="A27" s="639">
        <v>2</v>
      </c>
      <c r="B27" s="640" t="s">
        <v>914</v>
      </c>
      <c r="C27" s="645">
        <f>C19*C26</f>
        <v>12818.768154217734</v>
      </c>
      <c r="D27" s="645">
        <f>D19*D26</f>
        <v>12247.914535270698</v>
      </c>
      <c r="E27" s="645">
        <f>E19*E26</f>
        <v>11419.784553060414</v>
      </c>
    </row>
    <row r="28" spans="1:5" ht="26.1" customHeight="1" x14ac:dyDescent="0.25">
      <c r="A28" s="639">
        <v>3</v>
      </c>
      <c r="B28" s="640" t="s">
        <v>915</v>
      </c>
      <c r="C28" s="645">
        <f>C20*C26</f>
        <v>3601.3026999999993</v>
      </c>
      <c r="D28" s="645">
        <f>D20*D26</f>
        <v>3279.3392999999996</v>
      </c>
      <c r="E28" s="645">
        <f>E20*E26</f>
        <v>3073.9465</v>
      </c>
    </row>
    <row r="29" spans="1:5" ht="26.1" customHeight="1" x14ac:dyDescent="0.25">
      <c r="A29" s="639">
        <v>4</v>
      </c>
      <c r="B29" s="640" t="s">
        <v>916</v>
      </c>
      <c r="C29" s="645">
        <f>C22*C26</f>
        <v>40530.046902939641</v>
      </c>
      <c r="D29" s="645">
        <f>D22*D26</f>
        <v>41856.380258907098</v>
      </c>
      <c r="E29" s="645">
        <f>E22*E26</f>
        <v>40358.311389394825</v>
      </c>
    </row>
    <row r="30" spans="1:5" ht="26.1" customHeight="1" x14ac:dyDescent="0.25">
      <c r="A30" s="639">
        <v>5</v>
      </c>
      <c r="B30" s="640" t="s">
        <v>917</v>
      </c>
      <c r="C30" s="645">
        <f>C23*C26</f>
        <v>11386.504973542089</v>
      </c>
      <c r="D30" s="645">
        <f>D23*D26</f>
        <v>11206.909743165064</v>
      </c>
      <c r="E30" s="645">
        <f>E23*E26</f>
        <v>10863.540329059311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342</v>
      </c>
      <c r="B32" s="634" t="s">
        <v>918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919</v>
      </c>
      <c r="C33" s="641">
        <f>IF(C19=0,0,C12/C19)</f>
        <v>23377.730200526636</v>
      </c>
      <c r="D33" s="641">
        <f>IF(D19=0,0,D12/D19)</f>
        <v>25594.510765295247</v>
      </c>
      <c r="E33" s="641">
        <f>IF(E19=0,0,E12/E19)</f>
        <v>25514.699475767626</v>
      </c>
    </row>
    <row r="34" spans="1:5" ht="26.1" customHeight="1" x14ac:dyDescent="0.25">
      <c r="A34" s="639">
        <v>2</v>
      </c>
      <c r="B34" s="640" t="s">
        <v>920</v>
      </c>
      <c r="C34" s="641">
        <f>IF(C20=0,0,C12/C20)</f>
        <v>83212.583994232162</v>
      </c>
      <c r="D34" s="641">
        <f>IF(D20=0,0,D12/D20)</f>
        <v>95592.237261146496</v>
      </c>
      <c r="E34" s="641">
        <f>IF(E20=0,0,E12/E20)</f>
        <v>94787.717011128771</v>
      </c>
    </row>
    <row r="35" spans="1:5" ht="26.1" customHeight="1" x14ac:dyDescent="0.25">
      <c r="A35" s="639">
        <v>3</v>
      </c>
      <c r="B35" s="640" t="s">
        <v>921</v>
      </c>
      <c r="C35" s="641">
        <f>IF(C22=0,0,C12/C22)</f>
        <v>7393.8652015393964</v>
      </c>
      <c r="D35" s="641">
        <f>IF(D22=0,0,D12/D22)</f>
        <v>7489.4049243231721</v>
      </c>
      <c r="E35" s="641">
        <f>IF(E22=0,0,E12/E22)</f>
        <v>7219.6373167861339</v>
      </c>
    </row>
    <row r="36" spans="1:5" ht="26.1" customHeight="1" x14ac:dyDescent="0.25">
      <c r="A36" s="639">
        <v>4</v>
      </c>
      <c r="B36" s="640" t="s">
        <v>922</v>
      </c>
      <c r="C36" s="641">
        <f>IF(C23=0,0,C12/C23)</f>
        <v>26318.321917808214</v>
      </c>
      <c r="D36" s="641">
        <f>IF(D23=0,0,D12/D23)</f>
        <v>27971.973328025477</v>
      </c>
      <c r="E36" s="641">
        <f>IF(E23=0,0,E12/E23)</f>
        <v>26821.124801271857</v>
      </c>
    </row>
    <row r="37" spans="1:5" ht="26.1" customHeight="1" x14ac:dyDescent="0.25">
      <c r="A37" s="639">
        <v>5</v>
      </c>
      <c r="B37" s="640" t="s">
        <v>923</v>
      </c>
      <c r="C37" s="641">
        <f>IF(C29=0,0,C12/C29)</f>
        <v>5695.3229921689972</v>
      </c>
      <c r="D37" s="641">
        <f>IF(D29=0,0,D12/D29)</f>
        <v>5736.9437709296535</v>
      </c>
      <c r="E37" s="641">
        <f>IF(E29=0,0,E12/E29)</f>
        <v>5909.2139336302425</v>
      </c>
    </row>
    <row r="38" spans="1:5" ht="26.1" customHeight="1" x14ac:dyDescent="0.25">
      <c r="A38" s="639">
        <v>6</v>
      </c>
      <c r="B38" s="640" t="s">
        <v>924</v>
      </c>
      <c r="C38" s="641">
        <f>IF(C30=0,0,C12/C30)</f>
        <v>20272.393375874792</v>
      </c>
      <c r="D38" s="641">
        <f>IF(D30=0,0,D12/D30)</f>
        <v>21426.754163559715</v>
      </c>
      <c r="E38" s="641">
        <f>IF(E30=0,0,E12/E30)</f>
        <v>21952.87068268755</v>
      </c>
    </row>
    <row r="39" spans="1:5" ht="26.1" customHeight="1" x14ac:dyDescent="0.25">
      <c r="A39" s="639">
        <v>7</v>
      </c>
      <c r="B39" s="640" t="s">
        <v>925</v>
      </c>
      <c r="C39" s="641">
        <f>IF(C22=0,0,C10/C22)</f>
        <v>2338.5179891118628</v>
      </c>
      <c r="D39" s="641">
        <f>IF(D22=0,0,D10/D22)</f>
        <v>2191.5318731754292</v>
      </c>
      <c r="E39" s="641">
        <f>IF(E22=0,0,E10/E22)</f>
        <v>2042.8679959736323</v>
      </c>
    </row>
    <row r="40" spans="1:5" ht="26.1" customHeight="1" x14ac:dyDescent="0.25">
      <c r="A40" s="639">
        <v>8</v>
      </c>
      <c r="B40" s="640" t="s">
        <v>926</v>
      </c>
      <c r="C40" s="641">
        <f>IF(C23=0,0,C10/C23)</f>
        <v>8323.9101025560685</v>
      </c>
      <c r="D40" s="641">
        <f>IF(D23=0,0,D10/D23)</f>
        <v>8185.092370275428</v>
      </c>
      <c r="E40" s="641">
        <f>IF(E23=0,0,E10/E23)</f>
        <v>7589.3033220848729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354</v>
      </c>
      <c r="B42" s="634" t="s">
        <v>927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928</v>
      </c>
      <c r="C43" s="641">
        <f>IF(C19=0,0,C13/C19)</f>
        <v>9046.6236580919594</v>
      </c>
      <c r="D43" s="641">
        <f>IF(D19=0,0,D13/D19)</f>
        <v>9384.4751652099767</v>
      </c>
      <c r="E43" s="641">
        <f>IF(E19=0,0,E13/E19)</f>
        <v>9691.67722263828</v>
      </c>
    </row>
    <row r="44" spans="1:5" ht="26.1" customHeight="1" x14ac:dyDescent="0.25">
      <c r="A44" s="639">
        <v>2</v>
      </c>
      <c r="B44" s="640" t="s">
        <v>929</v>
      </c>
      <c r="C44" s="641">
        <f>IF(C20=0,0,C13/C20)</f>
        <v>32201.284066330209</v>
      </c>
      <c r="D44" s="641">
        <f>IF(D20=0,0,D13/D20)</f>
        <v>35049.819267515923</v>
      </c>
      <c r="E44" s="641">
        <f>IF(E20=0,0,E13/E20)</f>
        <v>36004.81200317965</v>
      </c>
    </row>
    <row r="45" spans="1:5" ht="26.1" customHeight="1" x14ac:dyDescent="0.25">
      <c r="A45" s="639">
        <v>3</v>
      </c>
      <c r="B45" s="640" t="s">
        <v>930</v>
      </c>
      <c r="C45" s="641">
        <f>IF(C22=0,0,C13/C22)</f>
        <v>2861.2493720832799</v>
      </c>
      <c r="D45" s="641">
        <f>IF(D22=0,0,D13/D22)</f>
        <v>2746.0628241354607</v>
      </c>
      <c r="E45" s="641">
        <f>IF(E22=0,0,E13/E22)</f>
        <v>2742.3562094179993</v>
      </c>
    </row>
    <row r="46" spans="1:5" ht="26.1" customHeight="1" x14ac:dyDescent="0.25">
      <c r="A46" s="639">
        <v>4</v>
      </c>
      <c r="B46" s="640" t="s">
        <v>931</v>
      </c>
      <c r="C46" s="641">
        <f>IF(C23=0,0,C13/C23)</f>
        <v>10184.562472945316</v>
      </c>
      <c r="D46" s="641">
        <f>IF(D23=0,0,D13/D23)</f>
        <v>10256.194831225672</v>
      </c>
      <c r="E46" s="641">
        <f>IF(E23=0,0,E13/E23)</f>
        <v>10187.918715989683</v>
      </c>
    </row>
    <row r="47" spans="1:5" ht="26.1" customHeight="1" x14ac:dyDescent="0.25">
      <c r="A47" s="639">
        <v>5</v>
      </c>
      <c r="B47" s="640" t="s">
        <v>932</v>
      </c>
      <c r="C47" s="641">
        <f>IF(C29=0,0,C13/C29)</f>
        <v>2203.9540742184822</v>
      </c>
      <c r="D47" s="641">
        <f>IF(D29=0,0,D13/D29)</f>
        <v>2103.5059758007592</v>
      </c>
      <c r="E47" s="641">
        <f>IF(E29=0,0,E13/E29)</f>
        <v>2244.5960666184942</v>
      </c>
    </row>
    <row r="48" spans="1:5" ht="26.1" customHeight="1" x14ac:dyDescent="0.25">
      <c r="A48" s="639">
        <v>6</v>
      </c>
      <c r="B48" s="640" t="s">
        <v>933</v>
      </c>
      <c r="C48" s="641">
        <f>IF(C30=0,0,C13/C30)</f>
        <v>7844.9324184691022</v>
      </c>
      <c r="D48" s="641">
        <f>IF(D30=0,0,D13/D30)</f>
        <v>7856.3268570711462</v>
      </c>
      <c r="E48" s="641">
        <f>IF(E30=0,0,E13/E30)</f>
        <v>8338.7279152158444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366</v>
      </c>
      <c r="B50" s="634" t="s">
        <v>934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935</v>
      </c>
      <c r="C51" s="641">
        <f>IF(C19=0,0,C16/C19)</f>
        <v>10001.29167510634</v>
      </c>
      <c r="D51" s="641">
        <f>IF(D19=0,0,D16/D19)</f>
        <v>9784.9317842677465</v>
      </c>
      <c r="E51" s="641">
        <f>IF(E19=0,0,E16/E19)</f>
        <v>10047.690809885526</v>
      </c>
    </row>
    <row r="52" spans="1:6" ht="26.1" customHeight="1" x14ac:dyDescent="0.25">
      <c r="A52" s="639">
        <v>2</v>
      </c>
      <c r="B52" s="640" t="s">
        <v>936</v>
      </c>
      <c r="C52" s="641">
        <f>IF(C20=0,0,C16/C20)</f>
        <v>35599.40663302091</v>
      </c>
      <c r="D52" s="641">
        <f>IF(D20=0,0,D16/D20)</f>
        <v>36545.473726114651</v>
      </c>
      <c r="E52" s="641">
        <f>IF(E20=0,0,E16/E20)</f>
        <v>37327.410969793324</v>
      </c>
    </row>
    <row r="53" spans="1:6" ht="26.1" customHeight="1" x14ac:dyDescent="0.25">
      <c r="A53" s="639">
        <v>3</v>
      </c>
      <c r="B53" s="640" t="s">
        <v>937</v>
      </c>
      <c r="C53" s="641">
        <f>IF(C22=0,0,C16/C22)</f>
        <v>3163.1900040213732</v>
      </c>
      <c r="D53" s="641">
        <f>IF(D22=0,0,D16/D22)</f>
        <v>2863.2434884682125</v>
      </c>
      <c r="E53" s="641">
        <f>IF(E22=0,0,E16/E22)</f>
        <v>2843.0937855048437</v>
      </c>
    </row>
    <row r="54" spans="1:6" ht="26.1" customHeight="1" x14ac:dyDescent="0.25">
      <c r="A54" s="639">
        <v>4</v>
      </c>
      <c r="B54" s="640" t="s">
        <v>938</v>
      </c>
      <c r="C54" s="641">
        <f>IF(C23=0,0,C16/C23)</f>
        <v>11259.314383456032</v>
      </c>
      <c r="D54" s="641">
        <f>IF(D23=0,0,D16/D23)</f>
        <v>10693.849685035339</v>
      </c>
      <c r="E54" s="641">
        <f>IF(E23=0,0,E16/E23)</f>
        <v>10562.161213479243</v>
      </c>
    </row>
    <row r="55" spans="1:6" ht="26.1" customHeight="1" x14ac:dyDescent="0.25">
      <c r="A55" s="639">
        <v>5</v>
      </c>
      <c r="B55" s="640" t="s">
        <v>939</v>
      </c>
      <c r="C55" s="641">
        <f>IF(C29=0,0,C16/C29)</f>
        <v>2436.5319447196957</v>
      </c>
      <c r="D55" s="641">
        <f>IF(D29=0,0,D16/D29)</f>
        <v>2193.2672971754255</v>
      </c>
      <c r="E55" s="641">
        <f>IF(E29=0,0,E16/E29)</f>
        <v>2327.048946470014</v>
      </c>
    </row>
    <row r="56" spans="1:6" ht="26.1" customHeight="1" x14ac:dyDescent="0.25">
      <c r="A56" s="639">
        <v>6</v>
      </c>
      <c r="B56" s="640" t="s">
        <v>940</v>
      </c>
      <c r="C56" s="641">
        <f>IF(C30=0,0,C16/C30)</f>
        <v>8672.7889048890665</v>
      </c>
      <c r="D56" s="641">
        <f>IF(D30=0,0,D16/D30)</f>
        <v>8191.5739578422927</v>
      </c>
      <c r="E56" s="641">
        <f>IF(E30=0,0,E16/E30)</f>
        <v>8645.0423301491337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370</v>
      </c>
      <c r="B58" s="642" t="s">
        <v>941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942</v>
      </c>
      <c r="C59" s="649">
        <v>13297685</v>
      </c>
      <c r="D59" s="649">
        <v>12548614</v>
      </c>
      <c r="E59" s="649">
        <v>12450131</v>
      </c>
    </row>
    <row r="60" spans="1:6" ht="26.1" customHeight="1" x14ac:dyDescent="0.25">
      <c r="A60" s="639">
        <v>2</v>
      </c>
      <c r="B60" s="640" t="s">
        <v>943</v>
      </c>
      <c r="C60" s="649">
        <v>4423223</v>
      </c>
      <c r="D60" s="649">
        <v>3896996</v>
      </c>
      <c r="E60" s="649">
        <v>4295295</v>
      </c>
    </row>
    <row r="61" spans="1:6" ht="26.1" customHeight="1" x14ac:dyDescent="0.25">
      <c r="A61" s="650">
        <v>3</v>
      </c>
      <c r="B61" s="651" t="s">
        <v>944</v>
      </c>
      <c r="C61" s="652">
        <f>C59+C60</f>
        <v>17720908</v>
      </c>
      <c r="D61" s="652">
        <f>D59+D60</f>
        <v>16445610</v>
      </c>
      <c r="E61" s="652">
        <f>E59+E60</f>
        <v>16745426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945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946</v>
      </c>
      <c r="C64" s="641">
        <v>5922680</v>
      </c>
      <c r="D64" s="641">
        <v>5959747</v>
      </c>
      <c r="E64" s="649">
        <v>5155740</v>
      </c>
      <c r="F64" s="653"/>
    </row>
    <row r="65" spans="1:6" ht="26.1" customHeight="1" x14ac:dyDescent="0.25">
      <c r="A65" s="639">
        <v>2</v>
      </c>
      <c r="B65" s="640" t="s">
        <v>947</v>
      </c>
      <c r="C65" s="649">
        <v>1970068</v>
      </c>
      <c r="D65" s="649">
        <v>1850811</v>
      </c>
      <c r="E65" s="649">
        <v>1778730</v>
      </c>
      <c r="F65" s="653"/>
    </row>
    <row r="66" spans="1:6" ht="26.1" customHeight="1" x14ac:dyDescent="0.25">
      <c r="A66" s="650">
        <v>3</v>
      </c>
      <c r="B66" s="651" t="s">
        <v>948</v>
      </c>
      <c r="C66" s="654">
        <f>C64+C65</f>
        <v>7892748</v>
      </c>
      <c r="D66" s="654">
        <f>D64+D65</f>
        <v>7810558</v>
      </c>
      <c r="E66" s="654">
        <f>E64+E65</f>
        <v>6934470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396</v>
      </c>
      <c r="B68" s="642" t="s">
        <v>949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950</v>
      </c>
      <c r="C69" s="649">
        <v>20701766</v>
      </c>
      <c r="D69" s="649">
        <v>19144523</v>
      </c>
      <c r="E69" s="649">
        <v>21255462</v>
      </c>
    </row>
    <row r="70" spans="1:6" ht="26.1" customHeight="1" x14ac:dyDescent="0.25">
      <c r="A70" s="639">
        <v>2</v>
      </c>
      <c r="B70" s="640" t="s">
        <v>951</v>
      </c>
      <c r="C70" s="649">
        <v>6886051</v>
      </c>
      <c r="D70" s="649">
        <v>5945367</v>
      </c>
      <c r="E70" s="649">
        <v>7317723</v>
      </c>
    </row>
    <row r="71" spans="1:6" ht="26.1" customHeight="1" x14ac:dyDescent="0.25">
      <c r="A71" s="650">
        <v>3</v>
      </c>
      <c r="B71" s="651" t="s">
        <v>952</v>
      </c>
      <c r="C71" s="652">
        <f>C69+C70</f>
        <v>27587817</v>
      </c>
      <c r="D71" s="652">
        <f>D69+D70</f>
        <v>25089890</v>
      </c>
      <c r="E71" s="652">
        <f>E69+E70</f>
        <v>28573185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412</v>
      </c>
      <c r="B74" s="642" t="s">
        <v>953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954</v>
      </c>
      <c r="C75" s="641">
        <f t="shared" ref="C75:E76" si="0">+C59+C64+C69</f>
        <v>39922131</v>
      </c>
      <c r="D75" s="641">
        <f t="shared" si="0"/>
        <v>37652884</v>
      </c>
      <c r="E75" s="641">
        <f t="shared" si="0"/>
        <v>38861333</v>
      </c>
    </row>
    <row r="76" spans="1:6" ht="26.1" customHeight="1" x14ac:dyDescent="0.25">
      <c r="A76" s="639">
        <v>2</v>
      </c>
      <c r="B76" s="640" t="s">
        <v>955</v>
      </c>
      <c r="C76" s="641">
        <f t="shared" si="0"/>
        <v>13279342</v>
      </c>
      <c r="D76" s="641">
        <f t="shared" si="0"/>
        <v>11693174</v>
      </c>
      <c r="E76" s="641">
        <f t="shared" si="0"/>
        <v>13391748</v>
      </c>
    </row>
    <row r="77" spans="1:6" ht="26.1" customHeight="1" x14ac:dyDescent="0.25">
      <c r="A77" s="650">
        <v>3</v>
      </c>
      <c r="B77" s="651" t="s">
        <v>953</v>
      </c>
      <c r="C77" s="654">
        <f>C75+C76</f>
        <v>53201473</v>
      </c>
      <c r="D77" s="654">
        <f>D75+D76</f>
        <v>49346058</v>
      </c>
      <c r="E77" s="654">
        <f>E75+E76</f>
        <v>52253081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421</v>
      </c>
      <c r="B79" s="642" t="s">
        <v>956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583</v>
      </c>
      <c r="C80" s="646">
        <v>154.5</v>
      </c>
      <c r="D80" s="646">
        <v>145.80000000000001</v>
      </c>
      <c r="E80" s="646">
        <v>137.19999999999999</v>
      </c>
    </row>
    <row r="81" spans="1:5" ht="26.1" customHeight="1" x14ac:dyDescent="0.25">
      <c r="A81" s="639">
        <v>2</v>
      </c>
      <c r="B81" s="640" t="s">
        <v>584</v>
      </c>
      <c r="C81" s="646">
        <v>24.4</v>
      </c>
      <c r="D81" s="646">
        <v>24.2</v>
      </c>
      <c r="E81" s="646">
        <v>19</v>
      </c>
    </row>
    <row r="82" spans="1:5" ht="26.1" customHeight="1" x14ac:dyDescent="0.25">
      <c r="A82" s="639">
        <v>3</v>
      </c>
      <c r="B82" s="640" t="s">
        <v>957</v>
      </c>
      <c r="C82" s="646">
        <v>309.89999999999998</v>
      </c>
      <c r="D82" s="646">
        <v>305.5</v>
      </c>
      <c r="E82" s="646">
        <v>305.39999999999998</v>
      </c>
    </row>
    <row r="83" spans="1:5" ht="26.1" customHeight="1" x14ac:dyDescent="0.25">
      <c r="A83" s="650">
        <v>4</v>
      </c>
      <c r="B83" s="651" t="s">
        <v>956</v>
      </c>
      <c r="C83" s="656">
        <f>C80+C81+C82</f>
        <v>488.79999999999995</v>
      </c>
      <c r="D83" s="656">
        <f>D80+D81+D82</f>
        <v>475.5</v>
      </c>
      <c r="E83" s="656">
        <f>E80+E81+E82</f>
        <v>461.59999999999997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424</v>
      </c>
      <c r="B85" s="642" t="s">
        <v>958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959</v>
      </c>
      <c r="C86" s="649">
        <f>IF(C80=0,0,C59/C80)</f>
        <v>86069.158576051777</v>
      </c>
      <c r="D86" s="649">
        <f>IF(D80=0,0,D59/D80)</f>
        <v>86067.311385459529</v>
      </c>
      <c r="E86" s="649">
        <f>IF(E80=0,0,E59/E80)</f>
        <v>90744.395043731784</v>
      </c>
    </row>
    <row r="87" spans="1:5" ht="26.1" customHeight="1" x14ac:dyDescent="0.25">
      <c r="A87" s="639">
        <v>2</v>
      </c>
      <c r="B87" s="640" t="s">
        <v>960</v>
      </c>
      <c r="C87" s="649">
        <f>IF(C80=0,0,C60/C80)</f>
        <v>28629.275080906147</v>
      </c>
      <c r="D87" s="649">
        <f>IF(D80=0,0,D60/D80)</f>
        <v>26728.367626886142</v>
      </c>
      <c r="E87" s="649">
        <f>IF(E80=0,0,E60/E80)</f>
        <v>31306.814868804668</v>
      </c>
    </row>
    <row r="88" spans="1:5" ht="26.1" customHeight="1" x14ac:dyDescent="0.25">
      <c r="A88" s="650">
        <v>3</v>
      </c>
      <c r="B88" s="651" t="s">
        <v>961</v>
      </c>
      <c r="C88" s="652">
        <f>+C86+C87</f>
        <v>114698.43365695793</v>
      </c>
      <c r="D88" s="652">
        <f>+D86+D87</f>
        <v>112795.67901234567</v>
      </c>
      <c r="E88" s="652">
        <f>+E86+E87</f>
        <v>122051.20991253645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581</v>
      </c>
      <c r="B90" s="642" t="s">
        <v>962</v>
      </c>
    </row>
    <row r="91" spans="1:5" ht="26.1" customHeight="1" x14ac:dyDescent="0.25">
      <c r="A91" s="639">
        <v>1</v>
      </c>
      <c r="B91" s="640" t="s">
        <v>963</v>
      </c>
      <c r="C91" s="641">
        <f>IF(C81=0,0,C64/C81)</f>
        <v>242732.78688524591</v>
      </c>
      <c r="D91" s="641">
        <f>IF(D81=0,0,D64/D81)</f>
        <v>246270.53719008266</v>
      </c>
      <c r="E91" s="641">
        <f>IF(E81=0,0,E64/E81)</f>
        <v>271354.73684210528</v>
      </c>
    </row>
    <row r="92" spans="1:5" ht="26.1" customHeight="1" x14ac:dyDescent="0.25">
      <c r="A92" s="639">
        <v>2</v>
      </c>
      <c r="B92" s="640" t="s">
        <v>964</v>
      </c>
      <c r="C92" s="641">
        <f>IF(C81=0,0,C65/C81)</f>
        <v>80740.491803278695</v>
      </c>
      <c r="D92" s="641">
        <f>IF(D81=0,0,D65/D81)</f>
        <v>76479.793388429753</v>
      </c>
      <c r="E92" s="641">
        <f>IF(E81=0,0,E65/E81)</f>
        <v>93617.368421052626</v>
      </c>
    </row>
    <row r="93" spans="1:5" ht="26.1" customHeight="1" x14ac:dyDescent="0.25">
      <c r="A93" s="650">
        <v>3</v>
      </c>
      <c r="B93" s="651" t="s">
        <v>965</v>
      </c>
      <c r="C93" s="654">
        <f>+C91+C92</f>
        <v>323473.27868852462</v>
      </c>
      <c r="D93" s="654">
        <f>+D91+D92</f>
        <v>322750.3305785124</v>
      </c>
      <c r="E93" s="654">
        <f>+E91+E92</f>
        <v>364972.10526315792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966</v>
      </c>
      <c r="B95" s="642" t="s">
        <v>967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968</v>
      </c>
      <c r="C96" s="649">
        <f>IF(C82=0,0,C69/C82)</f>
        <v>66801.43917392708</v>
      </c>
      <c r="D96" s="649">
        <f>IF(D82=0,0,D69/D82)</f>
        <v>62666.196399345332</v>
      </c>
      <c r="E96" s="649">
        <f>IF(E82=0,0,E69/E82)</f>
        <v>69598.762278978393</v>
      </c>
    </row>
    <row r="97" spans="1:5" ht="26.1" customHeight="1" x14ac:dyDescent="0.25">
      <c r="A97" s="639">
        <v>2</v>
      </c>
      <c r="B97" s="640" t="s">
        <v>969</v>
      </c>
      <c r="C97" s="649">
        <f>IF(C82=0,0,C70/C82)</f>
        <v>22220.235559858022</v>
      </c>
      <c r="D97" s="649">
        <f>IF(D82=0,0,D70/D82)</f>
        <v>19461.103109656302</v>
      </c>
      <c r="E97" s="649">
        <f>IF(E82=0,0,E70/E82)</f>
        <v>23961.110019646367</v>
      </c>
    </row>
    <row r="98" spans="1:5" ht="26.1" customHeight="1" x14ac:dyDescent="0.25">
      <c r="A98" s="650">
        <v>3</v>
      </c>
      <c r="B98" s="651" t="s">
        <v>970</v>
      </c>
      <c r="C98" s="654">
        <f>+C96+C97</f>
        <v>89021.674733785097</v>
      </c>
      <c r="D98" s="654">
        <f>+D96+D97</f>
        <v>82127.299509001634</v>
      </c>
      <c r="E98" s="654">
        <f>+E96+E97</f>
        <v>93559.872298624759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971</v>
      </c>
      <c r="B100" s="642" t="s">
        <v>972</v>
      </c>
    </row>
    <row r="101" spans="1:5" ht="26.1" customHeight="1" x14ac:dyDescent="0.25">
      <c r="A101" s="639">
        <v>1</v>
      </c>
      <c r="B101" s="640" t="s">
        <v>973</v>
      </c>
      <c r="C101" s="641">
        <f>IF(C83=0,0,C75/C83)</f>
        <v>81673.754091653042</v>
      </c>
      <c r="D101" s="641">
        <f>IF(D83=0,0,D75/D83)</f>
        <v>79185.875920084116</v>
      </c>
      <c r="E101" s="641">
        <f>IF(E83=0,0,E75/E83)</f>
        <v>84188.329722703653</v>
      </c>
    </row>
    <row r="102" spans="1:5" ht="26.1" customHeight="1" x14ac:dyDescent="0.25">
      <c r="A102" s="639">
        <v>2</v>
      </c>
      <c r="B102" s="640" t="s">
        <v>974</v>
      </c>
      <c r="C102" s="658">
        <f>IF(C83=0,0,C76/C83)</f>
        <v>27167.229950900168</v>
      </c>
      <c r="D102" s="658">
        <f>IF(D83=0,0,D76/D83)</f>
        <v>24591.322818086224</v>
      </c>
      <c r="E102" s="658">
        <f>IF(E83=0,0,E76/E83)</f>
        <v>29011.585788561526</v>
      </c>
    </row>
    <row r="103" spans="1:5" ht="26.1" customHeight="1" x14ac:dyDescent="0.25">
      <c r="A103" s="650">
        <v>3</v>
      </c>
      <c r="B103" s="651" t="s">
        <v>972</v>
      </c>
      <c r="C103" s="654">
        <f>+C101+C102</f>
        <v>108840.9840425532</v>
      </c>
      <c r="D103" s="654">
        <f>+D101+D102</f>
        <v>103777.19873817034</v>
      </c>
      <c r="E103" s="654">
        <f>+E101+E102</f>
        <v>113199.91551126518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975</v>
      </c>
      <c r="B107" s="634" t="s">
        <v>976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977</v>
      </c>
      <c r="C108" s="641">
        <f>IF(C19=0,0,C77/C19)</f>
        <v>5388.0365606643709</v>
      </c>
      <c r="D108" s="641">
        <f>IF(D19=0,0,D77/D19)</f>
        <v>5259.6523129396719</v>
      </c>
      <c r="E108" s="641">
        <f>IF(E19=0,0,E77/E19)</f>
        <v>5590.358510752113</v>
      </c>
    </row>
    <row r="109" spans="1:5" ht="26.1" customHeight="1" x14ac:dyDescent="0.25">
      <c r="A109" s="639">
        <v>2</v>
      </c>
      <c r="B109" s="640" t="s">
        <v>978</v>
      </c>
      <c r="C109" s="641">
        <f>IF(C20=0,0,C77/C20)</f>
        <v>19178.613193943762</v>
      </c>
      <c r="D109" s="641">
        <f>IF(D20=0,0,D77/D20)</f>
        <v>19644.131369426752</v>
      </c>
      <c r="E109" s="641">
        <f>IF(E20=0,0,E77/E20)</f>
        <v>20768.315182829887</v>
      </c>
    </row>
    <row r="110" spans="1:5" ht="26.1" customHeight="1" x14ac:dyDescent="0.25">
      <c r="A110" s="639">
        <v>3</v>
      </c>
      <c r="B110" s="640" t="s">
        <v>979</v>
      </c>
      <c r="C110" s="641">
        <f>IF(C22=0,0,C77/C22)</f>
        <v>1704.1182222909245</v>
      </c>
      <c r="D110" s="641">
        <f>IF(D22=0,0,D77/D22)</f>
        <v>1539.066962208595</v>
      </c>
      <c r="E110" s="641">
        <f>IF(E22=0,0,E77/E22)</f>
        <v>1581.8473957246031</v>
      </c>
    </row>
    <row r="111" spans="1:5" ht="26.1" customHeight="1" x14ac:dyDescent="0.25">
      <c r="A111" s="639">
        <v>4</v>
      </c>
      <c r="B111" s="640" t="s">
        <v>980</v>
      </c>
      <c r="C111" s="641">
        <f>IF(C23=0,0,C77/C23)</f>
        <v>6065.7762533888199</v>
      </c>
      <c r="D111" s="641">
        <f>IF(D23=0,0,D77/D23)</f>
        <v>5748.2190443634709</v>
      </c>
      <c r="E111" s="641">
        <f>IF(E23=0,0,E77/E23)</f>
        <v>5876.6007980277682</v>
      </c>
    </row>
    <row r="112" spans="1:5" ht="26.1" customHeight="1" x14ac:dyDescent="0.25">
      <c r="A112" s="639">
        <v>5</v>
      </c>
      <c r="B112" s="640" t="s">
        <v>981</v>
      </c>
      <c r="C112" s="641">
        <f>IF(C29=0,0,C77/C29)</f>
        <v>1312.6427691387967</v>
      </c>
      <c r="D112" s="641">
        <f>IF(D29=0,0,D77/D29)</f>
        <v>1178.937540579589</v>
      </c>
      <c r="E112" s="641">
        <f>IF(E29=0,0,E77/E29)</f>
        <v>1294.7291202508247</v>
      </c>
    </row>
    <row r="113" spans="1:7" ht="25.5" customHeight="1" x14ac:dyDescent="0.25">
      <c r="A113" s="639">
        <v>6</v>
      </c>
      <c r="B113" s="640" t="s">
        <v>982</v>
      </c>
      <c r="C113" s="641">
        <f>IF(C30=0,0,C77/C30)</f>
        <v>4672.3268574176191</v>
      </c>
      <c r="D113" s="641">
        <f>IF(D30=0,0,D77/D30)</f>
        <v>4403.1815309385765</v>
      </c>
      <c r="E113" s="641">
        <f>IF(E30=0,0,E77/E30)</f>
        <v>4809.9495576249838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&amp;L&amp;12OFFICE OF HEALTH CARE ACCESS&amp;C&amp;12TWELVE MONTHS ACTUAL FILING&amp;R&amp;12NEW MILFORD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240127700</v>
      </c>
      <c r="D12" s="51">
        <v>238485898</v>
      </c>
      <c r="E12" s="51">
        <f t="shared" ref="E12:E19" si="0">D12-C12</f>
        <v>-1641802</v>
      </c>
      <c r="F12" s="70">
        <f t="shared" ref="F12:F19" si="1">IF(C12=0,0,E12/C12)</f>
        <v>-6.8372037045288823E-3</v>
      </c>
    </row>
    <row r="13" spans="1:8" ht="23.1" customHeight="1" x14ac:dyDescent="0.2">
      <c r="A13" s="25">
        <v>2</v>
      </c>
      <c r="B13" s="48" t="s">
        <v>72</v>
      </c>
      <c r="C13" s="51">
        <v>149487761</v>
      </c>
      <c r="D13" s="51">
        <v>145313145</v>
      </c>
      <c r="E13" s="51">
        <f t="shared" si="0"/>
        <v>-4174616</v>
      </c>
      <c r="F13" s="70">
        <f t="shared" si="1"/>
        <v>-2.7926139050273153E-2</v>
      </c>
    </row>
    <row r="14" spans="1:8" ht="23.1" customHeight="1" x14ac:dyDescent="0.2">
      <c r="A14" s="25">
        <v>3</v>
      </c>
      <c r="B14" s="48" t="s">
        <v>73</v>
      </c>
      <c r="C14" s="51">
        <v>2594793</v>
      </c>
      <c r="D14" s="51">
        <v>2584646</v>
      </c>
      <c r="E14" s="51">
        <f t="shared" si="0"/>
        <v>-10147</v>
      </c>
      <c r="F14" s="70">
        <f t="shared" si="1"/>
        <v>-3.9105238837934281E-3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88045146</v>
      </c>
      <c r="D16" s="27">
        <f>D12-D13-D14-D15</f>
        <v>90588107</v>
      </c>
      <c r="E16" s="27">
        <f t="shared" si="0"/>
        <v>2542961</v>
      </c>
      <c r="F16" s="28">
        <f t="shared" si="1"/>
        <v>2.8882466729057386E-2</v>
      </c>
    </row>
    <row r="17" spans="1:7" ht="23.1" customHeight="1" x14ac:dyDescent="0.2">
      <c r="A17" s="25">
        <v>5</v>
      </c>
      <c r="B17" s="48" t="s">
        <v>76</v>
      </c>
      <c r="C17" s="51">
        <v>3875185</v>
      </c>
      <c r="D17" s="51">
        <v>2889896</v>
      </c>
      <c r="E17" s="51">
        <f t="shared" si="0"/>
        <v>-985289</v>
      </c>
      <c r="F17" s="70">
        <f t="shared" si="1"/>
        <v>-0.25425599035916996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0</v>
      </c>
      <c r="D18" s="51">
        <v>346393</v>
      </c>
      <c r="E18" s="51">
        <f t="shared" si="0"/>
        <v>346393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91920331</v>
      </c>
      <c r="D19" s="27">
        <f>SUM(D16:D18)</f>
        <v>93824396</v>
      </c>
      <c r="E19" s="27">
        <f t="shared" si="0"/>
        <v>1904065</v>
      </c>
      <c r="F19" s="28">
        <f t="shared" si="1"/>
        <v>2.0714296601042483E-2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37652884</v>
      </c>
      <c r="D22" s="51">
        <v>38861333</v>
      </c>
      <c r="E22" s="51">
        <f t="shared" ref="E22:E31" si="2">D22-C22</f>
        <v>1208449</v>
      </c>
      <c r="F22" s="70">
        <f t="shared" ref="F22:F31" si="3">IF(C22=0,0,E22/C22)</f>
        <v>3.2094460546501564E-2</v>
      </c>
    </row>
    <row r="23" spans="1:7" ht="23.1" customHeight="1" x14ac:dyDescent="0.2">
      <c r="A23" s="25">
        <v>2</v>
      </c>
      <c r="B23" s="48" t="s">
        <v>81</v>
      </c>
      <c r="C23" s="51">
        <v>11693174</v>
      </c>
      <c r="D23" s="51">
        <v>13391748</v>
      </c>
      <c r="E23" s="51">
        <f t="shared" si="2"/>
        <v>1698574</v>
      </c>
      <c r="F23" s="70">
        <f t="shared" si="3"/>
        <v>0.14526201354739099</v>
      </c>
    </row>
    <row r="24" spans="1:7" ht="23.1" customHeight="1" x14ac:dyDescent="0.2">
      <c r="A24" s="25">
        <v>3</v>
      </c>
      <c r="B24" s="48" t="s">
        <v>82</v>
      </c>
      <c r="C24" s="51">
        <v>1312983</v>
      </c>
      <c r="D24" s="51">
        <v>1914545</v>
      </c>
      <c r="E24" s="51">
        <f t="shared" si="2"/>
        <v>601562</v>
      </c>
      <c r="F24" s="70">
        <f t="shared" si="3"/>
        <v>0.45816434790092486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14059181</v>
      </c>
      <c r="D25" s="51">
        <v>13100512</v>
      </c>
      <c r="E25" s="51">
        <f t="shared" si="2"/>
        <v>-958669</v>
      </c>
      <c r="F25" s="70">
        <f t="shared" si="3"/>
        <v>-6.8188111384297562E-2</v>
      </c>
    </row>
    <row r="26" spans="1:7" ht="23.1" customHeight="1" x14ac:dyDescent="0.2">
      <c r="A26" s="25">
        <v>5</v>
      </c>
      <c r="B26" s="48" t="s">
        <v>84</v>
      </c>
      <c r="C26" s="51">
        <v>5437648</v>
      </c>
      <c r="D26" s="51">
        <v>5689580</v>
      </c>
      <c r="E26" s="51">
        <f t="shared" si="2"/>
        <v>251932</v>
      </c>
      <c r="F26" s="70">
        <f t="shared" si="3"/>
        <v>4.6331060782161697E-2</v>
      </c>
    </row>
    <row r="27" spans="1:7" ht="23.1" customHeight="1" x14ac:dyDescent="0.2">
      <c r="A27" s="25">
        <v>6</v>
      </c>
      <c r="B27" s="48" t="s">
        <v>85</v>
      </c>
      <c r="C27" s="51">
        <v>3065190</v>
      </c>
      <c r="D27" s="51">
        <v>2545989</v>
      </c>
      <c r="E27" s="51">
        <f t="shared" si="2"/>
        <v>-519201</v>
      </c>
      <c r="F27" s="70">
        <f t="shared" si="3"/>
        <v>-0.16938623706850145</v>
      </c>
    </row>
    <row r="28" spans="1:7" ht="23.1" customHeight="1" x14ac:dyDescent="0.2">
      <c r="A28" s="25">
        <v>7</v>
      </c>
      <c r="B28" s="48" t="s">
        <v>86</v>
      </c>
      <c r="C28" s="51">
        <v>538204</v>
      </c>
      <c r="D28" s="51">
        <v>482517</v>
      </c>
      <c r="E28" s="51">
        <f t="shared" si="2"/>
        <v>-55687</v>
      </c>
      <c r="F28" s="70">
        <f t="shared" si="3"/>
        <v>-0.10346820164844557</v>
      </c>
    </row>
    <row r="29" spans="1:7" ht="23.1" customHeight="1" x14ac:dyDescent="0.2">
      <c r="A29" s="25">
        <v>8</v>
      </c>
      <c r="B29" s="48" t="s">
        <v>87</v>
      </c>
      <c r="C29" s="51">
        <v>1526053</v>
      </c>
      <c r="D29" s="51">
        <v>1856393</v>
      </c>
      <c r="E29" s="51">
        <f t="shared" si="2"/>
        <v>330340</v>
      </c>
      <c r="F29" s="70">
        <f t="shared" si="3"/>
        <v>0.21646692480536389</v>
      </c>
    </row>
    <row r="30" spans="1:7" ht="23.1" customHeight="1" x14ac:dyDescent="0.2">
      <c r="A30" s="25">
        <v>9</v>
      </c>
      <c r="B30" s="48" t="s">
        <v>88</v>
      </c>
      <c r="C30" s="51">
        <v>16516913</v>
      </c>
      <c r="D30" s="51">
        <v>16073149</v>
      </c>
      <c r="E30" s="51">
        <f t="shared" si="2"/>
        <v>-443764</v>
      </c>
      <c r="F30" s="70">
        <f t="shared" si="3"/>
        <v>-2.6867248135290171E-2</v>
      </c>
    </row>
    <row r="31" spans="1:7" ht="23.1" customHeight="1" x14ac:dyDescent="0.25">
      <c r="A31" s="29"/>
      <c r="B31" s="71" t="s">
        <v>89</v>
      </c>
      <c r="C31" s="27">
        <f>SUM(C22:C30)</f>
        <v>91802230</v>
      </c>
      <c r="D31" s="27">
        <f>SUM(D22:D30)</f>
        <v>93915766</v>
      </c>
      <c r="E31" s="27">
        <f t="shared" si="2"/>
        <v>2113536</v>
      </c>
      <c r="F31" s="28">
        <f t="shared" si="3"/>
        <v>2.3022708707620718E-2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118101</v>
      </c>
      <c r="D33" s="27">
        <f>+D19-D31</f>
        <v>-91370</v>
      </c>
      <c r="E33" s="27">
        <f>D33-C33</f>
        <v>-209471</v>
      </c>
      <c r="F33" s="28">
        <f>IF(C33=0,0,E33/C33)</f>
        <v>-1.7736598335323155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35184</v>
      </c>
      <c r="D36" s="51">
        <v>44475</v>
      </c>
      <c r="E36" s="51">
        <f>D36-C36</f>
        <v>9291</v>
      </c>
      <c r="F36" s="70">
        <f>IF(C36=0,0,E36/C36)</f>
        <v>0.264068894952251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25675</v>
      </c>
      <c r="E37" s="51">
        <f>D37-C37</f>
        <v>25675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36962</v>
      </c>
      <c r="D38" s="51">
        <v>-72722</v>
      </c>
      <c r="E38" s="51">
        <f>D38-C38</f>
        <v>-109684</v>
      </c>
      <c r="F38" s="70">
        <f>IF(C38=0,0,E38/C38)</f>
        <v>-2.9674801147124072</v>
      </c>
    </row>
    <row r="39" spans="1:6" ht="23.1" customHeight="1" x14ac:dyDescent="0.25">
      <c r="A39" s="20"/>
      <c r="B39" s="71" t="s">
        <v>95</v>
      </c>
      <c r="C39" s="27">
        <f>SUM(C36:C38)</f>
        <v>72146</v>
      </c>
      <c r="D39" s="27">
        <f>SUM(D36:D38)</f>
        <v>-2572</v>
      </c>
      <c r="E39" s="27">
        <f>D39-C39</f>
        <v>-74718</v>
      </c>
      <c r="F39" s="28">
        <f>IF(C39=0,0,E39/C39)</f>
        <v>-1.0356499320821668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190247</v>
      </c>
      <c r="D41" s="27">
        <f>D33+D39</f>
        <v>-93942</v>
      </c>
      <c r="E41" s="27">
        <f>D41-C41</f>
        <v>-284189</v>
      </c>
      <c r="F41" s="28">
        <f>IF(C41=0,0,E41/C41)</f>
        <v>-1.4937896523992493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190247</v>
      </c>
      <c r="D48" s="27">
        <f>D41+D46</f>
        <v>-93942</v>
      </c>
      <c r="E48" s="27">
        <f>D48-C48</f>
        <v>-284189</v>
      </c>
      <c r="F48" s="28">
        <f>IF(C48=0,0,E48/C48)</f>
        <v>-1.4937896523992493</v>
      </c>
    </row>
    <row r="49" spans="1:6" ht="23.1" customHeight="1" x14ac:dyDescent="0.2">
      <c r="A49" s="44"/>
      <c r="B49" s="48" t="s">
        <v>102</v>
      </c>
      <c r="C49" s="51">
        <v>1871926</v>
      </c>
      <c r="D49" s="51">
        <v>7315741</v>
      </c>
      <c r="E49" s="51">
        <f>D49-C49</f>
        <v>5443815</v>
      </c>
      <c r="F49" s="70">
        <f>IF(C49=0,0,E49/C49)</f>
        <v>2.9081357916926205</v>
      </c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FILING&amp;RNEW MILFORD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8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60" t="s">
        <v>0</v>
      </c>
      <c r="B2" s="660"/>
      <c r="C2" s="660"/>
      <c r="D2" s="660"/>
      <c r="E2" s="660"/>
      <c r="F2" s="660"/>
    </row>
    <row r="3" spans="1:6" ht="18" customHeight="1" x14ac:dyDescent="0.25">
      <c r="A3" s="660" t="s">
        <v>1</v>
      </c>
      <c r="B3" s="660"/>
      <c r="C3" s="660"/>
      <c r="D3" s="660"/>
      <c r="E3" s="660"/>
      <c r="F3" s="660"/>
    </row>
    <row r="4" spans="1:6" ht="18" customHeight="1" x14ac:dyDescent="0.25">
      <c r="A4" s="660" t="s">
        <v>2</v>
      </c>
      <c r="B4" s="660"/>
      <c r="C4" s="660"/>
      <c r="D4" s="660"/>
      <c r="E4" s="660"/>
      <c r="F4" s="660"/>
    </row>
    <row r="5" spans="1:6" ht="18" customHeight="1" x14ac:dyDescent="0.25">
      <c r="A5" s="660" t="s">
        <v>103</v>
      </c>
      <c r="B5" s="660"/>
      <c r="C5" s="660"/>
      <c r="D5" s="660"/>
      <c r="E5" s="660"/>
      <c r="F5" s="66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61"/>
      <c r="D9" s="662"/>
      <c r="E9" s="662"/>
      <c r="F9" s="663"/>
    </row>
    <row r="10" spans="1:6" ht="18" customHeight="1" x14ac:dyDescent="0.25">
      <c r="A10" s="664" t="s">
        <v>12</v>
      </c>
      <c r="B10" s="666" t="s">
        <v>109</v>
      </c>
      <c r="C10" s="668"/>
      <c r="D10" s="669"/>
      <c r="E10" s="669"/>
      <c r="F10" s="670"/>
    </row>
    <row r="11" spans="1:6" ht="18" customHeight="1" x14ac:dyDescent="0.25">
      <c r="A11" s="665"/>
      <c r="B11" s="667"/>
      <c r="C11" s="671"/>
      <c r="D11" s="672"/>
      <c r="E11" s="672"/>
      <c r="F11" s="673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36103221</v>
      </c>
      <c r="D14" s="97">
        <v>35530582</v>
      </c>
      <c r="E14" s="97">
        <f t="shared" ref="E14:E25" si="0">D14-C14</f>
        <v>-572639</v>
      </c>
      <c r="F14" s="98">
        <f t="shared" ref="F14:F25" si="1">IF(C14=0,0,E14/C14)</f>
        <v>-1.5861160975083083E-2</v>
      </c>
    </row>
    <row r="15" spans="1:6" ht="18" customHeight="1" x14ac:dyDescent="0.25">
      <c r="A15" s="99">
        <v>2</v>
      </c>
      <c r="B15" s="100" t="s">
        <v>113</v>
      </c>
      <c r="C15" s="97">
        <v>2326095</v>
      </c>
      <c r="D15" s="97">
        <v>2950849</v>
      </c>
      <c r="E15" s="97">
        <f t="shared" si="0"/>
        <v>624754</v>
      </c>
      <c r="F15" s="98">
        <f t="shared" si="1"/>
        <v>0.2685849030241671</v>
      </c>
    </row>
    <row r="16" spans="1:6" ht="18" customHeight="1" x14ac:dyDescent="0.25">
      <c r="A16" s="99">
        <v>3</v>
      </c>
      <c r="B16" s="100" t="s">
        <v>114</v>
      </c>
      <c r="C16" s="97">
        <v>2873479</v>
      </c>
      <c r="D16" s="97">
        <v>3103139</v>
      </c>
      <c r="E16" s="97">
        <f t="shared" si="0"/>
        <v>229660</v>
      </c>
      <c r="F16" s="98">
        <f t="shared" si="1"/>
        <v>7.9924022413248891E-2</v>
      </c>
    </row>
    <row r="17" spans="1:6" ht="18" customHeight="1" x14ac:dyDescent="0.25">
      <c r="A17" s="99">
        <v>4</v>
      </c>
      <c r="B17" s="100" t="s">
        <v>115</v>
      </c>
      <c r="C17" s="97">
        <v>1534370</v>
      </c>
      <c r="D17" s="97">
        <v>1301248</v>
      </c>
      <c r="E17" s="97">
        <f t="shared" si="0"/>
        <v>-233122</v>
      </c>
      <c r="F17" s="98">
        <f t="shared" si="1"/>
        <v>-0.15193336678897529</v>
      </c>
    </row>
    <row r="18" spans="1:6" ht="18" customHeight="1" x14ac:dyDescent="0.25">
      <c r="A18" s="99">
        <v>5</v>
      </c>
      <c r="B18" s="100" t="s">
        <v>116</v>
      </c>
      <c r="C18" s="97">
        <v>103220</v>
      </c>
      <c r="D18" s="97">
        <v>206461</v>
      </c>
      <c r="E18" s="97">
        <f t="shared" si="0"/>
        <v>103241</v>
      </c>
      <c r="F18" s="98">
        <f t="shared" si="1"/>
        <v>1.000203448944003</v>
      </c>
    </row>
    <row r="19" spans="1:6" ht="18" customHeight="1" x14ac:dyDescent="0.25">
      <c r="A19" s="99">
        <v>6</v>
      </c>
      <c r="B19" s="100" t="s">
        <v>117</v>
      </c>
      <c r="C19" s="97">
        <v>2419019</v>
      </c>
      <c r="D19" s="97">
        <v>2248688</v>
      </c>
      <c r="E19" s="97">
        <f t="shared" si="0"/>
        <v>-170331</v>
      </c>
      <c r="F19" s="98">
        <f t="shared" si="1"/>
        <v>-7.0413254298540034E-2</v>
      </c>
    </row>
    <row r="20" spans="1:6" ht="18" customHeight="1" x14ac:dyDescent="0.25">
      <c r="A20" s="99">
        <v>7</v>
      </c>
      <c r="B20" s="100" t="s">
        <v>118</v>
      </c>
      <c r="C20" s="97">
        <v>22043791</v>
      </c>
      <c r="D20" s="97">
        <v>18734058</v>
      </c>
      <c r="E20" s="97">
        <f t="shared" si="0"/>
        <v>-3309733</v>
      </c>
      <c r="F20" s="98">
        <f t="shared" si="1"/>
        <v>-0.1501435483579027</v>
      </c>
    </row>
    <row r="21" spans="1:6" ht="18" customHeight="1" x14ac:dyDescent="0.25">
      <c r="A21" s="99">
        <v>8</v>
      </c>
      <c r="B21" s="100" t="s">
        <v>119</v>
      </c>
      <c r="C21" s="97">
        <v>953718</v>
      </c>
      <c r="D21" s="97">
        <v>2093758</v>
      </c>
      <c r="E21" s="97">
        <f t="shared" si="0"/>
        <v>1140040</v>
      </c>
      <c r="F21" s="98">
        <f t="shared" si="1"/>
        <v>1.1953638287208588</v>
      </c>
    </row>
    <row r="22" spans="1:6" ht="18" customHeight="1" x14ac:dyDescent="0.25">
      <c r="A22" s="99">
        <v>9</v>
      </c>
      <c r="B22" s="100" t="s">
        <v>120</v>
      </c>
      <c r="C22" s="97">
        <v>947053</v>
      </c>
      <c r="D22" s="97">
        <v>817818</v>
      </c>
      <c r="E22" s="97">
        <f t="shared" si="0"/>
        <v>-129235</v>
      </c>
      <c r="F22" s="98">
        <f t="shared" si="1"/>
        <v>-0.13646015587300817</v>
      </c>
    </row>
    <row r="23" spans="1:6" ht="18" customHeight="1" x14ac:dyDescent="0.25">
      <c r="A23" s="99">
        <v>10</v>
      </c>
      <c r="B23" s="100" t="s">
        <v>121</v>
      </c>
      <c r="C23" s="97">
        <v>488981</v>
      </c>
      <c r="D23" s="97">
        <v>0</v>
      </c>
      <c r="E23" s="97">
        <f t="shared" si="0"/>
        <v>-488981</v>
      </c>
      <c r="F23" s="98">
        <f t="shared" si="1"/>
        <v>-1</v>
      </c>
    </row>
    <row r="24" spans="1:6" ht="18" customHeight="1" x14ac:dyDescent="0.25">
      <c r="A24" s="99">
        <v>11</v>
      </c>
      <c r="B24" s="100" t="s">
        <v>122</v>
      </c>
      <c r="C24" s="97">
        <v>472650</v>
      </c>
      <c r="D24" s="97">
        <v>495349</v>
      </c>
      <c r="E24" s="97">
        <f t="shared" si="0"/>
        <v>22699</v>
      </c>
      <c r="F24" s="98">
        <f t="shared" si="1"/>
        <v>4.8024965619380092E-2</v>
      </c>
    </row>
    <row r="25" spans="1:6" ht="18" customHeight="1" x14ac:dyDescent="0.25">
      <c r="A25" s="101"/>
      <c r="B25" s="102" t="s">
        <v>123</v>
      </c>
      <c r="C25" s="103">
        <f>SUM(C14:C24)</f>
        <v>70265597</v>
      </c>
      <c r="D25" s="103">
        <f>SUM(D14:D24)</f>
        <v>67481950</v>
      </c>
      <c r="E25" s="103">
        <f t="shared" si="0"/>
        <v>-2783647</v>
      </c>
      <c r="F25" s="104">
        <f t="shared" si="1"/>
        <v>-3.961607271336498E-2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64832570</v>
      </c>
      <c r="D27" s="97">
        <v>59432584</v>
      </c>
      <c r="E27" s="97">
        <f t="shared" ref="E27:E38" si="2">D27-C27</f>
        <v>-5399986</v>
      </c>
      <c r="F27" s="98">
        <f t="shared" ref="F27:F38" si="3">IF(C27=0,0,E27/C27)</f>
        <v>-8.3291253146373812E-2</v>
      </c>
    </row>
    <row r="28" spans="1:6" ht="18" customHeight="1" x14ac:dyDescent="0.25">
      <c r="A28" s="99">
        <v>2</v>
      </c>
      <c r="B28" s="100" t="s">
        <v>113</v>
      </c>
      <c r="C28" s="97">
        <v>4000176</v>
      </c>
      <c r="D28" s="97">
        <v>4399719</v>
      </c>
      <c r="E28" s="97">
        <f t="shared" si="2"/>
        <v>399543</v>
      </c>
      <c r="F28" s="98">
        <f t="shared" si="3"/>
        <v>9.988135522037031E-2</v>
      </c>
    </row>
    <row r="29" spans="1:6" ht="18" customHeight="1" x14ac:dyDescent="0.25">
      <c r="A29" s="99">
        <v>3</v>
      </c>
      <c r="B29" s="100" t="s">
        <v>114</v>
      </c>
      <c r="C29" s="97">
        <v>4455068</v>
      </c>
      <c r="D29" s="97">
        <v>8746401</v>
      </c>
      <c r="E29" s="97">
        <f t="shared" si="2"/>
        <v>4291333</v>
      </c>
      <c r="F29" s="98">
        <f t="shared" si="3"/>
        <v>0.96324747456155546</v>
      </c>
    </row>
    <row r="30" spans="1:6" ht="18" customHeight="1" x14ac:dyDescent="0.25">
      <c r="A30" s="99">
        <v>4</v>
      </c>
      <c r="B30" s="100" t="s">
        <v>115</v>
      </c>
      <c r="C30" s="97">
        <v>6014985</v>
      </c>
      <c r="D30" s="97">
        <v>6247212</v>
      </c>
      <c r="E30" s="97">
        <f t="shared" si="2"/>
        <v>232227</v>
      </c>
      <c r="F30" s="98">
        <f t="shared" si="3"/>
        <v>3.8608076329367406E-2</v>
      </c>
    </row>
    <row r="31" spans="1:6" ht="18" customHeight="1" x14ac:dyDescent="0.25">
      <c r="A31" s="99">
        <v>5</v>
      </c>
      <c r="B31" s="100" t="s">
        <v>116</v>
      </c>
      <c r="C31" s="97">
        <v>300717</v>
      </c>
      <c r="D31" s="97">
        <v>276437</v>
      </c>
      <c r="E31" s="97">
        <f t="shared" si="2"/>
        <v>-24280</v>
      </c>
      <c r="F31" s="98">
        <f t="shared" si="3"/>
        <v>-8.0740363863699094E-2</v>
      </c>
    </row>
    <row r="32" spans="1:6" ht="18" customHeight="1" x14ac:dyDescent="0.25">
      <c r="A32" s="99">
        <v>6</v>
      </c>
      <c r="B32" s="100" t="s">
        <v>117</v>
      </c>
      <c r="C32" s="97">
        <v>7749409</v>
      </c>
      <c r="D32" s="97">
        <v>7042245</v>
      </c>
      <c r="E32" s="97">
        <f t="shared" si="2"/>
        <v>-707164</v>
      </c>
      <c r="F32" s="98">
        <f t="shared" si="3"/>
        <v>-9.1253926589756715E-2</v>
      </c>
    </row>
    <row r="33" spans="1:6" ht="18" customHeight="1" x14ac:dyDescent="0.25">
      <c r="A33" s="99">
        <v>7</v>
      </c>
      <c r="B33" s="100" t="s">
        <v>118</v>
      </c>
      <c r="C33" s="97">
        <v>76178979</v>
      </c>
      <c r="D33" s="97">
        <v>78941999</v>
      </c>
      <c r="E33" s="97">
        <f t="shared" si="2"/>
        <v>2763020</v>
      </c>
      <c r="F33" s="98">
        <f t="shared" si="3"/>
        <v>3.6270110682370786E-2</v>
      </c>
    </row>
    <row r="34" spans="1:6" ht="18" customHeight="1" x14ac:dyDescent="0.25">
      <c r="A34" s="99">
        <v>8</v>
      </c>
      <c r="B34" s="100" t="s">
        <v>119</v>
      </c>
      <c r="C34" s="97">
        <v>1502223</v>
      </c>
      <c r="D34" s="97">
        <v>1648420</v>
      </c>
      <c r="E34" s="97">
        <f t="shared" si="2"/>
        <v>146197</v>
      </c>
      <c r="F34" s="98">
        <f t="shared" si="3"/>
        <v>9.7320437777879854E-2</v>
      </c>
    </row>
    <row r="35" spans="1:6" ht="18" customHeight="1" x14ac:dyDescent="0.25">
      <c r="A35" s="99">
        <v>9</v>
      </c>
      <c r="B35" s="100" t="s">
        <v>120</v>
      </c>
      <c r="C35" s="97">
        <v>4062137</v>
      </c>
      <c r="D35" s="97">
        <v>3882484</v>
      </c>
      <c r="E35" s="97">
        <f t="shared" si="2"/>
        <v>-179653</v>
      </c>
      <c r="F35" s="98">
        <f t="shared" si="3"/>
        <v>-4.422622870671275E-2</v>
      </c>
    </row>
    <row r="36" spans="1:6" ht="18" customHeight="1" x14ac:dyDescent="0.25">
      <c r="A36" s="99">
        <v>10</v>
      </c>
      <c r="B36" s="100" t="s">
        <v>121</v>
      </c>
      <c r="C36" s="97">
        <v>494608</v>
      </c>
      <c r="D36" s="97">
        <v>0</v>
      </c>
      <c r="E36" s="97">
        <f t="shared" si="2"/>
        <v>-494608</v>
      </c>
      <c r="F36" s="98">
        <f t="shared" si="3"/>
        <v>-1</v>
      </c>
    </row>
    <row r="37" spans="1:6" ht="18" customHeight="1" x14ac:dyDescent="0.25">
      <c r="A37" s="99">
        <v>11</v>
      </c>
      <c r="B37" s="100" t="s">
        <v>122</v>
      </c>
      <c r="C37" s="97">
        <v>271231</v>
      </c>
      <c r="D37" s="97">
        <v>386445</v>
      </c>
      <c r="E37" s="97">
        <f t="shared" si="2"/>
        <v>115214</v>
      </c>
      <c r="F37" s="98">
        <f t="shared" si="3"/>
        <v>0.42478182803588088</v>
      </c>
    </row>
    <row r="38" spans="1:6" ht="18" customHeight="1" x14ac:dyDescent="0.25">
      <c r="A38" s="101"/>
      <c r="B38" s="102" t="s">
        <v>126</v>
      </c>
      <c r="C38" s="103">
        <f>SUM(C27:C37)</f>
        <v>169862103</v>
      </c>
      <c r="D38" s="103">
        <f>SUM(D27:D37)</f>
        <v>171003946</v>
      </c>
      <c r="E38" s="103">
        <f t="shared" si="2"/>
        <v>1141843</v>
      </c>
      <c r="F38" s="104">
        <f t="shared" si="3"/>
        <v>6.7221762820162427E-3</v>
      </c>
    </row>
    <row r="39" spans="1:6" ht="18" customHeight="1" x14ac:dyDescent="0.25">
      <c r="A39" s="664" t="s">
        <v>127</v>
      </c>
      <c r="B39" s="666" t="s">
        <v>128</v>
      </c>
      <c r="C39" s="668"/>
      <c r="D39" s="669"/>
      <c r="E39" s="669"/>
      <c r="F39" s="670"/>
    </row>
    <row r="40" spans="1:6" ht="18" customHeight="1" x14ac:dyDescent="0.25">
      <c r="A40" s="665"/>
      <c r="B40" s="667"/>
      <c r="C40" s="671"/>
      <c r="D40" s="672"/>
      <c r="E40" s="672"/>
      <c r="F40" s="673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100935791</v>
      </c>
      <c r="D41" s="103">
        <f t="shared" si="4"/>
        <v>94963166</v>
      </c>
      <c r="E41" s="107">
        <f t="shared" ref="E41:E52" si="5">D41-C41</f>
        <v>-5972625</v>
      </c>
      <c r="F41" s="108">
        <f t="shared" ref="F41:F52" si="6">IF(C41=0,0,E41/C41)</f>
        <v>-5.9172518893719273E-2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6326271</v>
      </c>
      <c r="D42" s="103">
        <f t="shared" si="4"/>
        <v>7350568</v>
      </c>
      <c r="E42" s="107">
        <f t="shared" si="5"/>
        <v>1024297</v>
      </c>
      <c r="F42" s="108">
        <f t="shared" si="6"/>
        <v>0.1619116538004774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7328547</v>
      </c>
      <c r="D43" s="103">
        <f t="shared" si="4"/>
        <v>11849540</v>
      </c>
      <c r="E43" s="107">
        <f t="shared" si="5"/>
        <v>4520993</v>
      </c>
      <c r="F43" s="108">
        <f t="shared" si="6"/>
        <v>0.61690168596858286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7549355</v>
      </c>
      <c r="D44" s="103">
        <f t="shared" si="4"/>
        <v>7548460</v>
      </c>
      <c r="E44" s="107">
        <f t="shared" si="5"/>
        <v>-895</v>
      </c>
      <c r="F44" s="108">
        <f t="shared" si="6"/>
        <v>-1.1855317441026419E-4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403937</v>
      </c>
      <c r="D45" s="103">
        <f t="shared" si="4"/>
        <v>482898</v>
      </c>
      <c r="E45" s="107">
        <f t="shared" si="5"/>
        <v>78961</v>
      </c>
      <c r="F45" s="108">
        <f t="shared" si="6"/>
        <v>0.19547850283583826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10168428</v>
      </c>
      <c r="D46" s="103">
        <f t="shared" si="4"/>
        <v>9290933</v>
      </c>
      <c r="E46" s="107">
        <f t="shared" si="5"/>
        <v>-877495</v>
      </c>
      <c r="F46" s="108">
        <f t="shared" si="6"/>
        <v>-8.6296033172482509E-2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98222770</v>
      </c>
      <c r="D47" s="103">
        <f t="shared" si="4"/>
        <v>97676057</v>
      </c>
      <c r="E47" s="107">
        <f t="shared" si="5"/>
        <v>-546713</v>
      </c>
      <c r="F47" s="108">
        <f t="shared" si="6"/>
        <v>-5.5660515377442526E-3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2455941</v>
      </c>
      <c r="D48" s="103">
        <f t="shared" si="4"/>
        <v>3742178</v>
      </c>
      <c r="E48" s="107">
        <f t="shared" si="5"/>
        <v>1286237</v>
      </c>
      <c r="F48" s="108">
        <f t="shared" si="6"/>
        <v>0.52372471488525174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5009190</v>
      </c>
      <c r="D49" s="103">
        <f t="shared" si="4"/>
        <v>4700302</v>
      </c>
      <c r="E49" s="107">
        <f t="shared" si="5"/>
        <v>-308888</v>
      </c>
      <c r="F49" s="108">
        <f t="shared" si="6"/>
        <v>-6.1664261088120037E-2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983589</v>
      </c>
      <c r="D50" s="103">
        <f t="shared" si="4"/>
        <v>0</v>
      </c>
      <c r="E50" s="107">
        <f t="shared" si="5"/>
        <v>-983589</v>
      </c>
      <c r="F50" s="108">
        <f t="shared" si="6"/>
        <v>-1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743881</v>
      </c>
      <c r="D51" s="103">
        <f t="shared" si="4"/>
        <v>881794</v>
      </c>
      <c r="E51" s="107">
        <f t="shared" si="5"/>
        <v>137913</v>
      </c>
      <c r="F51" s="108">
        <f t="shared" si="6"/>
        <v>0.1853965889705477</v>
      </c>
    </row>
    <row r="52" spans="1:6" ht="18.75" customHeight="1" thickBot="1" x14ac:dyDescent="0.3">
      <c r="A52" s="109"/>
      <c r="B52" s="110" t="s">
        <v>128</v>
      </c>
      <c r="C52" s="111">
        <f>SUM(C41:C51)</f>
        <v>240127700</v>
      </c>
      <c r="D52" s="112">
        <f>SUM(D41:D51)</f>
        <v>238485896</v>
      </c>
      <c r="E52" s="111">
        <f t="shared" si="5"/>
        <v>-1641804</v>
      </c>
      <c r="F52" s="113">
        <f t="shared" si="6"/>
        <v>-6.8372120334305453E-3</v>
      </c>
    </row>
    <row r="53" spans="1:6" ht="18" customHeight="1" x14ac:dyDescent="0.25">
      <c r="A53" s="664" t="s">
        <v>44</v>
      </c>
      <c r="B53" s="666" t="s">
        <v>129</v>
      </c>
      <c r="C53" s="668"/>
      <c r="D53" s="669"/>
      <c r="E53" s="669"/>
      <c r="F53" s="670"/>
    </row>
    <row r="54" spans="1:6" ht="18" customHeight="1" x14ac:dyDescent="0.25">
      <c r="A54" s="665"/>
      <c r="B54" s="667"/>
      <c r="C54" s="671"/>
      <c r="D54" s="672"/>
      <c r="E54" s="672"/>
      <c r="F54" s="673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11851190</v>
      </c>
      <c r="D57" s="97">
        <v>11738609</v>
      </c>
      <c r="E57" s="97">
        <f t="shared" ref="E57:E68" si="7">D57-C57</f>
        <v>-112581</v>
      </c>
      <c r="F57" s="98">
        <f t="shared" ref="F57:F68" si="8">IF(C57=0,0,E57/C57)</f>
        <v>-9.4995523656274186E-3</v>
      </c>
    </row>
    <row r="58" spans="1:6" ht="18" customHeight="1" x14ac:dyDescent="0.25">
      <c r="A58" s="99">
        <v>2</v>
      </c>
      <c r="B58" s="100" t="s">
        <v>113</v>
      </c>
      <c r="C58" s="97">
        <v>716987</v>
      </c>
      <c r="D58" s="97">
        <v>877435</v>
      </c>
      <c r="E58" s="97">
        <f t="shared" si="7"/>
        <v>160448</v>
      </c>
      <c r="F58" s="98">
        <f t="shared" si="8"/>
        <v>0.22378090537206394</v>
      </c>
    </row>
    <row r="59" spans="1:6" ht="18" customHeight="1" x14ac:dyDescent="0.25">
      <c r="A59" s="99">
        <v>3</v>
      </c>
      <c r="B59" s="100" t="s">
        <v>114</v>
      </c>
      <c r="C59" s="97">
        <v>586539</v>
      </c>
      <c r="D59" s="97">
        <v>975520</v>
      </c>
      <c r="E59" s="97">
        <f t="shared" si="7"/>
        <v>388981</v>
      </c>
      <c r="F59" s="98">
        <f t="shared" si="8"/>
        <v>0.66318011249038855</v>
      </c>
    </row>
    <row r="60" spans="1:6" ht="18" customHeight="1" x14ac:dyDescent="0.25">
      <c r="A60" s="99">
        <v>4</v>
      </c>
      <c r="B60" s="100" t="s">
        <v>115</v>
      </c>
      <c r="C60" s="97">
        <v>631163</v>
      </c>
      <c r="D60" s="97">
        <v>461166</v>
      </c>
      <c r="E60" s="97">
        <f t="shared" si="7"/>
        <v>-169997</v>
      </c>
      <c r="F60" s="98">
        <f t="shared" si="8"/>
        <v>-0.26933929904002613</v>
      </c>
    </row>
    <row r="61" spans="1:6" ht="18" customHeight="1" x14ac:dyDescent="0.25">
      <c r="A61" s="99">
        <v>5</v>
      </c>
      <c r="B61" s="100" t="s">
        <v>116</v>
      </c>
      <c r="C61" s="97">
        <v>23033</v>
      </c>
      <c r="D61" s="97">
        <v>41553</v>
      </c>
      <c r="E61" s="97">
        <f t="shared" si="7"/>
        <v>18520</v>
      </c>
      <c r="F61" s="98">
        <f t="shared" si="8"/>
        <v>0.80406373464160119</v>
      </c>
    </row>
    <row r="62" spans="1:6" ht="18" customHeight="1" x14ac:dyDescent="0.25">
      <c r="A62" s="99">
        <v>6</v>
      </c>
      <c r="B62" s="100" t="s">
        <v>117</v>
      </c>
      <c r="C62" s="97">
        <v>951353</v>
      </c>
      <c r="D62" s="97">
        <v>799192</v>
      </c>
      <c r="E62" s="97">
        <f t="shared" si="7"/>
        <v>-152161</v>
      </c>
      <c r="F62" s="98">
        <f t="shared" si="8"/>
        <v>-0.15994168305560608</v>
      </c>
    </row>
    <row r="63" spans="1:6" ht="18" customHeight="1" x14ac:dyDescent="0.25">
      <c r="A63" s="99">
        <v>7</v>
      </c>
      <c r="B63" s="100" t="s">
        <v>118</v>
      </c>
      <c r="C63" s="97">
        <v>8937596</v>
      </c>
      <c r="D63" s="97">
        <v>7877740</v>
      </c>
      <c r="E63" s="97">
        <f t="shared" si="7"/>
        <v>-1059856</v>
      </c>
      <c r="F63" s="98">
        <f t="shared" si="8"/>
        <v>-0.1185840129717208</v>
      </c>
    </row>
    <row r="64" spans="1:6" ht="18" customHeight="1" x14ac:dyDescent="0.25">
      <c r="A64" s="99">
        <v>8</v>
      </c>
      <c r="B64" s="100" t="s">
        <v>119</v>
      </c>
      <c r="C64" s="97">
        <v>635779</v>
      </c>
      <c r="D64" s="97">
        <v>1278532</v>
      </c>
      <c r="E64" s="97">
        <f t="shared" si="7"/>
        <v>642753</v>
      </c>
      <c r="F64" s="98">
        <f t="shared" si="8"/>
        <v>1.0109692204366612</v>
      </c>
    </row>
    <row r="65" spans="1:6" ht="18" customHeight="1" x14ac:dyDescent="0.25">
      <c r="A65" s="99">
        <v>9</v>
      </c>
      <c r="B65" s="100" t="s">
        <v>120</v>
      </c>
      <c r="C65" s="97">
        <v>51906</v>
      </c>
      <c r="D65" s="97">
        <v>73029</v>
      </c>
      <c r="E65" s="97">
        <f t="shared" si="7"/>
        <v>21123</v>
      </c>
      <c r="F65" s="98">
        <f t="shared" si="8"/>
        <v>0.40694717373714023</v>
      </c>
    </row>
    <row r="66" spans="1:6" ht="18" customHeight="1" x14ac:dyDescent="0.25">
      <c r="A66" s="99">
        <v>10</v>
      </c>
      <c r="B66" s="100" t="s">
        <v>121</v>
      </c>
      <c r="C66" s="97">
        <v>99812</v>
      </c>
      <c r="D66" s="97">
        <v>0</v>
      </c>
      <c r="E66" s="97">
        <f t="shared" si="7"/>
        <v>-99812</v>
      </c>
      <c r="F66" s="98">
        <f t="shared" si="8"/>
        <v>-1</v>
      </c>
    </row>
    <row r="67" spans="1:6" ht="18" customHeight="1" x14ac:dyDescent="0.25">
      <c r="A67" s="99">
        <v>11</v>
      </c>
      <c r="B67" s="100" t="s">
        <v>122</v>
      </c>
      <c r="C67" s="97">
        <v>96478</v>
      </c>
      <c r="D67" s="97">
        <v>155721</v>
      </c>
      <c r="E67" s="97">
        <f t="shared" si="7"/>
        <v>59243</v>
      </c>
      <c r="F67" s="98">
        <f t="shared" si="8"/>
        <v>0.6140570907357118</v>
      </c>
    </row>
    <row r="68" spans="1:6" ht="18" customHeight="1" x14ac:dyDescent="0.25">
      <c r="A68" s="101"/>
      <c r="B68" s="102" t="s">
        <v>131</v>
      </c>
      <c r="C68" s="103">
        <f>SUM(C57:C67)</f>
        <v>24581836</v>
      </c>
      <c r="D68" s="103">
        <f>SUM(D57:D67)</f>
        <v>24278497</v>
      </c>
      <c r="E68" s="103">
        <f t="shared" si="7"/>
        <v>-303339</v>
      </c>
      <c r="F68" s="104">
        <f t="shared" si="8"/>
        <v>-1.2339965167776728E-2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12195254</v>
      </c>
      <c r="D70" s="97">
        <v>12283190</v>
      </c>
      <c r="E70" s="97">
        <f t="shared" ref="E70:E81" si="9">D70-C70</f>
        <v>87936</v>
      </c>
      <c r="F70" s="98">
        <f t="shared" ref="F70:F81" si="10">IF(C70=0,0,E70/C70)</f>
        <v>7.2106739228227634E-3</v>
      </c>
    </row>
    <row r="71" spans="1:6" ht="18" customHeight="1" x14ac:dyDescent="0.25">
      <c r="A71" s="99">
        <v>2</v>
      </c>
      <c r="B71" s="100" t="s">
        <v>113</v>
      </c>
      <c r="C71" s="97">
        <v>1076821</v>
      </c>
      <c r="D71" s="97">
        <v>1044028</v>
      </c>
      <c r="E71" s="97">
        <f t="shared" si="9"/>
        <v>-32793</v>
      </c>
      <c r="F71" s="98">
        <f t="shared" si="10"/>
        <v>-3.0453529416681138E-2</v>
      </c>
    </row>
    <row r="72" spans="1:6" ht="18" customHeight="1" x14ac:dyDescent="0.25">
      <c r="A72" s="99">
        <v>3</v>
      </c>
      <c r="B72" s="100" t="s">
        <v>114</v>
      </c>
      <c r="C72" s="97">
        <v>1083315</v>
      </c>
      <c r="D72" s="97">
        <v>2268070</v>
      </c>
      <c r="E72" s="97">
        <f t="shared" si="9"/>
        <v>1184755</v>
      </c>
      <c r="F72" s="98">
        <f t="shared" si="10"/>
        <v>1.0936385077285924</v>
      </c>
    </row>
    <row r="73" spans="1:6" ht="18" customHeight="1" x14ac:dyDescent="0.25">
      <c r="A73" s="99">
        <v>4</v>
      </c>
      <c r="B73" s="100" t="s">
        <v>115</v>
      </c>
      <c r="C73" s="97">
        <v>1733605</v>
      </c>
      <c r="D73" s="97">
        <v>1795078</v>
      </c>
      <c r="E73" s="97">
        <f t="shared" si="9"/>
        <v>61473</v>
      </c>
      <c r="F73" s="98">
        <f t="shared" si="10"/>
        <v>3.5459634691870412E-2</v>
      </c>
    </row>
    <row r="74" spans="1:6" ht="18" customHeight="1" x14ac:dyDescent="0.25">
      <c r="A74" s="99">
        <v>5</v>
      </c>
      <c r="B74" s="100" t="s">
        <v>116</v>
      </c>
      <c r="C74" s="97">
        <v>74027</v>
      </c>
      <c r="D74" s="97">
        <v>70301</v>
      </c>
      <c r="E74" s="97">
        <f t="shared" si="9"/>
        <v>-3726</v>
      </c>
      <c r="F74" s="98">
        <f t="shared" si="10"/>
        <v>-5.0332986612992556E-2</v>
      </c>
    </row>
    <row r="75" spans="1:6" ht="18" customHeight="1" x14ac:dyDescent="0.25">
      <c r="A75" s="99">
        <v>6</v>
      </c>
      <c r="B75" s="100" t="s">
        <v>117</v>
      </c>
      <c r="C75" s="97">
        <v>3599304</v>
      </c>
      <c r="D75" s="97">
        <v>3320496</v>
      </c>
      <c r="E75" s="97">
        <f t="shared" si="9"/>
        <v>-278808</v>
      </c>
      <c r="F75" s="98">
        <f t="shared" si="10"/>
        <v>-7.7461642584232951E-2</v>
      </c>
    </row>
    <row r="76" spans="1:6" ht="18" customHeight="1" x14ac:dyDescent="0.25">
      <c r="A76" s="99">
        <v>7</v>
      </c>
      <c r="B76" s="100" t="s">
        <v>118</v>
      </c>
      <c r="C76" s="97">
        <v>39237528</v>
      </c>
      <c r="D76" s="97">
        <v>41061787</v>
      </c>
      <c r="E76" s="97">
        <f t="shared" si="9"/>
        <v>1824259</v>
      </c>
      <c r="F76" s="98">
        <f t="shared" si="10"/>
        <v>4.649270973441548E-2</v>
      </c>
    </row>
    <row r="77" spans="1:6" ht="18" customHeight="1" x14ac:dyDescent="0.25">
      <c r="A77" s="99">
        <v>8</v>
      </c>
      <c r="B77" s="100" t="s">
        <v>119</v>
      </c>
      <c r="C77" s="97">
        <v>989399</v>
      </c>
      <c r="D77" s="97">
        <v>1140236</v>
      </c>
      <c r="E77" s="97">
        <f t="shared" si="9"/>
        <v>150837</v>
      </c>
      <c r="F77" s="98">
        <f t="shared" si="10"/>
        <v>0.15245315590575692</v>
      </c>
    </row>
    <row r="78" spans="1:6" ht="18" customHeight="1" x14ac:dyDescent="0.25">
      <c r="A78" s="99">
        <v>9</v>
      </c>
      <c r="B78" s="100" t="s">
        <v>120</v>
      </c>
      <c r="C78" s="97">
        <v>222636</v>
      </c>
      <c r="D78" s="97">
        <v>346693</v>
      </c>
      <c r="E78" s="97">
        <f t="shared" si="9"/>
        <v>124057</v>
      </c>
      <c r="F78" s="98">
        <f t="shared" si="10"/>
        <v>0.55721895829964607</v>
      </c>
    </row>
    <row r="79" spans="1:6" ht="18" customHeight="1" x14ac:dyDescent="0.25">
      <c r="A79" s="99">
        <v>10</v>
      </c>
      <c r="B79" s="100" t="s">
        <v>121</v>
      </c>
      <c r="C79" s="97">
        <v>120271</v>
      </c>
      <c r="D79" s="97">
        <v>0</v>
      </c>
      <c r="E79" s="97">
        <f t="shared" si="9"/>
        <v>-120271</v>
      </c>
      <c r="F79" s="98">
        <f t="shared" si="10"/>
        <v>-1</v>
      </c>
    </row>
    <row r="80" spans="1:6" ht="18" customHeight="1" x14ac:dyDescent="0.25">
      <c r="A80" s="99">
        <v>11</v>
      </c>
      <c r="B80" s="100" t="s">
        <v>122</v>
      </c>
      <c r="C80" s="97">
        <v>65954</v>
      </c>
      <c r="D80" s="97">
        <v>100211</v>
      </c>
      <c r="E80" s="97">
        <f t="shared" si="9"/>
        <v>34257</v>
      </c>
      <c r="F80" s="98">
        <f t="shared" si="10"/>
        <v>0.51940746580950359</v>
      </c>
    </row>
    <row r="81" spans="1:6" ht="18" customHeight="1" x14ac:dyDescent="0.25">
      <c r="A81" s="101"/>
      <c r="B81" s="102" t="s">
        <v>133</v>
      </c>
      <c r="C81" s="103">
        <f>SUM(C70:C80)</f>
        <v>60398114</v>
      </c>
      <c r="D81" s="103">
        <f>SUM(D70:D80)</f>
        <v>63430090</v>
      </c>
      <c r="E81" s="103">
        <f t="shared" si="9"/>
        <v>3031976</v>
      </c>
      <c r="F81" s="104">
        <f t="shared" si="10"/>
        <v>5.0199845644186836E-2</v>
      </c>
    </row>
    <row r="82" spans="1:6" ht="18" customHeight="1" x14ac:dyDescent="0.25">
      <c r="A82" s="664" t="s">
        <v>127</v>
      </c>
      <c r="B82" s="666" t="s">
        <v>134</v>
      </c>
      <c r="C82" s="668"/>
      <c r="D82" s="669"/>
      <c r="E82" s="669"/>
      <c r="F82" s="670"/>
    </row>
    <row r="83" spans="1:6" ht="18" customHeight="1" x14ac:dyDescent="0.25">
      <c r="A83" s="665"/>
      <c r="B83" s="667"/>
      <c r="C83" s="671"/>
      <c r="D83" s="672"/>
      <c r="E83" s="672"/>
      <c r="F83" s="673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24046444</v>
      </c>
      <c r="D84" s="103">
        <f t="shared" si="11"/>
        <v>24021799</v>
      </c>
      <c r="E84" s="103">
        <f t="shared" ref="E84:E95" si="12">D84-C84</f>
        <v>-24645</v>
      </c>
      <c r="F84" s="104">
        <f t="shared" ref="F84:F95" si="13">IF(C84=0,0,E84/C84)</f>
        <v>-1.0248916638152402E-3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1793808</v>
      </c>
      <c r="D85" s="103">
        <f t="shared" si="11"/>
        <v>1921463</v>
      </c>
      <c r="E85" s="103">
        <f t="shared" si="12"/>
        <v>127655</v>
      </c>
      <c r="F85" s="104">
        <f t="shared" si="13"/>
        <v>7.116424946259578E-2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1669854</v>
      </c>
      <c r="D86" s="103">
        <f t="shared" si="11"/>
        <v>3243590</v>
      </c>
      <c r="E86" s="103">
        <f t="shared" si="12"/>
        <v>1573736</v>
      </c>
      <c r="F86" s="104">
        <f t="shared" si="13"/>
        <v>0.94243927912260594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2364768</v>
      </c>
      <c r="D87" s="103">
        <f t="shared" si="11"/>
        <v>2256244</v>
      </c>
      <c r="E87" s="103">
        <f t="shared" si="12"/>
        <v>-108524</v>
      </c>
      <c r="F87" s="104">
        <f t="shared" si="13"/>
        <v>-4.5892028308908102E-2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97060</v>
      </c>
      <c r="D88" s="103">
        <f t="shared" si="11"/>
        <v>111854</v>
      </c>
      <c r="E88" s="103">
        <f t="shared" si="12"/>
        <v>14794</v>
      </c>
      <c r="F88" s="104">
        <f t="shared" si="13"/>
        <v>0.15242118277354214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4550657</v>
      </c>
      <c r="D89" s="103">
        <f t="shared" si="11"/>
        <v>4119688</v>
      </c>
      <c r="E89" s="103">
        <f t="shared" si="12"/>
        <v>-430969</v>
      </c>
      <c r="F89" s="104">
        <f t="shared" si="13"/>
        <v>-9.4704786583563655E-2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48175124</v>
      </c>
      <c r="D90" s="103">
        <f t="shared" si="11"/>
        <v>48939527</v>
      </c>
      <c r="E90" s="103">
        <f t="shared" si="12"/>
        <v>764403</v>
      </c>
      <c r="F90" s="104">
        <f t="shared" si="13"/>
        <v>1.5867172443603882E-2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1625178</v>
      </c>
      <c r="D91" s="103">
        <f t="shared" si="11"/>
        <v>2418768</v>
      </c>
      <c r="E91" s="103">
        <f t="shared" si="12"/>
        <v>793590</v>
      </c>
      <c r="F91" s="104">
        <f t="shared" si="13"/>
        <v>0.48830958824202642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274542</v>
      </c>
      <c r="D92" s="103">
        <f t="shared" si="11"/>
        <v>419722</v>
      </c>
      <c r="E92" s="103">
        <f t="shared" si="12"/>
        <v>145180</v>
      </c>
      <c r="F92" s="104">
        <f t="shared" si="13"/>
        <v>0.52880797837853588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220083</v>
      </c>
      <c r="D93" s="103">
        <f t="shared" si="11"/>
        <v>0</v>
      </c>
      <c r="E93" s="103">
        <f t="shared" si="12"/>
        <v>-220083</v>
      </c>
      <c r="F93" s="104">
        <f t="shared" si="13"/>
        <v>-1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162432</v>
      </c>
      <c r="D94" s="103">
        <f t="shared" si="11"/>
        <v>255932</v>
      </c>
      <c r="E94" s="103">
        <f t="shared" si="12"/>
        <v>93500</v>
      </c>
      <c r="F94" s="104">
        <f t="shared" si="13"/>
        <v>0.57562549251379036</v>
      </c>
    </row>
    <row r="95" spans="1:6" ht="18.75" customHeight="1" thickBot="1" x14ac:dyDescent="0.3">
      <c r="A95" s="115"/>
      <c r="B95" s="116" t="s">
        <v>134</v>
      </c>
      <c r="C95" s="112">
        <f>SUM(C84:C94)</f>
        <v>84979950</v>
      </c>
      <c r="D95" s="112">
        <f>SUM(D84:D94)</f>
        <v>87708587</v>
      </c>
      <c r="E95" s="112">
        <f t="shared" si="12"/>
        <v>2728637</v>
      </c>
      <c r="F95" s="113">
        <f t="shared" si="13"/>
        <v>3.2109185754992796E-2</v>
      </c>
    </row>
    <row r="96" spans="1:6" ht="18" customHeight="1" x14ac:dyDescent="0.25">
      <c r="A96" s="664" t="s">
        <v>135</v>
      </c>
      <c r="B96" s="666" t="s">
        <v>136</v>
      </c>
      <c r="C96" s="668"/>
      <c r="D96" s="669"/>
      <c r="E96" s="669"/>
      <c r="F96" s="670"/>
    </row>
    <row r="97" spans="1:6" ht="18" customHeight="1" x14ac:dyDescent="0.25">
      <c r="A97" s="665"/>
      <c r="B97" s="667"/>
      <c r="C97" s="671"/>
      <c r="D97" s="672"/>
      <c r="E97" s="672"/>
      <c r="F97" s="673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1098</v>
      </c>
      <c r="D100" s="117">
        <v>1116</v>
      </c>
      <c r="E100" s="117">
        <f t="shared" ref="E100:E111" si="14">D100-C100</f>
        <v>18</v>
      </c>
      <c r="F100" s="98">
        <f t="shared" ref="F100:F111" si="15">IF(C100=0,0,E100/C100)</f>
        <v>1.6393442622950821E-2</v>
      </c>
    </row>
    <row r="101" spans="1:6" ht="18" customHeight="1" x14ac:dyDescent="0.25">
      <c r="A101" s="99">
        <v>2</v>
      </c>
      <c r="B101" s="100" t="s">
        <v>113</v>
      </c>
      <c r="C101" s="117">
        <v>69</v>
      </c>
      <c r="D101" s="117">
        <v>83</v>
      </c>
      <c r="E101" s="117">
        <f t="shared" si="14"/>
        <v>14</v>
      </c>
      <c r="F101" s="98">
        <f t="shared" si="15"/>
        <v>0.20289855072463769</v>
      </c>
    </row>
    <row r="102" spans="1:6" ht="18" customHeight="1" x14ac:dyDescent="0.25">
      <c r="A102" s="99">
        <v>3</v>
      </c>
      <c r="B102" s="100" t="s">
        <v>114</v>
      </c>
      <c r="C102" s="117">
        <v>101</v>
      </c>
      <c r="D102" s="117">
        <v>100</v>
      </c>
      <c r="E102" s="117">
        <f t="shared" si="14"/>
        <v>-1</v>
      </c>
      <c r="F102" s="98">
        <f t="shared" si="15"/>
        <v>-9.9009900990099011E-3</v>
      </c>
    </row>
    <row r="103" spans="1:6" ht="18" customHeight="1" x14ac:dyDescent="0.25">
      <c r="A103" s="99">
        <v>4</v>
      </c>
      <c r="B103" s="100" t="s">
        <v>115</v>
      </c>
      <c r="C103" s="117">
        <v>151</v>
      </c>
      <c r="D103" s="117">
        <v>136</v>
      </c>
      <c r="E103" s="117">
        <f t="shared" si="14"/>
        <v>-15</v>
      </c>
      <c r="F103" s="98">
        <f t="shared" si="15"/>
        <v>-9.9337748344370855E-2</v>
      </c>
    </row>
    <row r="104" spans="1:6" ht="18" customHeight="1" x14ac:dyDescent="0.25">
      <c r="A104" s="99">
        <v>5</v>
      </c>
      <c r="B104" s="100" t="s">
        <v>116</v>
      </c>
      <c r="C104" s="117">
        <v>5</v>
      </c>
      <c r="D104" s="117">
        <v>7</v>
      </c>
      <c r="E104" s="117">
        <f t="shared" si="14"/>
        <v>2</v>
      </c>
      <c r="F104" s="98">
        <f t="shared" si="15"/>
        <v>0.4</v>
      </c>
    </row>
    <row r="105" spans="1:6" ht="18" customHeight="1" x14ac:dyDescent="0.25">
      <c r="A105" s="99">
        <v>6</v>
      </c>
      <c r="B105" s="100" t="s">
        <v>117</v>
      </c>
      <c r="C105" s="117">
        <v>96</v>
      </c>
      <c r="D105" s="117">
        <v>96</v>
      </c>
      <c r="E105" s="117">
        <f t="shared" si="14"/>
        <v>0</v>
      </c>
      <c r="F105" s="98">
        <f t="shared" si="15"/>
        <v>0</v>
      </c>
    </row>
    <row r="106" spans="1:6" ht="18" customHeight="1" x14ac:dyDescent="0.25">
      <c r="A106" s="99">
        <v>7</v>
      </c>
      <c r="B106" s="100" t="s">
        <v>118</v>
      </c>
      <c r="C106" s="117">
        <v>894</v>
      </c>
      <c r="D106" s="117">
        <v>877</v>
      </c>
      <c r="E106" s="117">
        <f t="shared" si="14"/>
        <v>-17</v>
      </c>
      <c r="F106" s="98">
        <f t="shared" si="15"/>
        <v>-1.901565995525727E-2</v>
      </c>
    </row>
    <row r="107" spans="1:6" ht="18" customHeight="1" x14ac:dyDescent="0.25">
      <c r="A107" s="99">
        <v>8</v>
      </c>
      <c r="B107" s="100" t="s">
        <v>119</v>
      </c>
      <c r="C107" s="117">
        <v>16</v>
      </c>
      <c r="D107" s="117">
        <v>40</v>
      </c>
      <c r="E107" s="117">
        <f t="shared" si="14"/>
        <v>24</v>
      </c>
      <c r="F107" s="98">
        <f t="shared" si="15"/>
        <v>1.5</v>
      </c>
    </row>
    <row r="108" spans="1:6" ht="18" customHeight="1" x14ac:dyDescent="0.25">
      <c r="A108" s="99">
        <v>9</v>
      </c>
      <c r="B108" s="100" t="s">
        <v>120</v>
      </c>
      <c r="C108" s="117">
        <v>51</v>
      </c>
      <c r="D108" s="117">
        <v>55</v>
      </c>
      <c r="E108" s="117">
        <f t="shared" si="14"/>
        <v>4</v>
      </c>
      <c r="F108" s="98">
        <f t="shared" si="15"/>
        <v>7.8431372549019607E-2</v>
      </c>
    </row>
    <row r="109" spans="1:6" ht="18" customHeight="1" x14ac:dyDescent="0.25">
      <c r="A109" s="99">
        <v>10</v>
      </c>
      <c r="B109" s="100" t="s">
        <v>121</v>
      </c>
      <c r="C109" s="117">
        <v>11</v>
      </c>
      <c r="D109" s="117">
        <v>0</v>
      </c>
      <c r="E109" s="117">
        <f t="shared" si="14"/>
        <v>-11</v>
      </c>
      <c r="F109" s="98">
        <f t="shared" si="15"/>
        <v>-1</v>
      </c>
    </row>
    <row r="110" spans="1:6" ht="18" customHeight="1" x14ac:dyDescent="0.25">
      <c r="A110" s="99">
        <v>11</v>
      </c>
      <c r="B110" s="100" t="s">
        <v>122</v>
      </c>
      <c r="C110" s="117">
        <v>20</v>
      </c>
      <c r="D110" s="117">
        <v>6</v>
      </c>
      <c r="E110" s="117">
        <f t="shared" si="14"/>
        <v>-14</v>
      </c>
      <c r="F110" s="98">
        <f t="shared" si="15"/>
        <v>-0.7</v>
      </c>
    </row>
    <row r="111" spans="1:6" ht="18" customHeight="1" x14ac:dyDescent="0.25">
      <c r="A111" s="101"/>
      <c r="B111" s="102" t="s">
        <v>138</v>
      </c>
      <c r="C111" s="118">
        <f>SUM(C100:C110)</f>
        <v>2512</v>
      </c>
      <c r="D111" s="118">
        <f>SUM(D100:D110)</f>
        <v>2516</v>
      </c>
      <c r="E111" s="118">
        <f t="shared" si="14"/>
        <v>4</v>
      </c>
      <c r="F111" s="104">
        <f t="shared" si="15"/>
        <v>1.5923566878980893E-3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4756</v>
      </c>
      <c r="D113" s="117">
        <v>4860</v>
      </c>
      <c r="E113" s="117">
        <f t="shared" ref="E113:E124" si="16">D113-C113</f>
        <v>104</v>
      </c>
      <c r="F113" s="98">
        <f t="shared" ref="F113:F124" si="17">IF(C113=0,0,E113/C113)</f>
        <v>2.1867115222876366E-2</v>
      </c>
    </row>
    <row r="114" spans="1:6" ht="18" customHeight="1" x14ac:dyDescent="0.25">
      <c r="A114" s="99">
        <v>2</v>
      </c>
      <c r="B114" s="100" t="s">
        <v>113</v>
      </c>
      <c r="C114" s="117">
        <v>295</v>
      </c>
      <c r="D114" s="117">
        <v>508</v>
      </c>
      <c r="E114" s="117">
        <f t="shared" si="16"/>
        <v>213</v>
      </c>
      <c r="F114" s="98">
        <f t="shared" si="17"/>
        <v>0.7220338983050848</v>
      </c>
    </row>
    <row r="115" spans="1:6" ht="18" customHeight="1" x14ac:dyDescent="0.25">
      <c r="A115" s="99">
        <v>3</v>
      </c>
      <c r="B115" s="100" t="s">
        <v>114</v>
      </c>
      <c r="C115" s="117">
        <v>527</v>
      </c>
      <c r="D115" s="117">
        <v>489</v>
      </c>
      <c r="E115" s="117">
        <f t="shared" si="16"/>
        <v>-38</v>
      </c>
      <c r="F115" s="98">
        <f t="shared" si="17"/>
        <v>-7.2106261859582549E-2</v>
      </c>
    </row>
    <row r="116" spans="1:6" ht="18" customHeight="1" x14ac:dyDescent="0.25">
      <c r="A116" s="99">
        <v>4</v>
      </c>
      <c r="B116" s="100" t="s">
        <v>115</v>
      </c>
      <c r="C116" s="117">
        <v>422</v>
      </c>
      <c r="D116" s="117">
        <v>347</v>
      </c>
      <c r="E116" s="117">
        <f t="shared" si="16"/>
        <v>-75</v>
      </c>
      <c r="F116" s="98">
        <f t="shared" si="17"/>
        <v>-0.17772511848341233</v>
      </c>
    </row>
    <row r="117" spans="1:6" ht="18" customHeight="1" x14ac:dyDescent="0.25">
      <c r="A117" s="99">
        <v>5</v>
      </c>
      <c r="B117" s="100" t="s">
        <v>116</v>
      </c>
      <c r="C117" s="117">
        <v>15</v>
      </c>
      <c r="D117" s="117">
        <v>31</v>
      </c>
      <c r="E117" s="117">
        <f t="shared" si="16"/>
        <v>16</v>
      </c>
      <c r="F117" s="98">
        <f t="shared" si="17"/>
        <v>1.0666666666666667</v>
      </c>
    </row>
    <row r="118" spans="1:6" ht="18" customHeight="1" x14ac:dyDescent="0.25">
      <c r="A118" s="99">
        <v>6</v>
      </c>
      <c r="B118" s="100" t="s">
        <v>117</v>
      </c>
      <c r="C118" s="117">
        <v>294</v>
      </c>
      <c r="D118" s="117">
        <v>309</v>
      </c>
      <c r="E118" s="117">
        <f t="shared" si="16"/>
        <v>15</v>
      </c>
      <c r="F118" s="98">
        <f t="shared" si="17"/>
        <v>5.1020408163265307E-2</v>
      </c>
    </row>
    <row r="119" spans="1:6" ht="18" customHeight="1" x14ac:dyDescent="0.25">
      <c r="A119" s="99">
        <v>7</v>
      </c>
      <c r="B119" s="100" t="s">
        <v>118</v>
      </c>
      <c r="C119" s="117">
        <v>2767</v>
      </c>
      <c r="D119" s="117">
        <v>2504</v>
      </c>
      <c r="E119" s="117">
        <f t="shared" si="16"/>
        <v>-263</v>
      </c>
      <c r="F119" s="98">
        <f t="shared" si="17"/>
        <v>-9.5048789302493678E-2</v>
      </c>
    </row>
    <row r="120" spans="1:6" ht="18" customHeight="1" x14ac:dyDescent="0.25">
      <c r="A120" s="99">
        <v>8</v>
      </c>
      <c r="B120" s="100" t="s">
        <v>119</v>
      </c>
      <c r="C120" s="117">
        <v>33</v>
      </c>
      <c r="D120" s="117">
        <v>93</v>
      </c>
      <c r="E120" s="117">
        <f t="shared" si="16"/>
        <v>60</v>
      </c>
      <c r="F120" s="98">
        <f t="shared" si="17"/>
        <v>1.8181818181818181</v>
      </c>
    </row>
    <row r="121" spans="1:6" ht="18" customHeight="1" x14ac:dyDescent="0.25">
      <c r="A121" s="99">
        <v>9</v>
      </c>
      <c r="B121" s="100" t="s">
        <v>120</v>
      </c>
      <c r="C121" s="117">
        <v>144</v>
      </c>
      <c r="D121" s="117">
        <v>143</v>
      </c>
      <c r="E121" s="117">
        <f t="shared" si="16"/>
        <v>-1</v>
      </c>
      <c r="F121" s="98">
        <f t="shared" si="17"/>
        <v>-6.9444444444444441E-3</v>
      </c>
    </row>
    <row r="122" spans="1:6" ht="18" customHeight="1" x14ac:dyDescent="0.25">
      <c r="A122" s="99">
        <v>10</v>
      </c>
      <c r="B122" s="100" t="s">
        <v>121</v>
      </c>
      <c r="C122" s="117">
        <v>59</v>
      </c>
      <c r="D122" s="117">
        <v>0</v>
      </c>
      <c r="E122" s="117">
        <f t="shared" si="16"/>
        <v>-59</v>
      </c>
      <c r="F122" s="98">
        <f t="shared" si="17"/>
        <v>-1</v>
      </c>
    </row>
    <row r="123" spans="1:6" ht="18" customHeight="1" x14ac:dyDescent="0.25">
      <c r="A123" s="99">
        <v>11</v>
      </c>
      <c r="B123" s="100" t="s">
        <v>122</v>
      </c>
      <c r="C123" s="117">
        <v>70</v>
      </c>
      <c r="D123" s="117">
        <v>63</v>
      </c>
      <c r="E123" s="117">
        <f t="shared" si="16"/>
        <v>-7</v>
      </c>
      <c r="F123" s="98">
        <f t="shared" si="17"/>
        <v>-0.1</v>
      </c>
    </row>
    <row r="124" spans="1:6" ht="18" customHeight="1" x14ac:dyDescent="0.25">
      <c r="A124" s="101"/>
      <c r="B124" s="102" t="s">
        <v>140</v>
      </c>
      <c r="C124" s="118">
        <f>SUM(C113:C123)</f>
        <v>9382</v>
      </c>
      <c r="D124" s="118">
        <f>SUM(D113:D123)</f>
        <v>9347</v>
      </c>
      <c r="E124" s="118">
        <f t="shared" si="16"/>
        <v>-35</v>
      </c>
      <c r="F124" s="104">
        <f t="shared" si="17"/>
        <v>-3.7305478575996591E-3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35277</v>
      </c>
      <c r="D126" s="117">
        <v>32407</v>
      </c>
      <c r="E126" s="117">
        <f t="shared" ref="E126:E137" si="18">D126-C126</f>
        <v>-2870</v>
      </c>
      <c r="F126" s="98">
        <f t="shared" ref="F126:F137" si="19">IF(C126=0,0,E126/C126)</f>
        <v>-8.1356124386994355E-2</v>
      </c>
    </row>
    <row r="127" spans="1:6" ht="18" customHeight="1" x14ac:dyDescent="0.25">
      <c r="A127" s="99">
        <v>2</v>
      </c>
      <c r="B127" s="100" t="s">
        <v>113</v>
      </c>
      <c r="C127" s="117">
        <v>2849</v>
      </c>
      <c r="D127" s="117">
        <v>3241</v>
      </c>
      <c r="E127" s="117">
        <f t="shared" si="18"/>
        <v>392</v>
      </c>
      <c r="F127" s="98">
        <f t="shared" si="19"/>
        <v>0.13759213759213759</v>
      </c>
    </row>
    <row r="128" spans="1:6" ht="18" customHeight="1" x14ac:dyDescent="0.25">
      <c r="A128" s="99">
        <v>3</v>
      </c>
      <c r="B128" s="100" t="s">
        <v>114</v>
      </c>
      <c r="C128" s="117">
        <v>2472</v>
      </c>
      <c r="D128" s="117">
        <v>4177</v>
      </c>
      <c r="E128" s="117">
        <f t="shared" si="18"/>
        <v>1705</v>
      </c>
      <c r="F128" s="98">
        <f t="shared" si="19"/>
        <v>0.68972491909385114</v>
      </c>
    </row>
    <row r="129" spans="1:6" ht="18" customHeight="1" x14ac:dyDescent="0.25">
      <c r="A129" s="99">
        <v>4</v>
      </c>
      <c r="B129" s="100" t="s">
        <v>115</v>
      </c>
      <c r="C129" s="117">
        <v>5582</v>
      </c>
      <c r="D129" s="117">
        <v>5632</v>
      </c>
      <c r="E129" s="117">
        <f t="shared" si="18"/>
        <v>50</v>
      </c>
      <c r="F129" s="98">
        <f t="shared" si="19"/>
        <v>8.9573629523468298E-3</v>
      </c>
    </row>
    <row r="130" spans="1:6" ht="18" customHeight="1" x14ac:dyDescent="0.25">
      <c r="A130" s="99">
        <v>5</v>
      </c>
      <c r="B130" s="100" t="s">
        <v>116</v>
      </c>
      <c r="C130" s="117">
        <v>248</v>
      </c>
      <c r="D130" s="117">
        <v>269</v>
      </c>
      <c r="E130" s="117">
        <f t="shared" si="18"/>
        <v>21</v>
      </c>
      <c r="F130" s="98">
        <f t="shared" si="19"/>
        <v>8.4677419354838704E-2</v>
      </c>
    </row>
    <row r="131" spans="1:6" ht="18" customHeight="1" x14ac:dyDescent="0.25">
      <c r="A131" s="99">
        <v>6</v>
      </c>
      <c r="B131" s="100" t="s">
        <v>117</v>
      </c>
      <c r="C131" s="117">
        <v>6386</v>
      </c>
      <c r="D131" s="117">
        <v>7093</v>
      </c>
      <c r="E131" s="117">
        <f t="shared" si="18"/>
        <v>707</v>
      </c>
      <c r="F131" s="98">
        <f t="shared" si="19"/>
        <v>0.1107109301597244</v>
      </c>
    </row>
    <row r="132" spans="1:6" ht="18" customHeight="1" x14ac:dyDescent="0.25">
      <c r="A132" s="99">
        <v>7</v>
      </c>
      <c r="B132" s="100" t="s">
        <v>118</v>
      </c>
      <c r="C132" s="117">
        <v>48031</v>
      </c>
      <c r="D132" s="117">
        <v>46382</v>
      </c>
      <c r="E132" s="117">
        <f t="shared" si="18"/>
        <v>-1649</v>
      </c>
      <c r="F132" s="98">
        <f t="shared" si="19"/>
        <v>-3.4331993920592947E-2</v>
      </c>
    </row>
    <row r="133" spans="1:6" ht="18" customHeight="1" x14ac:dyDescent="0.25">
      <c r="A133" s="99">
        <v>8</v>
      </c>
      <c r="B133" s="100" t="s">
        <v>119</v>
      </c>
      <c r="C133" s="117">
        <v>713</v>
      </c>
      <c r="D133" s="117">
        <v>837</v>
      </c>
      <c r="E133" s="117">
        <f t="shared" si="18"/>
        <v>124</v>
      </c>
      <c r="F133" s="98">
        <f t="shared" si="19"/>
        <v>0.17391304347826086</v>
      </c>
    </row>
    <row r="134" spans="1:6" ht="18" customHeight="1" x14ac:dyDescent="0.25">
      <c r="A134" s="99">
        <v>9</v>
      </c>
      <c r="B134" s="100" t="s">
        <v>120</v>
      </c>
      <c r="C134" s="117">
        <v>5386</v>
      </c>
      <c r="D134" s="117">
        <v>5826</v>
      </c>
      <c r="E134" s="117">
        <f t="shared" si="18"/>
        <v>440</v>
      </c>
      <c r="F134" s="98">
        <f t="shared" si="19"/>
        <v>8.1693278871147426E-2</v>
      </c>
    </row>
    <row r="135" spans="1:6" ht="18" customHeight="1" x14ac:dyDescent="0.25">
      <c r="A135" s="99">
        <v>10</v>
      </c>
      <c r="B135" s="100" t="s">
        <v>121</v>
      </c>
      <c r="C135" s="117">
        <v>986</v>
      </c>
      <c r="D135" s="117">
        <v>0</v>
      </c>
      <c r="E135" s="117">
        <f t="shared" si="18"/>
        <v>-986</v>
      </c>
      <c r="F135" s="98">
        <f t="shared" si="19"/>
        <v>-1</v>
      </c>
    </row>
    <row r="136" spans="1:6" ht="18" customHeight="1" x14ac:dyDescent="0.25">
      <c r="A136" s="99">
        <v>11</v>
      </c>
      <c r="B136" s="100" t="s">
        <v>122</v>
      </c>
      <c r="C136" s="117">
        <v>1920</v>
      </c>
      <c r="D136" s="117">
        <v>1751</v>
      </c>
      <c r="E136" s="117">
        <f t="shared" si="18"/>
        <v>-169</v>
      </c>
      <c r="F136" s="98">
        <f t="shared" si="19"/>
        <v>-8.802083333333334E-2</v>
      </c>
    </row>
    <row r="137" spans="1:6" ht="18" customHeight="1" x14ac:dyDescent="0.25">
      <c r="A137" s="101"/>
      <c r="B137" s="102" t="s">
        <v>143</v>
      </c>
      <c r="C137" s="118">
        <f>SUM(C126:C136)</f>
        <v>109850</v>
      </c>
      <c r="D137" s="118">
        <f>SUM(D126:D136)</f>
        <v>107615</v>
      </c>
      <c r="E137" s="118">
        <f t="shared" si="18"/>
        <v>-2235</v>
      </c>
      <c r="F137" s="104">
        <f t="shared" si="19"/>
        <v>-2.0345926263086025E-2</v>
      </c>
    </row>
    <row r="138" spans="1:6" ht="18" customHeight="1" x14ac:dyDescent="0.25">
      <c r="A138" s="664" t="s">
        <v>144</v>
      </c>
      <c r="B138" s="666" t="s">
        <v>145</v>
      </c>
      <c r="C138" s="668"/>
      <c r="D138" s="669"/>
      <c r="E138" s="669"/>
      <c r="F138" s="670"/>
    </row>
    <row r="139" spans="1:6" ht="18" customHeight="1" x14ac:dyDescent="0.25">
      <c r="A139" s="665"/>
      <c r="B139" s="667"/>
      <c r="C139" s="671"/>
      <c r="D139" s="672"/>
      <c r="E139" s="672"/>
      <c r="F139" s="673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4984595</v>
      </c>
      <c r="D142" s="97">
        <v>5101640</v>
      </c>
      <c r="E142" s="97">
        <f t="shared" ref="E142:E153" si="20">D142-C142</f>
        <v>117045</v>
      </c>
      <c r="F142" s="98">
        <f t="shared" ref="F142:F153" si="21">IF(C142=0,0,E142/C142)</f>
        <v>2.3481346027109523E-2</v>
      </c>
    </row>
    <row r="143" spans="1:6" ht="18" customHeight="1" x14ac:dyDescent="0.25">
      <c r="A143" s="99">
        <v>2</v>
      </c>
      <c r="B143" s="100" t="s">
        <v>113</v>
      </c>
      <c r="C143" s="97">
        <v>328388</v>
      </c>
      <c r="D143" s="97">
        <v>427106</v>
      </c>
      <c r="E143" s="97">
        <f t="shared" si="20"/>
        <v>98718</v>
      </c>
      <c r="F143" s="98">
        <f t="shared" si="21"/>
        <v>0.30061390793817072</v>
      </c>
    </row>
    <row r="144" spans="1:6" ht="18" customHeight="1" x14ac:dyDescent="0.25">
      <c r="A144" s="99">
        <v>3</v>
      </c>
      <c r="B144" s="100" t="s">
        <v>114</v>
      </c>
      <c r="C144" s="97">
        <v>603180</v>
      </c>
      <c r="D144" s="97">
        <v>2514016</v>
      </c>
      <c r="E144" s="97">
        <f t="shared" si="20"/>
        <v>1910836</v>
      </c>
      <c r="F144" s="98">
        <f t="shared" si="21"/>
        <v>3.1679366026725022</v>
      </c>
    </row>
    <row r="145" spans="1:6" ht="18" customHeight="1" x14ac:dyDescent="0.25">
      <c r="A145" s="99">
        <v>4</v>
      </c>
      <c r="B145" s="100" t="s">
        <v>115</v>
      </c>
      <c r="C145" s="97">
        <v>1801893</v>
      </c>
      <c r="D145" s="97">
        <v>2184268</v>
      </c>
      <c r="E145" s="97">
        <f t="shared" si="20"/>
        <v>382375</v>
      </c>
      <c r="F145" s="98">
        <f t="shared" si="21"/>
        <v>0.2122073841232526</v>
      </c>
    </row>
    <row r="146" spans="1:6" ht="18" customHeight="1" x14ac:dyDescent="0.25">
      <c r="A146" s="99">
        <v>5</v>
      </c>
      <c r="B146" s="100" t="s">
        <v>116</v>
      </c>
      <c r="C146" s="97">
        <v>75985</v>
      </c>
      <c r="D146" s="97">
        <v>99168</v>
      </c>
      <c r="E146" s="97">
        <f t="shared" si="20"/>
        <v>23183</v>
      </c>
      <c r="F146" s="98">
        <f t="shared" si="21"/>
        <v>0.30509969072843324</v>
      </c>
    </row>
    <row r="147" spans="1:6" ht="18" customHeight="1" x14ac:dyDescent="0.25">
      <c r="A147" s="99">
        <v>6</v>
      </c>
      <c r="B147" s="100" t="s">
        <v>117</v>
      </c>
      <c r="C147" s="97">
        <v>1242823</v>
      </c>
      <c r="D147" s="97">
        <v>1365373</v>
      </c>
      <c r="E147" s="97">
        <f t="shared" si="20"/>
        <v>122550</v>
      </c>
      <c r="F147" s="98">
        <f t="shared" si="21"/>
        <v>9.860615711167238E-2</v>
      </c>
    </row>
    <row r="148" spans="1:6" ht="18" customHeight="1" x14ac:dyDescent="0.25">
      <c r="A148" s="99">
        <v>7</v>
      </c>
      <c r="B148" s="100" t="s">
        <v>118</v>
      </c>
      <c r="C148" s="97">
        <v>9982195</v>
      </c>
      <c r="D148" s="97">
        <v>11008122</v>
      </c>
      <c r="E148" s="97">
        <f t="shared" si="20"/>
        <v>1025927</v>
      </c>
      <c r="F148" s="98">
        <f t="shared" si="21"/>
        <v>0.10277569211981934</v>
      </c>
    </row>
    <row r="149" spans="1:6" ht="18" customHeight="1" x14ac:dyDescent="0.25">
      <c r="A149" s="99">
        <v>8</v>
      </c>
      <c r="B149" s="100" t="s">
        <v>119</v>
      </c>
      <c r="C149" s="97">
        <v>477768</v>
      </c>
      <c r="D149" s="97">
        <v>611857</v>
      </c>
      <c r="E149" s="97">
        <f t="shared" si="20"/>
        <v>134089</v>
      </c>
      <c r="F149" s="98">
        <f t="shared" si="21"/>
        <v>0.28065713902982198</v>
      </c>
    </row>
    <row r="150" spans="1:6" ht="18" customHeight="1" x14ac:dyDescent="0.25">
      <c r="A150" s="99">
        <v>9</v>
      </c>
      <c r="B150" s="100" t="s">
        <v>120</v>
      </c>
      <c r="C150" s="97">
        <v>1673133</v>
      </c>
      <c r="D150" s="97">
        <v>1655664</v>
      </c>
      <c r="E150" s="97">
        <f t="shared" si="20"/>
        <v>-17469</v>
      </c>
      <c r="F150" s="98">
        <f t="shared" si="21"/>
        <v>-1.044089142943209E-2</v>
      </c>
    </row>
    <row r="151" spans="1:6" ht="18" customHeight="1" x14ac:dyDescent="0.25">
      <c r="A151" s="99">
        <v>10</v>
      </c>
      <c r="B151" s="100" t="s">
        <v>121</v>
      </c>
      <c r="C151" s="97">
        <v>443886</v>
      </c>
      <c r="D151" s="97">
        <v>0</v>
      </c>
      <c r="E151" s="97">
        <f t="shared" si="20"/>
        <v>-443886</v>
      </c>
      <c r="F151" s="98">
        <f t="shared" si="21"/>
        <v>-1</v>
      </c>
    </row>
    <row r="152" spans="1:6" ht="18" customHeight="1" x14ac:dyDescent="0.25">
      <c r="A152" s="99">
        <v>11</v>
      </c>
      <c r="B152" s="100" t="s">
        <v>122</v>
      </c>
      <c r="C152" s="97">
        <v>199903</v>
      </c>
      <c r="D152" s="97">
        <v>336519</v>
      </c>
      <c r="E152" s="97">
        <f t="shared" si="20"/>
        <v>136616</v>
      </c>
      <c r="F152" s="98">
        <f t="shared" si="21"/>
        <v>0.68341145455545937</v>
      </c>
    </row>
    <row r="153" spans="1:6" ht="33.75" customHeight="1" x14ac:dyDescent="0.25">
      <c r="A153" s="101"/>
      <c r="B153" s="102" t="s">
        <v>147</v>
      </c>
      <c r="C153" s="103">
        <f>SUM(C142:C152)</f>
        <v>21813749</v>
      </c>
      <c r="D153" s="103">
        <f>SUM(D142:D152)</f>
        <v>25303733</v>
      </c>
      <c r="E153" s="103">
        <f t="shared" si="20"/>
        <v>3489984</v>
      </c>
      <c r="F153" s="104">
        <f t="shared" si="21"/>
        <v>0.15999010532302357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1280058</v>
      </c>
      <c r="D155" s="97">
        <v>1181561</v>
      </c>
      <c r="E155" s="97">
        <f t="shared" ref="E155:E166" si="22">D155-C155</f>
        <v>-98497</v>
      </c>
      <c r="F155" s="98">
        <f t="shared" ref="F155:F166" si="23">IF(C155=0,0,E155/C155)</f>
        <v>-7.6947294575714531E-2</v>
      </c>
    </row>
    <row r="156" spans="1:6" ht="18" customHeight="1" x14ac:dyDescent="0.25">
      <c r="A156" s="99">
        <v>2</v>
      </c>
      <c r="B156" s="100" t="s">
        <v>113</v>
      </c>
      <c r="C156" s="97">
        <v>100401</v>
      </c>
      <c r="D156" s="97">
        <v>115141</v>
      </c>
      <c r="E156" s="97">
        <f t="shared" si="22"/>
        <v>14740</v>
      </c>
      <c r="F156" s="98">
        <f t="shared" si="23"/>
        <v>0.14681128674017191</v>
      </c>
    </row>
    <row r="157" spans="1:6" ht="18" customHeight="1" x14ac:dyDescent="0.25">
      <c r="A157" s="99">
        <v>3</v>
      </c>
      <c r="B157" s="100" t="s">
        <v>114</v>
      </c>
      <c r="C157" s="97">
        <v>169433</v>
      </c>
      <c r="D157" s="97">
        <v>384216</v>
      </c>
      <c r="E157" s="97">
        <f t="shared" si="22"/>
        <v>214783</v>
      </c>
      <c r="F157" s="98">
        <f t="shared" si="23"/>
        <v>1.2676574221078538</v>
      </c>
    </row>
    <row r="158" spans="1:6" ht="18" customHeight="1" x14ac:dyDescent="0.25">
      <c r="A158" s="99">
        <v>4</v>
      </c>
      <c r="B158" s="100" t="s">
        <v>115</v>
      </c>
      <c r="C158" s="97">
        <v>632346</v>
      </c>
      <c r="D158" s="97">
        <v>655470</v>
      </c>
      <c r="E158" s="97">
        <f t="shared" si="22"/>
        <v>23124</v>
      </c>
      <c r="F158" s="98">
        <f t="shared" si="23"/>
        <v>3.6568587450541319E-2</v>
      </c>
    </row>
    <row r="159" spans="1:6" ht="18" customHeight="1" x14ac:dyDescent="0.25">
      <c r="A159" s="99">
        <v>5</v>
      </c>
      <c r="B159" s="100" t="s">
        <v>116</v>
      </c>
      <c r="C159" s="97">
        <v>22112</v>
      </c>
      <c r="D159" s="97">
        <v>27224</v>
      </c>
      <c r="E159" s="97">
        <f t="shared" si="22"/>
        <v>5112</v>
      </c>
      <c r="F159" s="98">
        <f t="shared" si="23"/>
        <v>0.23118668596237338</v>
      </c>
    </row>
    <row r="160" spans="1:6" ht="18" customHeight="1" x14ac:dyDescent="0.25">
      <c r="A160" s="99">
        <v>6</v>
      </c>
      <c r="B160" s="100" t="s">
        <v>117</v>
      </c>
      <c r="C160" s="97">
        <v>692427</v>
      </c>
      <c r="D160" s="97">
        <v>723225</v>
      </c>
      <c r="E160" s="97">
        <f t="shared" si="22"/>
        <v>30798</v>
      </c>
      <c r="F160" s="98">
        <f t="shared" si="23"/>
        <v>4.4478334900285514E-2</v>
      </c>
    </row>
    <row r="161" spans="1:6" ht="18" customHeight="1" x14ac:dyDescent="0.25">
      <c r="A161" s="99">
        <v>7</v>
      </c>
      <c r="B161" s="100" t="s">
        <v>118</v>
      </c>
      <c r="C161" s="97">
        <v>5018851</v>
      </c>
      <c r="D161" s="97">
        <v>5280235</v>
      </c>
      <c r="E161" s="97">
        <f t="shared" si="22"/>
        <v>261384</v>
      </c>
      <c r="F161" s="98">
        <f t="shared" si="23"/>
        <v>5.2080446301354631E-2</v>
      </c>
    </row>
    <row r="162" spans="1:6" ht="18" customHeight="1" x14ac:dyDescent="0.25">
      <c r="A162" s="99">
        <v>8</v>
      </c>
      <c r="B162" s="100" t="s">
        <v>119</v>
      </c>
      <c r="C162" s="97">
        <v>319206</v>
      </c>
      <c r="D162" s="97">
        <v>392280</v>
      </c>
      <c r="E162" s="97">
        <f t="shared" si="22"/>
        <v>73074</v>
      </c>
      <c r="F162" s="98">
        <f t="shared" si="23"/>
        <v>0.22892426834082066</v>
      </c>
    </row>
    <row r="163" spans="1:6" ht="18" customHeight="1" x14ac:dyDescent="0.25">
      <c r="A163" s="99">
        <v>9</v>
      </c>
      <c r="B163" s="100" t="s">
        <v>120</v>
      </c>
      <c r="C163" s="97">
        <v>113201</v>
      </c>
      <c r="D163" s="97">
        <v>97560</v>
      </c>
      <c r="E163" s="97">
        <f t="shared" si="22"/>
        <v>-15641</v>
      </c>
      <c r="F163" s="98">
        <f t="shared" si="23"/>
        <v>-0.13817015750744252</v>
      </c>
    </row>
    <row r="164" spans="1:6" ht="18" customHeight="1" x14ac:dyDescent="0.25">
      <c r="A164" s="99">
        <v>10</v>
      </c>
      <c r="B164" s="100" t="s">
        <v>121</v>
      </c>
      <c r="C164" s="97">
        <v>86509</v>
      </c>
      <c r="D164" s="97">
        <v>0</v>
      </c>
      <c r="E164" s="97">
        <f t="shared" si="22"/>
        <v>-86509</v>
      </c>
      <c r="F164" s="98">
        <f t="shared" si="23"/>
        <v>-1</v>
      </c>
    </row>
    <row r="165" spans="1:6" ht="18" customHeight="1" x14ac:dyDescent="0.25">
      <c r="A165" s="99">
        <v>11</v>
      </c>
      <c r="B165" s="100" t="s">
        <v>122</v>
      </c>
      <c r="C165" s="97">
        <v>34839</v>
      </c>
      <c r="D165" s="97">
        <v>49504</v>
      </c>
      <c r="E165" s="97">
        <f t="shared" si="22"/>
        <v>14665</v>
      </c>
      <c r="F165" s="98">
        <f t="shared" si="23"/>
        <v>0.42093630701225637</v>
      </c>
    </row>
    <row r="166" spans="1:6" ht="33.75" customHeight="1" x14ac:dyDescent="0.25">
      <c r="A166" s="101"/>
      <c r="B166" s="102" t="s">
        <v>149</v>
      </c>
      <c r="C166" s="103">
        <f>SUM(C155:C165)</f>
        <v>8469383</v>
      </c>
      <c r="D166" s="103">
        <f>SUM(D155:D165)</f>
        <v>8906416</v>
      </c>
      <c r="E166" s="103">
        <f t="shared" si="22"/>
        <v>437033</v>
      </c>
      <c r="F166" s="104">
        <f t="shared" si="23"/>
        <v>5.1601515718441356E-2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3247</v>
      </c>
      <c r="D168" s="117">
        <v>2902</v>
      </c>
      <c r="E168" s="117">
        <f t="shared" ref="E168:E179" si="24">D168-C168</f>
        <v>-345</v>
      </c>
      <c r="F168" s="98">
        <f t="shared" ref="F168:F179" si="25">IF(C168=0,0,E168/C168)</f>
        <v>-0.10625192485371111</v>
      </c>
    </row>
    <row r="169" spans="1:6" ht="18" customHeight="1" x14ac:dyDescent="0.25">
      <c r="A169" s="99">
        <v>2</v>
      </c>
      <c r="B169" s="100" t="s">
        <v>113</v>
      </c>
      <c r="C169" s="117">
        <v>186</v>
      </c>
      <c r="D169" s="117">
        <v>240</v>
      </c>
      <c r="E169" s="117">
        <f t="shared" si="24"/>
        <v>54</v>
      </c>
      <c r="F169" s="98">
        <f t="shared" si="25"/>
        <v>0.29032258064516131</v>
      </c>
    </row>
    <row r="170" spans="1:6" ht="18" customHeight="1" x14ac:dyDescent="0.25">
      <c r="A170" s="99">
        <v>3</v>
      </c>
      <c r="B170" s="100" t="s">
        <v>114</v>
      </c>
      <c r="C170" s="117">
        <v>544</v>
      </c>
      <c r="D170" s="117">
        <v>1147</v>
      </c>
      <c r="E170" s="117">
        <f t="shared" si="24"/>
        <v>603</v>
      </c>
      <c r="F170" s="98">
        <f t="shared" si="25"/>
        <v>1.1084558823529411</v>
      </c>
    </row>
    <row r="171" spans="1:6" ht="18" customHeight="1" x14ac:dyDescent="0.25">
      <c r="A171" s="99">
        <v>4</v>
      </c>
      <c r="B171" s="100" t="s">
        <v>115</v>
      </c>
      <c r="C171" s="117">
        <v>1887</v>
      </c>
      <c r="D171" s="117">
        <v>2035</v>
      </c>
      <c r="E171" s="117">
        <f t="shared" si="24"/>
        <v>148</v>
      </c>
      <c r="F171" s="98">
        <f t="shared" si="25"/>
        <v>7.8431372549019607E-2</v>
      </c>
    </row>
    <row r="172" spans="1:6" ht="18" customHeight="1" x14ac:dyDescent="0.25">
      <c r="A172" s="99">
        <v>5</v>
      </c>
      <c r="B172" s="100" t="s">
        <v>116</v>
      </c>
      <c r="C172" s="117">
        <v>59</v>
      </c>
      <c r="D172" s="117">
        <v>82</v>
      </c>
      <c r="E172" s="117">
        <f t="shared" si="24"/>
        <v>23</v>
      </c>
      <c r="F172" s="98">
        <f t="shared" si="25"/>
        <v>0.38983050847457629</v>
      </c>
    </row>
    <row r="173" spans="1:6" ht="18" customHeight="1" x14ac:dyDescent="0.25">
      <c r="A173" s="99">
        <v>6</v>
      </c>
      <c r="B173" s="100" t="s">
        <v>117</v>
      </c>
      <c r="C173" s="117">
        <v>902</v>
      </c>
      <c r="D173" s="117">
        <v>867</v>
      </c>
      <c r="E173" s="117">
        <f t="shared" si="24"/>
        <v>-35</v>
      </c>
      <c r="F173" s="98">
        <f t="shared" si="25"/>
        <v>-3.8802660753880266E-2</v>
      </c>
    </row>
    <row r="174" spans="1:6" ht="18" customHeight="1" x14ac:dyDescent="0.25">
      <c r="A174" s="99">
        <v>7</v>
      </c>
      <c r="B174" s="100" t="s">
        <v>118</v>
      </c>
      <c r="C174" s="117">
        <v>7636</v>
      </c>
      <c r="D174" s="117">
        <v>7452</v>
      </c>
      <c r="E174" s="117">
        <f t="shared" si="24"/>
        <v>-184</v>
      </c>
      <c r="F174" s="98">
        <f t="shared" si="25"/>
        <v>-2.4096385542168676E-2</v>
      </c>
    </row>
    <row r="175" spans="1:6" ht="18" customHeight="1" x14ac:dyDescent="0.25">
      <c r="A175" s="99">
        <v>8</v>
      </c>
      <c r="B175" s="100" t="s">
        <v>119</v>
      </c>
      <c r="C175" s="117">
        <v>470</v>
      </c>
      <c r="D175" s="117">
        <v>536</v>
      </c>
      <c r="E175" s="117">
        <f t="shared" si="24"/>
        <v>66</v>
      </c>
      <c r="F175" s="98">
        <f t="shared" si="25"/>
        <v>0.14042553191489363</v>
      </c>
    </row>
    <row r="176" spans="1:6" ht="18" customHeight="1" x14ac:dyDescent="0.25">
      <c r="A176" s="99">
        <v>9</v>
      </c>
      <c r="B176" s="100" t="s">
        <v>120</v>
      </c>
      <c r="C176" s="117">
        <v>1415</v>
      </c>
      <c r="D176" s="117">
        <v>1238</v>
      </c>
      <c r="E176" s="117">
        <f t="shared" si="24"/>
        <v>-177</v>
      </c>
      <c r="F176" s="98">
        <f t="shared" si="25"/>
        <v>-0.12508833922261484</v>
      </c>
    </row>
    <row r="177" spans="1:6" ht="18" customHeight="1" x14ac:dyDescent="0.25">
      <c r="A177" s="99">
        <v>10</v>
      </c>
      <c r="B177" s="100" t="s">
        <v>121</v>
      </c>
      <c r="C177" s="117">
        <v>434</v>
      </c>
      <c r="D177" s="117">
        <v>0</v>
      </c>
      <c r="E177" s="117">
        <f t="shared" si="24"/>
        <v>-434</v>
      </c>
      <c r="F177" s="98">
        <f t="shared" si="25"/>
        <v>-1</v>
      </c>
    </row>
    <row r="178" spans="1:6" ht="18" customHeight="1" x14ac:dyDescent="0.25">
      <c r="A178" s="99">
        <v>11</v>
      </c>
      <c r="B178" s="100" t="s">
        <v>122</v>
      </c>
      <c r="C178" s="117">
        <v>192</v>
      </c>
      <c r="D178" s="117">
        <v>239</v>
      </c>
      <c r="E178" s="117">
        <f t="shared" si="24"/>
        <v>47</v>
      </c>
      <c r="F178" s="98">
        <f t="shared" si="25"/>
        <v>0.24479166666666666</v>
      </c>
    </row>
    <row r="179" spans="1:6" ht="33.75" customHeight="1" x14ac:dyDescent="0.25">
      <c r="A179" s="101"/>
      <c r="B179" s="102" t="s">
        <v>151</v>
      </c>
      <c r="C179" s="118">
        <f>SUM(C168:C178)</f>
        <v>16972</v>
      </c>
      <c r="D179" s="118">
        <f>SUM(D168:D178)</f>
        <v>16738</v>
      </c>
      <c r="E179" s="118">
        <f t="shared" si="24"/>
        <v>-234</v>
      </c>
      <c r="F179" s="104">
        <f t="shared" si="25"/>
        <v>-1.3787414565166157E-2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rintOptions horizontalCentered="1"/>
  <pageMargins left="0.25" right="0.25" top="0.5" bottom="0.5" header="0.25" footer="0.25"/>
  <pageSetup paperSize="9" scale="65" fitToHeight="2" orientation="portrait" horizontalDpi="1200" verticalDpi="1200" r:id="rId1"/>
  <headerFooter>
    <oddHeader>&amp;LOFFICE OF HEALTH CARE ACCESS&amp;CTWELVE MONTHS ACTUAL FILING&amp;RNEW MILFORD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zoomScale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12548614</v>
      </c>
      <c r="D15" s="146">
        <v>12450131</v>
      </c>
      <c r="E15" s="146">
        <f>+D15-C15</f>
        <v>-98483</v>
      </c>
      <c r="F15" s="150">
        <f>IF(C15=0,0,E15/C15)</f>
        <v>-7.8481177283802016E-3</v>
      </c>
    </row>
    <row r="16" spans="1:7" ht="15" customHeight="1" x14ac:dyDescent="0.2">
      <c r="A16" s="141">
        <v>2</v>
      </c>
      <c r="B16" s="149" t="s">
        <v>158</v>
      </c>
      <c r="C16" s="146">
        <v>5959747</v>
      </c>
      <c r="D16" s="146">
        <v>5155740</v>
      </c>
      <c r="E16" s="146">
        <f>+D16-C16</f>
        <v>-804007</v>
      </c>
      <c r="F16" s="150">
        <f>IF(C16=0,0,E16/C16)</f>
        <v>-0.13490623007990105</v>
      </c>
    </row>
    <row r="17" spans="1:7" ht="15" customHeight="1" x14ac:dyDescent="0.2">
      <c r="A17" s="141">
        <v>3</v>
      </c>
      <c r="B17" s="149" t="s">
        <v>159</v>
      </c>
      <c r="C17" s="146">
        <v>19144523</v>
      </c>
      <c r="D17" s="146">
        <v>21255462</v>
      </c>
      <c r="E17" s="146">
        <f>+D17-C17</f>
        <v>2110939</v>
      </c>
      <c r="F17" s="150">
        <f>IF(C17=0,0,E17/C17)</f>
        <v>0.11026333745687997</v>
      </c>
    </row>
    <row r="18" spans="1:7" ht="15.75" customHeight="1" x14ac:dyDescent="0.25">
      <c r="A18" s="141"/>
      <c r="B18" s="151" t="s">
        <v>160</v>
      </c>
      <c r="C18" s="147">
        <f>SUM(C15:C17)</f>
        <v>37652884</v>
      </c>
      <c r="D18" s="147">
        <f>SUM(D15:D17)</f>
        <v>38861333</v>
      </c>
      <c r="E18" s="147">
        <f>+D18-C18</f>
        <v>1208449</v>
      </c>
      <c r="F18" s="148">
        <f>IF(C18=0,0,E18/C18)</f>
        <v>3.2094460546501564E-2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3896996</v>
      </c>
      <c r="D21" s="146">
        <v>4295295</v>
      </c>
      <c r="E21" s="146">
        <f>+D21-C21</f>
        <v>398299</v>
      </c>
      <c r="F21" s="150">
        <f>IF(C21=0,0,E21/C21)</f>
        <v>0.10220667406381737</v>
      </c>
    </row>
    <row r="22" spans="1:7" ht="15" customHeight="1" x14ac:dyDescent="0.2">
      <c r="A22" s="141">
        <v>2</v>
      </c>
      <c r="B22" s="149" t="s">
        <v>163</v>
      </c>
      <c r="C22" s="146">
        <v>1850811</v>
      </c>
      <c r="D22" s="146">
        <v>1778730</v>
      </c>
      <c r="E22" s="146">
        <f>+D22-C22</f>
        <v>-72081</v>
      </c>
      <c r="F22" s="150">
        <f>IF(C22=0,0,E22/C22)</f>
        <v>-3.8945629780674527E-2</v>
      </c>
    </row>
    <row r="23" spans="1:7" ht="15" customHeight="1" x14ac:dyDescent="0.2">
      <c r="A23" s="141">
        <v>3</v>
      </c>
      <c r="B23" s="149" t="s">
        <v>164</v>
      </c>
      <c r="C23" s="146">
        <v>5945367</v>
      </c>
      <c r="D23" s="146">
        <v>7317723</v>
      </c>
      <c r="E23" s="146">
        <f>+D23-C23</f>
        <v>1372356</v>
      </c>
      <c r="F23" s="150">
        <f>IF(C23=0,0,E23/C23)</f>
        <v>0.23082780255617524</v>
      </c>
    </row>
    <row r="24" spans="1:7" ht="15.75" customHeight="1" x14ac:dyDescent="0.25">
      <c r="A24" s="141"/>
      <c r="B24" s="151" t="s">
        <v>165</v>
      </c>
      <c r="C24" s="147">
        <f>SUM(C21:C23)</f>
        <v>11693174</v>
      </c>
      <c r="D24" s="147">
        <f>SUM(D21:D23)</f>
        <v>13391748</v>
      </c>
      <c r="E24" s="147">
        <f>+D24-C24</f>
        <v>1698574</v>
      </c>
      <c r="F24" s="148">
        <f>IF(C24=0,0,E24/C24)</f>
        <v>0.14526201354739099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0</v>
      </c>
      <c r="D27" s="146">
        <v>0</v>
      </c>
      <c r="E27" s="146">
        <f>+D27-C27</f>
        <v>0</v>
      </c>
      <c r="F27" s="150">
        <f>IF(C27=0,0,E27/C27)</f>
        <v>0</v>
      </c>
    </row>
    <row r="28" spans="1:7" ht="15" customHeight="1" x14ac:dyDescent="0.2">
      <c r="A28" s="141">
        <v>2</v>
      </c>
      <c r="B28" s="149" t="s">
        <v>168</v>
      </c>
      <c r="C28" s="146">
        <v>1312983</v>
      </c>
      <c r="D28" s="146">
        <v>1914545</v>
      </c>
      <c r="E28" s="146">
        <f>+D28-C28</f>
        <v>601562</v>
      </c>
      <c r="F28" s="150">
        <f>IF(C28=0,0,E28/C28)</f>
        <v>0.45816434790092486</v>
      </c>
    </row>
    <row r="29" spans="1:7" ht="15" customHeight="1" x14ac:dyDescent="0.2">
      <c r="A29" s="141">
        <v>3</v>
      </c>
      <c r="B29" s="149" t="s">
        <v>169</v>
      </c>
      <c r="C29" s="146">
        <v>44732</v>
      </c>
      <c r="D29" s="146">
        <v>68511</v>
      </c>
      <c r="E29" s="146">
        <f>+D29-C29</f>
        <v>23779</v>
      </c>
      <c r="F29" s="150">
        <f>IF(C29=0,0,E29/C29)</f>
        <v>0.53158812483233475</v>
      </c>
    </row>
    <row r="30" spans="1:7" ht="15.75" customHeight="1" x14ac:dyDescent="0.25">
      <c r="A30" s="141"/>
      <c r="B30" s="151" t="s">
        <v>170</v>
      </c>
      <c r="C30" s="147">
        <f>SUM(C27:C29)</f>
        <v>1357715</v>
      </c>
      <c r="D30" s="147">
        <f>SUM(D27:D29)</f>
        <v>1983056</v>
      </c>
      <c r="E30" s="147">
        <f>+D30-C30</f>
        <v>625341</v>
      </c>
      <c r="F30" s="148">
        <f>IF(C30=0,0,E30/C30)</f>
        <v>0.46058340667960507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7841984</v>
      </c>
      <c r="D33" s="146">
        <v>7049561</v>
      </c>
      <c r="E33" s="146">
        <f>+D33-C33</f>
        <v>-792423</v>
      </c>
      <c r="F33" s="150">
        <f>IF(C33=0,0,E33/C33)</f>
        <v>-0.10104879071418661</v>
      </c>
    </row>
    <row r="34" spans="1:7" ht="15" customHeight="1" x14ac:dyDescent="0.2">
      <c r="A34" s="141">
        <v>2</v>
      </c>
      <c r="B34" s="149" t="s">
        <v>174</v>
      </c>
      <c r="C34" s="146">
        <v>6217197</v>
      </c>
      <c r="D34" s="146">
        <v>6050951</v>
      </c>
      <c r="E34" s="146">
        <f>+D34-C34</f>
        <v>-166246</v>
      </c>
      <c r="F34" s="150">
        <f>IF(C34=0,0,E34/C34)</f>
        <v>-2.6739702795327218E-2</v>
      </c>
    </row>
    <row r="35" spans="1:7" ht="15.75" customHeight="1" x14ac:dyDescent="0.25">
      <c r="A35" s="141"/>
      <c r="B35" s="151" t="s">
        <v>175</v>
      </c>
      <c r="C35" s="147">
        <f>SUM(C33:C34)</f>
        <v>14059181</v>
      </c>
      <c r="D35" s="147">
        <f>SUM(D33:D34)</f>
        <v>13100512</v>
      </c>
      <c r="E35" s="147">
        <f>+D35-C35</f>
        <v>-958669</v>
      </c>
      <c r="F35" s="148">
        <f>IF(C35=0,0,E35/C35)</f>
        <v>-6.8188111384297562E-2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2468715</v>
      </c>
      <c r="D38" s="146">
        <v>2091797</v>
      </c>
      <c r="E38" s="146">
        <f>+D38-C38</f>
        <v>-376918</v>
      </c>
      <c r="F38" s="150">
        <f>IF(C38=0,0,E38/C38)</f>
        <v>-0.15267781011578899</v>
      </c>
    </row>
    <row r="39" spans="1:7" ht="15" customHeight="1" x14ac:dyDescent="0.2">
      <c r="A39" s="141">
        <v>2</v>
      </c>
      <c r="B39" s="149" t="s">
        <v>179</v>
      </c>
      <c r="C39" s="146">
        <v>2918517</v>
      </c>
      <c r="D39" s="146">
        <v>3275722</v>
      </c>
      <c r="E39" s="146">
        <f>+D39-C39</f>
        <v>357205</v>
      </c>
      <c r="F39" s="150">
        <f>IF(C39=0,0,E39/C39)</f>
        <v>0.12239263982358163</v>
      </c>
    </row>
    <row r="40" spans="1:7" ht="15" customHeight="1" x14ac:dyDescent="0.2">
      <c r="A40" s="141">
        <v>3</v>
      </c>
      <c r="B40" s="149" t="s">
        <v>180</v>
      </c>
      <c r="C40" s="146">
        <v>50416</v>
      </c>
      <c r="D40" s="146">
        <v>322061</v>
      </c>
      <c r="E40" s="146">
        <f>+D40-C40</f>
        <v>271645</v>
      </c>
      <c r="F40" s="150">
        <f>IF(C40=0,0,E40/C40)</f>
        <v>5.3880712472231034</v>
      </c>
    </row>
    <row r="41" spans="1:7" ht="15.75" customHeight="1" x14ac:dyDescent="0.25">
      <c r="A41" s="141"/>
      <c r="B41" s="151" t="s">
        <v>181</v>
      </c>
      <c r="C41" s="147">
        <f>SUM(C38:C40)</f>
        <v>5437648</v>
      </c>
      <c r="D41" s="147">
        <f>SUM(D38:D40)</f>
        <v>5689580</v>
      </c>
      <c r="E41" s="147">
        <f>+D41-C41</f>
        <v>251932</v>
      </c>
      <c r="F41" s="148">
        <f>IF(C41=0,0,E41/C41)</f>
        <v>4.6331060782161697E-2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3065190</v>
      </c>
      <c r="D44" s="146">
        <v>2545989</v>
      </c>
      <c r="E44" s="146">
        <f>+D44-C44</f>
        <v>-519201</v>
      </c>
      <c r="F44" s="150">
        <f>IF(C44=0,0,E44/C44)</f>
        <v>-0.16938623706850145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538204</v>
      </c>
      <c r="D47" s="146">
        <v>482517</v>
      </c>
      <c r="E47" s="146">
        <f>+D47-C47</f>
        <v>-55687</v>
      </c>
      <c r="F47" s="150">
        <f>IF(C47=0,0,E47/C47)</f>
        <v>-0.10346820164844557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1526053</v>
      </c>
      <c r="D50" s="146">
        <v>1856393</v>
      </c>
      <c r="E50" s="146">
        <f>+D50-C50</f>
        <v>330340</v>
      </c>
      <c r="F50" s="150">
        <f>IF(C50=0,0,E50/C50)</f>
        <v>0.21646692480536389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135849</v>
      </c>
      <c r="D53" s="146">
        <v>147605</v>
      </c>
      <c r="E53" s="146">
        <f t="shared" ref="E53:E59" si="0">+D53-C53</f>
        <v>11756</v>
      </c>
      <c r="F53" s="150">
        <f t="shared" ref="F53:F59" si="1">IF(C53=0,0,E53/C53)</f>
        <v>8.6537258279413165E-2</v>
      </c>
    </row>
    <row r="54" spans="1:7" ht="15" customHeight="1" x14ac:dyDescent="0.2">
      <c r="A54" s="141">
        <v>2</v>
      </c>
      <c r="B54" s="149" t="s">
        <v>193</v>
      </c>
      <c r="C54" s="146">
        <v>237787</v>
      </c>
      <c r="D54" s="146">
        <v>207603</v>
      </c>
      <c r="E54" s="146">
        <f t="shared" si="0"/>
        <v>-30184</v>
      </c>
      <c r="F54" s="150">
        <f t="shared" si="1"/>
        <v>-0.12693713281213859</v>
      </c>
    </row>
    <row r="55" spans="1:7" ht="15" customHeight="1" x14ac:dyDescent="0.2">
      <c r="A55" s="141">
        <v>3</v>
      </c>
      <c r="B55" s="149" t="s">
        <v>194</v>
      </c>
      <c r="C55" s="146">
        <v>32450</v>
      </c>
      <c r="D55" s="146">
        <v>53539</v>
      </c>
      <c r="E55" s="146">
        <f t="shared" si="0"/>
        <v>21089</v>
      </c>
      <c r="F55" s="150">
        <f t="shared" si="1"/>
        <v>0.64989214175654852</v>
      </c>
    </row>
    <row r="56" spans="1:7" ht="15" customHeight="1" x14ac:dyDescent="0.2">
      <c r="A56" s="141">
        <v>4</v>
      </c>
      <c r="B56" s="149" t="s">
        <v>195</v>
      </c>
      <c r="C56" s="146">
        <v>897909</v>
      </c>
      <c r="D56" s="146">
        <v>905071</v>
      </c>
      <c r="E56" s="146">
        <f t="shared" si="0"/>
        <v>7162</v>
      </c>
      <c r="F56" s="150">
        <f t="shared" si="1"/>
        <v>7.9763094032914254E-3</v>
      </c>
    </row>
    <row r="57" spans="1:7" ht="15" customHeight="1" x14ac:dyDescent="0.2">
      <c r="A57" s="141">
        <v>5</v>
      </c>
      <c r="B57" s="149" t="s">
        <v>196</v>
      </c>
      <c r="C57" s="146">
        <v>135849</v>
      </c>
      <c r="D57" s="146">
        <v>249556</v>
      </c>
      <c r="E57" s="146">
        <f t="shared" si="0"/>
        <v>113707</v>
      </c>
      <c r="F57" s="150">
        <f t="shared" si="1"/>
        <v>0.83701020986536523</v>
      </c>
    </row>
    <row r="58" spans="1:7" ht="15" customHeight="1" x14ac:dyDescent="0.2">
      <c r="A58" s="141">
        <v>6</v>
      </c>
      <c r="B58" s="149" t="s">
        <v>197</v>
      </c>
      <c r="C58" s="146">
        <v>0</v>
      </c>
      <c r="D58" s="146">
        <v>0</v>
      </c>
      <c r="E58" s="146">
        <f t="shared" si="0"/>
        <v>0</v>
      </c>
      <c r="F58" s="150">
        <f t="shared" si="1"/>
        <v>0</v>
      </c>
    </row>
    <row r="59" spans="1:7" ht="15.75" customHeight="1" x14ac:dyDescent="0.25">
      <c r="A59" s="141"/>
      <c r="B59" s="151" t="s">
        <v>198</v>
      </c>
      <c r="C59" s="147">
        <f>SUM(C53:C58)</f>
        <v>1439844</v>
      </c>
      <c r="D59" s="147">
        <f>SUM(D53:D58)</f>
        <v>1563374</v>
      </c>
      <c r="E59" s="147">
        <f t="shared" si="0"/>
        <v>123530</v>
      </c>
      <c r="F59" s="148">
        <f t="shared" si="1"/>
        <v>8.5794016574017737E-2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66158</v>
      </c>
      <c r="D62" s="146">
        <v>154863</v>
      </c>
      <c r="E62" s="146">
        <f t="shared" ref="E62:E78" si="2">+D62-C62</f>
        <v>88705</v>
      </c>
      <c r="F62" s="150">
        <f t="shared" ref="F62:F78" si="3">IF(C62=0,0,E62/C62)</f>
        <v>1.3408053447806765</v>
      </c>
    </row>
    <row r="63" spans="1:7" ht="15" customHeight="1" x14ac:dyDescent="0.2">
      <c r="A63" s="141">
        <v>2</v>
      </c>
      <c r="B63" s="149" t="s">
        <v>202</v>
      </c>
      <c r="C63" s="146">
        <v>513313</v>
      </c>
      <c r="D63" s="146">
        <v>377051</v>
      </c>
      <c r="E63" s="146">
        <f t="shared" si="2"/>
        <v>-136262</v>
      </c>
      <c r="F63" s="150">
        <f t="shared" si="3"/>
        <v>-0.26545596935982529</v>
      </c>
    </row>
    <row r="64" spans="1:7" ht="15" customHeight="1" x14ac:dyDescent="0.2">
      <c r="A64" s="141">
        <v>3</v>
      </c>
      <c r="B64" s="149" t="s">
        <v>203</v>
      </c>
      <c r="C64" s="146">
        <v>1316499</v>
      </c>
      <c r="D64" s="146">
        <v>670829</v>
      </c>
      <c r="E64" s="146">
        <f t="shared" si="2"/>
        <v>-645670</v>
      </c>
      <c r="F64" s="150">
        <f t="shared" si="3"/>
        <v>-0.49044473258240229</v>
      </c>
    </row>
    <row r="65" spans="1:7" ht="15" customHeight="1" x14ac:dyDescent="0.2">
      <c r="A65" s="141">
        <v>4</v>
      </c>
      <c r="B65" s="149" t="s">
        <v>204</v>
      </c>
      <c r="C65" s="146">
        <v>261895</v>
      </c>
      <c r="D65" s="146">
        <v>226334</v>
      </c>
      <c r="E65" s="146">
        <f t="shared" si="2"/>
        <v>-35561</v>
      </c>
      <c r="F65" s="150">
        <f t="shared" si="3"/>
        <v>-0.13578342465491897</v>
      </c>
    </row>
    <row r="66" spans="1:7" ht="15" customHeight="1" x14ac:dyDescent="0.2">
      <c r="A66" s="141">
        <v>5</v>
      </c>
      <c r="B66" s="149" t="s">
        <v>205</v>
      </c>
      <c r="C66" s="146">
        <v>385223</v>
      </c>
      <c r="D66" s="146">
        <v>351276</v>
      </c>
      <c r="E66" s="146">
        <f t="shared" si="2"/>
        <v>-33947</v>
      </c>
      <c r="F66" s="150">
        <f t="shared" si="3"/>
        <v>-8.8122983310965339E-2</v>
      </c>
    </row>
    <row r="67" spans="1:7" ht="15" customHeight="1" x14ac:dyDescent="0.2">
      <c r="A67" s="141">
        <v>6</v>
      </c>
      <c r="B67" s="149" t="s">
        <v>206</v>
      </c>
      <c r="C67" s="146">
        <v>379009</v>
      </c>
      <c r="D67" s="146">
        <v>223841</v>
      </c>
      <c r="E67" s="146">
        <f t="shared" si="2"/>
        <v>-155168</v>
      </c>
      <c r="F67" s="150">
        <f t="shared" si="3"/>
        <v>-0.40940452601389415</v>
      </c>
    </row>
    <row r="68" spans="1:7" ht="15" customHeight="1" x14ac:dyDescent="0.2">
      <c r="A68" s="141">
        <v>7</v>
      </c>
      <c r="B68" s="149" t="s">
        <v>207</v>
      </c>
      <c r="C68" s="146">
        <v>1254121</v>
      </c>
      <c r="D68" s="146">
        <v>1212216</v>
      </c>
      <c r="E68" s="146">
        <f t="shared" si="2"/>
        <v>-41905</v>
      </c>
      <c r="F68" s="150">
        <f t="shared" si="3"/>
        <v>-3.3413841248173023E-2</v>
      </c>
    </row>
    <row r="69" spans="1:7" ht="15" customHeight="1" x14ac:dyDescent="0.2">
      <c r="A69" s="141">
        <v>8</v>
      </c>
      <c r="B69" s="149" t="s">
        <v>208</v>
      </c>
      <c r="C69" s="146">
        <v>185224</v>
      </c>
      <c r="D69" s="146">
        <v>97158</v>
      </c>
      <c r="E69" s="146">
        <f t="shared" si="2"/>
        <v>-88066</v>
      </c>
      <c r="F69" s="150">
        <f t="shared" si="3"/>
        <v>-0.47545674426640178</v>
      </c>
    </row>
    <row r="70" spans="1:7" ht="15" customHeight="1" x14ac:dyDescent="0.2">
      <c r="A70" s="141">
        <v>9</v>
      </c>
      <c r="B70" s="149" t="s">
        <v>209</v>
      </c>
      <c r="C70" s="146">
        <v>129310</v>
      </c>
      <c r="D70" s="146">
        <v>170955</v>
      </c>
      <c r="E70" s="146">
        <f t="shared" si="2"/>
        <v>41645</v>
      </c>
      <c r="F70" s="150">
        <f t="shared" si="3"/>
        <v>0.32205552548140126</v>
      </c>
    </row>
    <row r="71" spans="1:7" ht="15" customHeight="1" x14ac:dyDescent="0.2">
      <c r="A71" s="141">
        <v>10</v>
      </c>
      <c r="B71" s="149" t="s">
        <v>210</v>
      </c>
      <c r="C71" s="146">
        <v>0</v>
      </c>
      <c r="D71" s="146">
        <v>0</v>
      </c>
      <c r="E71" s="146">
        <f t="shared" si="2"/>
        <v>0</v>
      </c>
      <c r="F71" s="150">
        <f t="shared" si="3"/>
        <v>0</v>
      </c>
    </row>
    <row r="72" spans="1:7" ht="15" customHeight="1" x14ac:dyDescent="0.2">
      <c r="A72" s="141">
        <v>11</v>
      </c>
      <c r="B72" s="149" t="s">
        <v>211</v>
      </c>
      <c r="C72" s="146">
        <v>56253</v>
      </c>
      <c r="D72" s="146">
        <v>53866</v>
      </c>
      <c r="E72" s="146">
        <f t="shared" si="2"/>
        <v>-2387</v>
      </c>
      <c r="F72" s="150">
        <f t="shared" si="3"/>
        <v>-4.2433292446625068E-2</v>
      </c>
    </row>
    <row r="73" spans="1:7" ht="15" customHeight="1" x14ac:dyDescent="0.2">
      <c r="A73" s="141">
        <v>12</v>
      </c>
      <c r="B73" s="149" t="s">
        <v>212</v>
      </c>
      <c r="C73" s="146">
        <v>1380488</v>
      </c>
      <c r="D73" s="146">
        <v>1301926</v>
      </c>
      <c r="E73" s="146">
        <f t="shared" si="2"/>
        <v>-78562</v>
      </c>
      <c r="F73" s="150">
        <f t="shared" si="3"/>
        <v>-5.6908861214295232E-2</v>
      </c>
    </row>
    <row r="74" spans="1:7" ht="15" customHeight="1" x14ac:dyDescent="0.2">
      <c r="A74" s="141">
        <v>13</v>
      </c>
      <c r="B74" s="149" t="s">
        <v>213</v>
      </c>
      <c r="C74" s="146">
        <v>73976</v>
      </c>
      <c r="D74" s="146">
        <v>80372</v>
      </c>
      <c r="E74" s="146">
        <f t="shared" si="2"/>
        <v>6396</v>
      </c>
      <c r="F74" s="150">
        <f t="shared" si="3"/>
        <v>8.6460473667135287E-2</v>
      </c>
    </row>
    <row r="75" spans="1:7" ht="15" customHeight="1" x14ac:dyDescent="0.2">
      <c r="A75" s="141">
        <v>14</v>
      </c>
      <c r="B75" s="149" t="s">
        <v>214</v>
      </c>
      <c r="C75" s="146">
        <v>112137</v>
      </c>
      <c r="D75" s="146">
        <v>103291</v>
      </c>
      <c r="E75" s="146">
        <f t="shared" si="2"/>
        <v>-8846</v>
      </c>
      <c r="F75" s="150">
        <f t="shared" si="3"/>
        <v>-7.8885648804587247E-2</v>
      </c>
    </row>
    <row r="76" spans="1:7" ht="15" customHeight="1" x14ac:dyDescent="0.2">
      <c r="A76" s="141">
        <v>15</v>
      </c>
      <c r="B76" s="149" t="s">
        <v>215</v>
      </c>
      <c r="C76" s="146">
        <v>412904</v>
      </c>
      <c r="D76" s="146">
        <v>136431</v>
      </c>
      <c r="E76" s="146">
        <f t="shared" si="2"/>
        <v>-276473</v>
      </c>
      <c r="F76" s="150">
        <f t="shared" si="3"/>
        <v>-0.66958179140914109</v>
      </c>
    </row>
    <row r="77" spans="1:7" ht="15" customHeight="1" x14ac:dyDescent="0.2">
      <c r="A77" s="141">
        <v>16</v>
      </c>
      <c r="B77" s="149" t="s">
        <v>216</v>
      </c>
      <c r="C77" s="146">
        <v>0</v>
      </c>
      <c r="D77" s="146">
        <v>0</v>
      </c>
      <c r="E77" s="146">
        <f t="shared" si="2"/>
        <v>0</v>
      </c>
      <c r="F77" s="150">
        <f t="shared" si="3"/>
        <v>0</v>
      </c>
    </row>
    <row r="78" spans="1:7" ht="15.75" customHeight="1" x14ac:dyDescent="0.25">
      <c r="A78" s="141"/>
      <c r="B78" s="151" t="s">
        <v>217</v>
      </c>
      <c r="C78" s="147">
        <f>SUM(C62:C77)</f>
        <v>6526510</v>
      </c>
      <c r="D78" s="147">
        <f>SUM(D62:D77)</f>
        <v>5160409</v>
      </c>
      <c r="E78" s="147">
        <f t="shared" si="2"/>
        <v>-1366101</v>
      </c>
      <c r="F78" s="148">
        <f t="shared" si="3"/>
        <v>-0.20931569858929197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8505827</v>
      </c>
      <c r="D81" s="146">
        <v>9280855</v>
      </c>
      <c r="E81" s="146">
        <f>+D81-C81</f>
        <v>775028</v>
      </c>
      <c r="F81" s="150">
        <f>IF(C81=0,0,E81/C81)</f>
        <v>9.1117301116046684E-2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91802230</v>
      </c>
      <c r="D83" s="147">
        <f>+D81+D78+D59+D50+D47+D44+D41+D35+D30+D24+D18</f>
        <v>93915766</v>
      </c>
      <c r="E83" s="147">
        <f>+D83-C83</f>
        <v>2113536</v>
      </c>
      <c r="F83" s="148">
        <f>IF(C83=0,0,E83/C83)</f>
        <v>2.3022708707620718E-2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157" t="s">
        <v>222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223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224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225</v>
      </c>
      <c r="C91" s="146">
        <v>22863420</v>
      </c>
      <c r="D91" s="146">
        <v>25041202</v>
      </c>
      <c r="E91" s="146">
        <f t="shared" ref="E91:E109" si="4">D91-C91</f>
        <v>2177782</v>
      </c>
      <c r="F91" s="150">
        <f t="shared" ref="F91:F109" si="5">IF(C91=0,0,E91/C91)</f>
        <v>9.5251803973333826E-2</v>
      </c>
      <c r="G91" s="155"/>
    </row>
    <row r="92" spans="1:7" ht="15" customHeight="1" x14ac:dyDescent="0.2">
      <c r="A92" s="141">
        <v>2</v>
      </c>
      <c r="B92" s="161" t="s">
        <v>226</v>
      </c>
      <c r="C92" s="146">
        <v>401612</v>
      </c>
      <c r="D92" s="146">
        <v>513171</v>
      </c>
      <c r="E92" s="146">
        <f t="shared" si="4"/>
        <v>111559</v>
      </c>
      <c r="F92" s="150">
        <f t="shared" si="5"/>
        <v>0.27777805444060438</v>
      </c>
      <c r="G92" s="155"/>
    </row>
    <row r="93" spans="1:7" ht="15" customHeight="1" x14ac:dyDescent="0.2">
      <c r="A93" s="141">
        <v>3</v>
      </c>
      <c r="B93" s="161" t="s">
        <v>227</v>
      </c>
      <c r="C93" s="146">
        <v>1466880</v>
      </c>
      <c r="D93" s="146">
        <v>1491898</v>
      </c>
      <c r="E93" s="146">
        <f t="shared" si="4"/>
        <v>25018</v>
      </c>
      <c r="F93" s="150">
        <f t="shared" si="5"/>
        <v>1.7055246509598603E-2</v>
      </c>
      <c r="G93" s="155"/>
    </row>
    <row r="94" spans="1:7" ht="15" customHeight="1" x14ac:dyDescent="0.2">
      <c r="A94" s="141">
        <v>4</v>
      </c>
      <c r="B94" s="161" t="s">
        <v>228</v>
      </c>
      <c r="C94" s="146">
        <v>619827</v>
      </c>
      <c r="D94" s="146">
        <v>626302</v>
      </c>
      <c r="E94" s="146">
        <f t="shared" si="4"/>
        <v>6475</v>
      </c>
      <c r="F94" s="150">
        <f t="shared" si="5"/>
        <v>1.0446463287336628E-2</v>
      </c>
      <c r="G94" s="155"/>
    </row>
    <row r="95" spans="1:7" ht="15" customHeight="1" x14ac:dyDescent="0.2">
      <c r="A95" s="141">
        <v>5</v>
      </c>
      <c r="B95" s="161" t="s">
        <v>229</v>
      </c>
      <c r="C95" s="146">
        <v>1713045</v>
      </c>
      <c r="D95" s="146">
        <v>1863236</v>
      </c>
      <c r="E95" s="146">
        <f t="shared" si="4"/>
        <v>150191</v>
      </c>
      <c r="F95" s="150">
        <f t="shared" si="5"/>
        <v>8.7674871354809711E-2</v>
      </c>
      <c r="G95" s="155"/>
    </row>
    <row r="96" spans="1:7" ht="15" customHeight="1" x14ac:dyDescent="0.2">
      <c r="A96" s="141">
        <v>6</v>
      </c>
      <c r="B96" s="161" t="s">
        <v>230</v>
      </c>
      <c r="C96" s="146">
        <v>264779</v>
      </c>
      <c r="D96" s="146">
        <v>263016</v>
      </c>
      <c r="E96" s="146">
        <f t="shared" si="4"/>
        <v>-1763</v>
      </c>
      <c r="F96" s="150">
        <f t="shared" si="5"/>
        <v>-6.6583830288655822E-3</v>
      </c>
      <c r="G96" s="155"/>
    </row>
    <row r="97" spans="1:7" ht="15" customHeight="1" x14ac:dyDescent="0.2">
      <c r="A97" s="141">
        <v>7</v>
      </c>
      <c r="B97" s="161" t="s">
        <v>231</v>
      </c>
      <c r="C97" s="146">
        <v>497573</v>
      </c>
      <c r="D97" s="146">
        <v>602216</v>
      </c>
      <c r="E97" s="146">
        <f t="shared" si="4"/>
        <v>104643</v>
      </c>
      <c r="F97" s="150">
        <f t="shared" si="5"/>
        <v>0.21030682934966327</v>
      </c>
      <c r="G97" s="155"/>
    </row>
    <row r="98" spans="1:7" ht="15" customHeight="1" x14ac:dyDescent="0.2">
      <c r="A98" s="141">
        <v>8</v>
      </c>
      <c r="B98" s="161" t="s">
        <v>232</v>
      </c>
      <c r="C98" s="146">
        <v>1339446</v>
      </c>
      <c r="D98" s="146">
        <v>562082</v>
      </c>
      <c r="E98" s="146">
        <f t="shared" si="4"/>
        <v>-777364</v>
      </c>
      <c r="F98" s="150">
        <f t="shared" si="5"/>
        <v>-0.58036232890314354</v>
      </c>
      <c r="G98" s="155"/>
    </row>
    <row r="99" spans="1:7" ht="15" customHeight="1" x14ac:dyDescent="0.2">
      <c r="A99" s="141">
        <v>9</v>
      </c>
      <c r="B99" s="161" t="s">
        <v>233</v>
      </c>
      <c r="C99" s="146">
        <v>5180993</v>
      </c>
      <c r="D99" s="146">
        <v>4301104</v>
      </c>
      <c r="E99" s="146">
        <f t="shared" si="4"/>
        <v>-879889</v>
      </c>
      <c r="F99" s="150">
        <f t="shared" si="5"/>
        <v>-0.16983018506297923</v>
      </c>
      <c r="G99" s="155"/>
    </row>
    <row r="100" spans="1:7" ht="15" customHeight="1" x14ac:dyDescent="0.2">
      <c r="A100" s="141">
        <v>10</v>
      </c>
      <c r="B100" s="161" t="s">
        <v>234</v>
      </c>
      <c r="C100" s="146">
        <v>1314147</v>
      </c>
      <c r="D100" s="146">
        <v>1444760</v>
      </c>
      <c r="E100" s="146">
        <f t="shared" si="4"/>
        <v>130613</v>
      </c>
      <c r="F100" s="150">
        <f t="shared" si="5"/>
        <v>9.9389946482395047E-2</v>
      </c>
      <c r="G100" s="155"/>
    </row>
    <row r="101" spans="1:7" ht="15" customHeight="1" x14ac:dyDescent="0.2">
      <c r="A101" s="141">
        <v>11</v>
      </c>
      <c r="B101" s="161" t="s">
        <v>235</v>
      </c>
      <c r="C101" s="146">
        <v>944086</v>
      </c>
      <c r="D101" s="146">
        <v>980089</v>
      </c>
      <c r="E101" s="146">
        <f t="shared" si="4"/>
        <v>36003</v>
      </c>
      <c r="F101" s="150">
        <f t="shared" si="5"/>
        <v>3.8135296996248222E-2</v>
      </c>
      <c r="G101" s="155"/>
    </row>
    <row r="102" spans="1:7" ht="15" customHeight="1" x14ac:dyDescent="0.2">
      <c r="A102" s="141">
        <v>12</v>
      </c>
      <c r="B102" s="161" t="s">
        <v>236</v>
      </c>
      <c r="C102" s="146">
        <v>281173</v>
      </c>
      <c r="D102" s="146">
        <v>249284</v>
      </c>
      <c r="E102" s="146">
        <f t="shared" si="4"/>
        <v>-31889</v>
      </c>
      <c r="F102" s="150">
        <f t="shared" si="5"/>
        <v>-0.1134141613881845</v>
      </c>
      <c r="G102" s="155"/>
    </row>
    <row r="103" spans="1:7" ht="15" customHeight="1" x14ac:dyDescent="0.2">
      <c r="A103" s="141">
        <v>13</v>
      </c>
      <c r="B103" s="161" t="s">
        <v>237</v>
      </c>
      <c r="C103" s="146">
        <v>1265503</v>
      </c>
      <c r="D103" s="146">
        <v>1296776</v>
      </c>
      <c r="E103" s="146">
        <f t="shared" si="4"/>
        <v>31273</v>
      </c>
      <c r="F103" s="150">
        <f t="shared" si="5"/>
        <v>2.4711912970573756E-2</v>
      </c>
      <c r="G103" s="155"/>
    </row>
    <row r="104" spans="1:7" ht="15" customHeight="1" x14ac:dyDescent="0.2">
      <c r="A104" s="141">
        <v>14</v>
      </c>
      <c r="B104" s="161" t="s">
        <v>238</v>
      </c>
      <c r="C104" s="146">
        <v>442588</v>
      </c>
      <c r="D104" s="146">
        <v>394029</v>
      </c>
      <c r="E104" s="146">
        <f t="shared" si="4"/>
        <v>-48559</v>
      </c>
      <c r="F104" s="150">
        <f t="shared" si="5"/>
        <v>-0.10971603387348956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1834484</v>
      </c>
      <c r="D105" s="146">
        <v>1859324</v>
      </c>
      <c r="E105" s="146">
        <f t="shared" si="4"/>
        <v>24840</v>
      </c>
      <c r="F105" s="150">
        <f t="shared" si="5"/>
        <v>1.3540592340952552E-2</v>
      </c>
      <c r="G105" s="155"/>
    </row>
    <row r="106" spans="1:7" ht="15" customHeight="1" x14ac:dyDescent="0.2">
      <c r="A106" s="141">
        <v>16</v>
      </c>
      <c r="B106" s="161" t="s">
        <v>239</v>
      </c>
      <c r="C106" s="146">
        <v>463460</v>
      </c>
      <c r="D106" s="146">
        <v>452348</v>
      </c>
      <c r="E106" s="146">
        <f t="shared" si="4"/>
        <v>-11112</v>
      </c>
      <c r="F106" s="150">
        <f t="shared" si="5"/>
        <v>-2.3976179174038752E-2</v>
      </c>
      <c r="G106" s="155"/>
    </row>
    <row r="107" spans="1:7" ht="15" customHeight="1" x14ac:dyDescent="0.2">
      <c r="A107" s="141">
        <v>17</v>
      </c>
      <c r="B107" s="161" t="s">
        <v>240</v>
      </c>
      <c r="C107" s="146">
        <v>7414946</v>
      </c>
      <c r="D107" s="146">
        <v>7132290</v>
      </c>
      <c r="E107" s="146">
        <f t="shared" si="4"/>
        <v>-282656</v>
      </c>
      <c r="F107" s="150">
        <f t="shared" si="5"/>
        <v>-3.8119765133825652E-2</v>
      </c>
      <c r="G107" s="155"/>
    </row>
    <row r="108" spans="1:7" ht="15" customHeight="1" x14ac:dyDescent="0.2">
      <c r="A108" s="141">
        <v>18</v>
      </c>
      <c r="B108" s="161" t="s">
        <v>241</v>
      </c>
      <c r="C108" s="146">
        <v>4164828</v>
      </c>
      <c r="D108" s="146">
        <v>2370519</v>
      </c>
      <c r="E108" s="146">
        <f t="shared" si="4"/>
        <v>-1794309</v>
      </c>
      <c r="F108" s="150">
        <f t="shared" si="5"/>
        <v>-0.43082427413569058</v>
      </c>
      <c r="G108" s="155"/>
    </row>
    <row r="109" spans="1:7" ht="15.75" customHeight="1" x14ac:dyDescent="0.25">
      <c r="A109" s="141"/>
      <c r="B109" s="154" t="s">
        <v>242</v>
      </c>
      <c r="C109" s="147">
        <f>SUM(C91:C108)</f>
        <v>52472790</v>
      </c>
      <c r="D109" s="147">
        <f>SUM(D91:D108)</f>
        <v>51443646</v>
      </c>
      <c r="E109" s="147">
        <f t="shared" si="4"/>
        <v>-1029144</v>
      </c>
      <c r="F109" s="148">
        <f t="shared" si="5"/>
        <v>-1.9612907947147463E-2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243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244</v>
      </c>
      <c r="C112" s="146">
        <v>1331226</v>
      </c>
      <c r="D112" s="146">
        <v>1111553</v>
      </c>
      <c r="E112" s="146">
        <f t="shared" ref="E112:E118" si="6">D112-C112</f>
        <v>-219673</v>
      </c>
      <c r="F112" s="150">
        <f t="shared" ref="F112:F118" si="7">IF(C112=0,0,E112/C112)</f>
        <v>-0.16501555708797755</v>
      </c>
      <c r="G112" s="155"/>
    </row>
    <row r="113" spans="1:7" ht="15" customHeight="1" x14ac:dyDescent="0.2">
      <c r="A113" s="141">
        <v>2</v>
      </c>
      <c r="B113" s="161" t="s">
        <v>245</v>
      </c>
      <c r="C113" s="146">
        <v>0</v>
      </c>
      <c r="D113" s="146">
        <v>0</v>
      </c>
      <c r="E113" s="146">
        <f t="shared" si="6"/>
        <v>0</v>
      </c>
      <c r="F113" s="150">
        <f t="shared" si="7"/>
        <v>0</v>
      </c>
      <c r="G113" s="155"/>
    </row>
    <row r="114" spans="1:7" ht="15" customHeight="1" x14ac:dyDescent="0.2">
      <c r="A114" s="141">
        <v>3</v>
      </c>
      <c r="B114" s="161" t="s">
        <v>246</v>
      </c>
      <c r="C114" s="146">
        <v>461948</v>
      </c>
      <c r="D114" s="146">
        <v>430453</v>
      </c>
      <c r="E114" s="146">
        <f t="shared" si="6"/>
        <v>-31495</v>
      </c>
      <c r="F114" s="150">
        <f t="shared" si="7"/>
        <v>-6.8178669460631933E-2</v>
      </c>
      <c r="G114" s="155"/>
    </row>
    <row r="115" spans="1:7" ht="15" customHeight="1" x14ac:dyDescent="0.2">
      <c r="A115" s="141">
        <v>4</v>
      </c>
      <c r="B115" s="161" t="s">
        <v>247</v>
      </c>
      <c r="C115" s="146">
        <v>919933</v>
      </c>
      <c r="D115" s="146">
        <v>887803</v>
      </c>
      <c r="E115" s="146">
        <f t="shared" si="6"/>
        <v>-32130</v>
      </c>
      <c r="F115" s="150">
        <f t="shared" si="7"/>
        <v>-3.4926456600643745E-2</v>
      </c>
      <c r="G115" s="155"/>
    </row>
    <row r="116" spans="1:7" ht="15" customHeight="1" x14ac:dyDescent="0.2">
      <c r="A116" s="141">
        <v>5</v>
      </c>
      <c r="B116" s="161" t="s">
        <v>248</v>
      </c>
      <c r="C116" s="146">
        <v>168293</v>
      </c>
      <c r="D116" s="146">
        <v>143265</v>
      </c>
      <c r="E116" s="146">
        <f t="shared" si="6"/>
        <v>-25028</v>
      </c>
      <c r="F116" s="150">
        <f t="shared" si="7"/>
        <v>-0.14871682125816285</v>
      </c>
      <c r="G116" s="155"/>
    </row>
    <row r="117" spans="1:7" ht="15" customHeight="1" x14ac:dyDescent="0.2">
      <c r="A117" s="141">
        <v>6</v>
      </c>
      <c r="B117" s="161" t="s">
        <v>249</v>
      </c>
      <c r="C117" s="146">
        <v>413758</v>
      </c>
      <c r="D117" s="146">
        <v>3243608</v>
      </c>
      <c r="E117" s="146">
        <f t="shared" si="6"/>
        <v>2829850</v>
      </c>
      <c r="F117" s="150">
        <f t="shared" si="7"/>
        <v>6.8393843744410985</v>
      </c>
      <c r="G117" s="155"/>
    </row>
    <row r="118" spans="1:7" ht="15.75" customHeight="1" x14ac:dyDescent="0.25">
      <c r="A118" s="141"/>
      <c r="B118" s="154" t="s">
        <v>250</v>
      </c>
      <c r="C118" s="147">
        <f>SUM(C112:C117)</f>
        <v>3295158</v>
      </c>
      <c r="D118" s="147">
        <f>SUM(D112:D117)</f>
        <v>5816682</v>
      </c>
      <c r="E118" s="147">
        <f t="shared" si="6"/>
        <v>2521524</v>
      </c>
      <c r="F118" s="148">
        <f t="shared" si="7"/>
        <v>0.76522096967732656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251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252</v>
      </c>
      <c r="C121" s="146">
        <v>2718227</v>
      </c>
      <c r="D121" s="146">
        <v>2568715</v>
      </c>
      <c r="E121" s="146">
        <f t="shared" ref="E121:E155" si="8">D121-C121</f>
        <v>-149512</v>
      </c>
      <c r="F121" s="150">
        <f t="shared" ref="F121:F155" si="9">IF(C121=0,0,E121/C121)</f>
        <v>-5.5003500443487612E-2</v>
      </c>
      <c r="G121" s="155"/>
    </row>
    <row r="122" spans="1:7" ht="15" customHeight="1" x14ac:dyDescent="0.2">
      <c r="A122" s="141">
        <v>2</v>
      </c>
      <c r="B122" s="161" t="s">
        <v>253</v>
      </c>
      <c r="C122" s="146">
        <v>502622</v>
      </c>
      <c r="D122" s="146">
        <v>505501</v>
      </c>
      <c r="E122" s="146">
        <f t="shared" si="8"/>
        <v>2879</v>
      </c>
      <c r="F122" s="150">
        <f t="shared" si="9"/>
        <v>5.7279625643127437E-3</v>
      </c>
      <c r="G122" s="155"/>
    </row>
    <row r="123" spans="1:7" ht="15" customHeight="1" x14ac:dyDescent="0.2">
      <c r="A123" s="141">
        <v>3</v>
      </c>
      <c r="B123" s="161" t="s">
        <v>254</v>
      </c>
      <c r="C123" s="146">
        <v>129688</v>
      </c>
      <c r="D123" s="146">
        <v>120633</v>
      </c>
      <c r="E123" s="146">
        <f t="shared" si="8"/>
        <v>-9055</v>
      </c>
      <c r="F123" s="150">
        <f t="shared" si="9"/>
        <v>-6.9821417555980508E-2</v>
      </c>
      <c r="G123" s="155"/>
    </row>
    <row r="124" spans="1:7" ht="15" customHeight="1" x14ac:dyDescent="0.2">
      <c r="A124" s="141">
        <v>4</v>
      </c>
      <c r="B124" s="161" t="s">
        <v>255</v>
      </c>
      <c r="C124" s="146">
        <v>0</v>
      </c>
      <c r="D124" s="146">
        <v>0</v>
      </c>
      <c r="E124" s="146">
        <f t="shared" si="8"/>
        <v>0</v>
      </c>
      <c r="F124" s="150">
        <f t="shared" si="9"/>
        <v>0</v>
      </c>
      <c r="G124" s="155"/>
    </row>
    <row r="125" spans="1:7" ht="15" customHeight="1" x14ac:dyDescent="0.2">
      <c r="A125" s="141">
        <v>5</v>
      </c>
      <c r="B125" s="161" t="s">
        <v>256</v>
      </c>
      <c r="C125" s="146">
        <v>1735979</v>
      </c>
      <c r="D125" s="146">
        <v>1809279</v>
      </c>
      <c r="E125" s="146">
        <f t="shared" si="8"/>
        <v>73300</v>
      </c>
      <c r="F125" s="150">
        <f t="shared" si="9"/>
        <v>4.2224013078499219E-2</v>
      </c>
      <c r="G125" s="155"/>
    </row>
    <row r="126" spans="1:7" ht="15" customHeight="1" x14ac:dyDescent="0.2">
      <c r="A126" s="141">
        <v>6</v>
      </c>
      <c r="B126" s="161" t="s">
        <v>257</v>
      </c>
      <c r="C126" s="146">
        <v>0</v>
      </c>
      <c r="D126" s="146">
        <v>0</v>
      </c>
      <c r="E126" s="146">
        <f t="shared" si="8"/>
        <v>0</v>
      </c>
      <c r="F126" s="150">
        <f t="shared" si="9"/>
        <v>0</v>
      </c>
      <c r="G126" s="155"/>
    </row>
    <row r="127" spans="1:7" ht="15" customHeight="1" x14ac:dyDescent="0.2">
      <c r="A127" s="141">
        <v>7</v>
      </c>
      <c r="B127" s="161" t="s">
        <v>258</v>
      </c>
      <c r="C127" s="146">
        <v>1650227</v>
      </c>
      <c r="D127" s="146">
        <v>1520340</v>
      </c>
      <c r="E127" s="146">
        <f t="shared" si="8"/>
        <v>-129887</v>
      </c>
      <c r="F127" s="150">
        <f t="shared" si="9"/>
        <v>-7.8708565548860854E-2</v>
      </c>
      <c r="G127" s="155"/>
    </row>
    <row r="128" spans="1:7" ht="15" customHeight="1" x14ac:dyDescent="0.2">
      <c r="A128" s="141">
        <v>8</v>
      </c>
      <c r="B128" s="161" t="s">
        <v>259</v>
      </c>
      <c r="C128" s="146">
        <v>519870</v>
      </c>
      <c r="D128" s="146">
        <v>568560</v>
      </c>
      <c r="E128" s="146">
        <f t="shared" si="8"/>
        <v>48690</v>
      </c>
      <c r="F128" s="150">
        <f t="shared" si="9"/>
        <v>9.3658029892088407E-2</v>
      </c>
      <c r="G128" s="155"/>
    </row>
    <row r="129" spans="1:7" ht="15" customHeight="1" x14ac:dyDescent="0.2">
      <c r="A129" s="141">
        <v>9</v>
      </c>
      <c r="B129" s="161" t="s">
        <v>260</v>
      </c>
      <c r="C129" s="146">
        <v>631400</v>
      </c>
      <c r="D129" s="146">
        <v>519526</v>
      </c>
      <c r="E129" s="146">
        <f t="shared" si="8"/>
        <v>-111874</v>
      </c>
      <c r="F129" s="150">
        <f t="shared" si="9"/>
        <v>-0.1771840354767184</v>
      </c>
      <c r="G129" s="155"/>
    </row>
    <row r="130" spans="1:7" ht="15" customHeight="1" x14ac:dyDescent="0.2">
      <c r="A130" s="141">
        <v>10</v>
      </c>
      <c r="B130" s="161" t="s">
        <v>261</v>
      </c>
      <c r="C130" s="146">
        <v>4342365</v>
      </c>
      <c r="D130" s="146">
        <v>4556146</v>
      </c>
      <c r="E130" s="146">
        <f t="shared" si="8"/>
        <v>213781</v>
      </c>
      <c r="F130" s="150">
        <f t="shared" si="9"/>
        <v>4.9231467184356913E-2</v>
      </c>
      <c r="G130" s="155"/>
    </row>
    <row r="131" spans="1:7" ht="15" customHeight="1" x14ac:dyDescent="0.2">
      <c r="A131" s="141">
        <v>11</v>
      </c>
      <c r="B131" s="161" t="s">
        <v>262</v>
      </c>
      <c r="C131" s="146">
        <v>466604</v>
      </c>
      <c r="D131" s="146">
        <v>427495</v>
      </c>
      <c r="E131" s="146">
        <f t="shared" si="8"/>
        <v>-39109</v>
      </c>
      <c r="F131" s="150">
        <f t="shared" si="9"/>
        <v>-8.3816255325715169E-2</v>
      </c>
      <c r="G131" s="155"/>
    </row>
    <row r="132" spans="1:7" ht="15" customHeight="1" x14ac:dyDescent="0.2">
      <c r="A132" s="141">
        <v>12</v>
      </c>
      <c r="B132" s="161" t="s">
        <v>263</v>
      </c>
      <c r="C132" s="146">
        <v>234280</v>
      </c>
      <c r="D132" s="146">
        <v>203129</v>
      </c>
      <c r="E132" s="146">
        <f t="shared" si="8"/>
        <v>-31151</v>
      </c>
      <c r="F132" s="150">
        <f t="shared" si="9"/>
        <v>-0.13296482841044904</v>
      </c>
      <c r="G132" s="155"/>
    </row>
    <row r="133" spans="1:7" ht="15" customHeight="1" x14ac:dyDescent="0.2">
      <c r="A133" s="141">
        <v>13</v>
      </c>
      <c r="B133" s="161" t="s">
        <v>264</v>
      </c>
      <c r="C133" s="146">
        <v>465915</v>
      </c>
      <c r="D133" s="146">
        <v>473815</v>
      </c>
      <c r="E133" s="146">
        <f t="shared" si="8"/>
        <v>7900</v>
      </c>
      <c r="F133" s="150">
        <f t="shared" si="9"/>
        <v>1.6955882510758399E-2</v>
      </c>
      <c r="G133" s="155"/>
    </row>
    <row r="134" spans="1:7" ht="15" customHeight="1" x14ac:dyDescent="0.2">
      <c r="A134" s="141">
        <v>14</v>
      </c>
      <c r="B134" s="161" t="s">
        <v>265</v>
      </c>
      <c r="C134" s="146">
        <v>0</v>
      </c>
      <c r="D134" s="146">
        <v>0</v>
      </c>
      <c r="E134" s="146">
        <f t="shared" si="8"/>
        <v>0</v>
      </c>
      <c r="F134" s="150">
        <f t="shared" si="9"/>
        <v>0</v>
      </c>
      <c r="G134" s="155"/>
    </row>
    <row r="135" spans="1:7" ht="15" customHeight="1" x14ac:dyDescent="0.2">
      <c r="A135" s="141">
        <v>15</v>
      </c>
      <c r="B135" s="161" t="s">
        <v>266</v>
      </c>
      <c r="C135" s="146">
        <v>0</v>
      </c>
      <c r="D135" s="146">
        <v>0</v>
      </c>
      <c r="E135" s="146">
        <f t="shared" si="8"/>
        <v>0</v>
      </c>
      <c r="F135" s="150">
        <f t="shared" si="9"/>
        <v>0</v>
      </c>
      <c r="G135" s="155"/>
    </row>
    <row r="136" spans="1:7" ht="15" customHeight="1" x14ac:dyDescent="0.2">
      <c r="A136" s="141">
        <v>16</v>
      </c>
      <c r="B136" s="161" t="s">
        <v>267</v>
      </c>
      <c r="C136" s="146">
        <v>183936</v>
      </c>
      <c r="D136" s="146">
        <v>195035</v>
      </c>
      <c r="E136" s="146">
        <f t="shared" si="8"/>
        <v>11099</v>
      </c>
      <c r="F136" s="150">
        <f t="shared" si="9"/>
        <v>6.0341640570633265E-2</v>
      </c>
      <c r="G136" s="155"/>
    </row>
    <row r="137" spans="1:7" ht="15" customHeight="1" x14ac:dyDescent="0.2">
      <c r="A137" s="141">
        <v>17</v>
      </c>
      <c r="B137" s="161" t="s">
        <v>268</v>
      </c>
      <c r="C137" s="146">
        <v>0</v>
      </c>
      <c r="D137" s="146">
        <v>0</v>
      </c>
      <c r="E137" s="146">
        <f t="shared" si="8"/>
        <v>0</v>
      </c>
      <c r="F137" s="150">
        <f t="shared" si="9"/>
        <v>0</v>
      </c>
      <c r="G137" s="155"/>
    </row>
    <row r="138" spans="1:7" ht="15" customHeight="1" x14ac:dyDescent="0.2">
      <c r="A138" s="141">
        <v>18</v>
      </c>
      <c r="B138" s="161" t="s">
        <v>269</v>
      </c>
      <c r="C138" s="146">
        <v>612352</v>
      </c>
      <c r="D138" s="146">
        <v>638787</v>
      </c>
      <c r="E138" s="146">
        <f t="shared" si="8"/>
        <v>26435</v>
      </c>
      <c r="F138" s="150">
        <f t="shared" si="9"/>
        <v>4.3169614862040136E-2</v>
      </c>
      <c r="G138" s="155"/>
    </row>
    <row r="139" spans="1:7" ht="15" customHeight="1" x14ac:dyDescent="0.2">
      <c r="A139" s="141">
        <v>19</v>
      </c>
      <c r="B139" s="161" t="s">
        <v>270</v>
      </c>
      <c r="C139" s="146">
        <v>0</v>
      </c>
      <c r="D139" s="146">
        <v>225500</v>
      </c>
      <c r="E139" s="146">
        <f t="shared" si="8"/>
        <v>225500</v>
      </c>
      <c r="F139" s="150">
        <f t="shared" si="9"/>
        <v>0</v>
      </c>
      <c r="G139" s="155"/>
    </row>
    <row r="140" spans="1:7" ht="15" customHeight="1" x14ac:dyDescent="0.2">
      <c r="A140" s="141">
        <v>20</v>
      </c>
      <c r="B140" s="161" t="s">
        <v>271</v>
      </c>
      <c r="C140" s="146">
        <v>276390</v>
      </c>
      <c r="D140" s="146">
        <v>294289</v>
      </c>
      <c r="E140" s="146">
        <f t="shared" si="8"/>
        <v>17899</v>
      </c>
      <c r="F140" s="150">
        <f t="shared" si="9"/>
        <v>6.4759940663555116E-2</v>
      </c>
      <c r="G140" s="155"/>
    </row>
    <row r="141" spans="1:7" ht="15" customHeight="1" x14ac:dyDescent="0.2">
      <c r="A141" s="141">
        <v>21</v>
      </c>
      <c r="B141" s="161" t="s">
        <v>272</v>
      </c>
      <c r="C141" s="146">
        <v>0</v>
      </c>
      <c r="D141" s="146">
        <v>0</v>
      </c>
      <c r="E141" s="146">
        <f t="shared" si="8"/>
        <v>0</v>
      </c>
      <c r="F141" s="150">
        <f t="shared" si="9"/>
        <v>0</v>
      </c>
      <c r="G141" s="155"/>
    </row>
    <row r="142" spans="1:7" ht="15" customHeight="1" x14ac:dyDescent="0.2">
      <c r="A142" s="141">
        <v>22</v>
      </c>
      <c r="B142" s="161" t="s">
        <v>273</v>
      </c>
      <c r="C142" s="146">
        <v>572426</v>
      </c>
      <c r="D142" s="146">
        <v>896663</v>
      </c>
      <c r="E142" s="146">
        <f t="shared" si="8"/>
        <v>324237</v>
      </c>
      <c r="F142" s="150">
        <f t="shared" si="9"/>
        <v>0.56642605332392304</v>
      </c>
      <c r="G142" s="155"/>
    </row>
    <row r="143" spans="1:7" ht="15" customHeight="1" x14ac:dyDescent="0.2">
      <c r="A143" s="141">
        <v>23</v>
      </c>
      <c r="B143" s="161" t="s">
        <v>274</v>
      </c>
      <c r="C143" s="146">
        <v>0</v>
      </c>
      <c r="D143" s="146">
        <v>0</v>
      </c>
      <c r="E143" s="146">
        <f t="shared" si="8"/>
        <v>0</v>
      </c>
      <c r="F143" s="150">
        <f t="shared" si="9"/>
        <v>0</v>
      </c>
      <c r="G143" s="155"/>
    </row>
    <row r="144" spans="1:7" ht="15" customHeight="1" x14ac:dyDescent="0.2">
      <c r="A144" s="141">
        <v>24</v>
      </c>
      <c r="B144" s="161" t="s">
        <v>275</v>
      </c>
      <c r="C144" s="146">
        <v>3731363</v>
      </c>
      <c r="D144" s="146">
        <v>3983537</v>
      </c>
      <c r="E144" s="146">
        <f t="shared" si="8"/>
        <v>252174</v>
      </c>
      <c r="F144" s="150">
        <f t="shared" si="9"/>
        <v>6.7582274895259448E-2</v>
      </c>
      <c r="G144" s="155"/>
    </row>
    <row r="145" spans="1:7" ht="15" customHeight="1" x14ac:dyDescent="0.2">
      <c r="A145" s="141">
        <v>25</v>
      </c>
      <c r="B145" s="161" t="s">
        <v>276</v>
      </c>
      <c r="C145" s="146">
        <v>1042667</v>
      </c>
      <c r="D145" s="146">
        <v>1570302</v>
      </c>
      <c r="E145" s="146">
        <f t="shared" si="8"/>
        <v>527635</v>
      </c>
      <c r="F145" s="150">
        <f t="shared" si="9"/>
        <v>0.50604363617530812</v>
      </c>
      <c r="G145" s="155"/>
    </row>
    <row r="146" spans="1:7" ht="15" customHeight="1" x14ac:dyDescent="0.2">
      <c r="A146" s="141">
        <v>26</v>
      </c>
      <c r="B146" s="161" t="s">
        <v>277</v>
      </c>
      <c r="C146" s="146">
        <v>253220</v>
      </c>
      <c r="D146" s="146">
        <v>192521</v>
      </c>
      <c r="E146" s="146">
        <f t="shared" si="8"/>
        <v>-60699</v>
      </c>
      <c r="F146" s="150">
        <f t="shared" si="9"/>
        <v>-0.23970855382671194</v>
      </c>
      <c r="G146" s="155"/>
    </row>
    <row r="147" spans="1:7" ht="15" customHeight="1" x14ac:dyDescent="0.2">
      <c r="A147" s="141">
        <v>27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28</v>
      </c>
      <c r="B148" s="161" t="s">
        <v>279</v>
      </c>
      <c r="C148" s="146">
        <v>932275</v>
      </c>
      <c r="D148" s="146">
        <v>909965</v>
      </c>
      <c r="E148" s="146">
        <f t="shared" si="8"/>
        <v>-22310</v>
      </c>
      <c r="F148" s="150">
        <f t="shared" si="9"/>
        <v>-2.393070714113325E-2</v>
      </c>
      <c r="G148" s="155"/>
    </row>
    <row r="149" spans="1:7" ht="15" customHeight="1" x14ac:dyDescent="0.2">
      <c r="A149" s="141">
        <v>29</v>
      </c>
      <c r="B149" s="161" t="s">
        <v>280</v>
      </c>
      <c r="C149" s="146">
        <v>479022</v>
      </c>
      <c r="D149" s="146">
        <v>363992</v>
      </c>
      <c r="E149" s="146">
        <f t="shared" si="8"/>
        <v>-115030</v>
      </c>
      <c r="F149" s="150">
        <f t="shared" si="9"/>
        <v>-0.24013510861714077</v>
      </c>
      <c r="G149" s="155"/>
    </row>
    <row r="150" spans="1:7" ht="15" customHeight="1" x14ac:dyDescent="0.2">
      <c r="A150" s="141">
        <v>30</v>
      </c>
      <c r="B150" s="161" t="s">
        <v>281</v>
      </c>
      <c r="C150" s="146">
        <v>79200</v>
      </c>
      <c r="D150" s="146">
        <v>99025</v>
      </c>
      <c r="E150" s="146">
        <f t="shared" si="8"/>
        <v>19825</v>
      </c>
      <c r="F150" s="150">
        <f t="shared" si="9"/>
        <v>0.25031565656565657</v>
      </c>
      <c r="G150" s="155"/>
    </row>
    <row r="151" spans="1:7" ht="15" customHeight="1" x14ac:dyDescent="0.2">
      <c r="A151" s="141">
        <v>31</v>
      </c>
      <c r="B151" s="161" t="s">
        <v>282</v>
      </c>
      <c r="C151" s="146">
        <v>657</v>
      </c>
      <c r="D151" s="146">
        <v>38</v>
      </c>
      <c r="E151" s="146">
        <f t="shared" si="8"/>
        <v>-619</v>
      </c>
      <c r="F151" s="150">
        <f t="shared" si="9"/>
        <v>-0.9421613394216134</v>
      </c>
      <c r="G151" s="155"/>
    </row>
    <row r="152" spans="1:7" ht="15" customHeight="1" x14ac:dyDescent="0.2">
      <c r="A152" s="141">
        <v>32</v>
      </c>
      <c r="B152" s="161" t="s">
        <v>283</v>
      </c>
      <c r="C152" s="146">
        <v>241577</v>
      </c>
      <c r="D152" s="146">
        <v>256912</v>
      </c>
      <c r="E152" s="146">
        <f t="shared" si="8"/>
        <v>15335</v>
      </c>
      <c r="F152" s="150">
        <f t="shared" si="9"/>
        <v>6.3478725209767481E-2</v>
      </c>
      <c r="G152" s="155"/>
    </row>
    <row r="153" spans="1:7" ht="15" customHeight="1" x14ac:dyDescent="0.2">
      <c r="A153" s="141">
        <v>33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34</v>
      </c>
      <c r="B154" s="161" t="s">
        <v>285</v>
      </c>
      <c r="C154" s="146">
        <v>2126378</v>
      </c>
      <c r="D154" s="146">
        <v>2143507</v>
      </c>
      <c r="E154" s="146">
        <f t="shared" si="8"/>
        <v>17129</v>
      </c>
      <c r="F154" s="150">
        <f t="shared" si="9"/>
        <v>8.0554821391116728E-3</v>
      </c>
      <c r="G154" s="155"/>
    </row>
    <row r="155" spans="1:7" ht="15.75" customHeight="1" x14ac:dyDescent="0.25">
      <c r="A155" s="141"/>
      <c r="B155" s="154" t="s">
        <v>286</v>
      </c>
      <c r="C155" s="147">
        <f>SUM(C121:C154)</f>
        <v>23928640</v>
      </c>
      <c r="D155" s="147">
        <f>SUM(D121:D154)</f>
        <v>25043212</v>
      </c>
      <c r="E155" s="147">
        <f t="shared" si="8"/>
        <v>1114572</v>
      </c>
      <c r="F155" s="148">
        <f t="shared" si="9"/>
        <v>4.6578994878104227E-2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287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288</v>
      </c>
      <c r="C158" s="146">
        <v>3291166</v>
      </c>
      <c r="D158" s="146">
        <v>3587628</v>
      </c>
      <c r="E158" s="146">
        <f t="shared" ref="E158:E171" si="10">D158-C158</f>
        <v>296462</v>
      </c>
      <c r="F158" s="150">
        <f t="shared" ref="F158:F171" si="11">IF(C158=0,0,E158/C158)</f>
        <v>9.0078106057245366E-2</v>
      </c>
      <c r="G158" s="155"/>
    </row>
    <row r="159" spans="1:7" ht="15" customHeight="1" x14ac:dyDescent="0.2">
      <c r="A159" s="141">
        <v>2</v>
      </c>
      <c r="B159" s="161" t="s">
        <v>289</v>
      </c>
      <c r="C159" s="146">
        <v>1528046</v>
      </c>
      <c r="D159" s="146">
        <v>1605318</v>
      </c>
      <c r="E159" s="146">
        <f t="shared" si="10"/>
        <v>77272</v>
      </c>
      <c r="F159" s="150">
        <f t="shared" si="11"/>
        <v>5.0569158258324684E-2</v>
      </c>
      <c r="G159" s="155"/>
    </row>
    <row r="160" spans="1:7" ht="15" customHeight="1" x14ac:dyDescent="0.2">
      <c r="A160" s="141">
        <v>3</v>
      </c>
      <c r="B160" s="161" t="s">
        <v>290</v>
      </c>
      <c r="C160" s="146">
        <v>0</v>
      </c>
      <c r="D160" s="146">
        <v>0</v>
      </c>
      <c r="E160" s="146">
        <f t="shared" si="10"/>
        <v>0</v>
      </c>
      <c r="F160" s="150">
        <f t="shared" si="11"/>
        <v>0</v>
      </c>
      <c r="G160" s="155"/>
    </row>
    <row r="161" spans="1:7" ht="15" customHeight="1" x14ac:dyDescent="0.2">
      <c r="A161" s="141">
        <v>4</v>
      </c>
      <c r="B161" s="161" t="s">
        <v>291</v>
      </c>
      <c r="C161" s="146">
        <v>0</v>
      </c>
      <c r="D161" s="146">
        <v>0</v>
      </c>
      <c r="E161" s="146">
        <f t="shared" si="10"/>
        <v>0</v>
      </c>
      <c r="F161" s="150">
        <f t="shared" si="11"/>
        <v>0</v>
      </c>
      <c r="G161" s="155"/>
    </row>
    <row r="162" spans="1:7" ht="15" customHeight="1" x14ac:dyDescent="0.2">
      <c r="A162" s="141">
        <v>5</v>
      </c>
      <c r="B162" s="161" t="s">
        <v>292</v>
      </c>
      <c r="C162" s="146">
        <v>268584</v>
      </c>
      <c r="D162" s="146">
        <v>0</v>
      </c>
      <c r="E162" s="146">
        <f t="shared" si="10"/>
        <v>-268584</v>
      </c>
      <c r="F162" s="150">
        <f t="shared" si="11"/>
        <v>-1</v>
      </c>
      <c r="G162" s="155"/>
    </row>
    <row r="163" spans="1:7" ht="15" customHeight="1" x14ac:dyDescent="0.2">
      <c r="A163" s="141">
        <v>6</v>
      </c>
      <c r="B163" s="161" t="s">
        <v>293</v>
      </c>
      <c r="C163" s="146">
        <v>1479102</v>
      </c>
      <c r="D163" s="146">
        <v>1569551</v>
      </c>
      <c r="E163" s="146">
        <f t="shared" si="10"/>
        <v>90449</v>
      </c>
      <c r="F163" s="150">
        <f t="shared" si="11"/>
        <v>6.115129314949206E-2</v>
      </c>
      <c r="G163" s="155"/>
    </row>
    <row r="164" spans="1:7" ht="15" customHeight="1" x14ac:dyDescent="0.2">
      <c r="A164" s="141">
        <v>7</v>
      </c>
      <c r="B164" s="161" t="s">
        <v>294</v>
      </c>
      <c r="C164" s="146">
        <v>28178</v>
      </c>
      <c r="D164" s="146">
        <v>27935</v>
      </c>
      <c r="E164" s="146">
        <f t="shared" si="10"/>
        <v>-243</v>
      </c>
      <c r="F164" s="150">
        <f t="shared" si="11"/>
        <v>-8.6237490240613241E-3</v>
      </c>
      <c r="G164" s="155"/>
    </row>
    <row r="165" spans="1:7" ht="15" customHeight="1" x14ac:dyDescent="0.2">
      <c r="A165" s="141">
        <v>8</v>
      </c>
      <c r="B165" s="161" t="s">
        <v>295</v>
      </c>
      <c r="C165" s="146">
        <v>0</v>
      </c>
      <c r="D165" s="146">
        <v>0</v>
      </c>
      <c r="E165" s="146">
        <f t="shared" si="10"/>
        <v>0</v>
      </c>
      <c r="F165" s="150">
        <f t="shared" si="11"/>
        <v>0</v>
      </c>
      <c r="G165" s="155"/>
    </row>
    <row r="166" spans="1:7" ht="15" customHeight="1" x14ac:dyDescent="0.2">
      <c r="A166" s="141">
        <v>9</v>
      </c>
      <c r="B166" s="161" t="s">
        <v>296</v>
      </c>
      <c r="C166" s="146">
        <v>0</v>
      </c>
      <c r="D166" s="146">
        <v>0</v>
      </c>
      <c r="E166" s="146">
        <f t="shared" si="10"/>
        <v>0</v>
      </c>
      <c r="F166" s="150">
        <f t="shared" si="11"/>
        <v>0</v>
      </c>
      <c r="G166" s="155"/>
    </row>
    <row r="167" spans="1:7" ht="15" customHeight="1" x14ac:dyDescent="0.2">
      <c r="A167" s="141">
        <v>10</v>
      </c>
      <c r="B167" s="161" t="s">
        <v>297</v>
      </c>
      <c r="C167" s="146">
        <v>670157</v>
      </c>
      <c r="D167" s="146">
        <v>715096</v>
      </c>
      <c r="E167" s="146">
        <f t="shared" si="10"/>
        <v>44939</v>
      </c>
      <c r="F167" s="150">
        <f t="shared" si="11"/>
        <v>6.7057420873019302E-2</v>
      </c>
      <c r="G167" s="155"/>
    </row>
    <row r="168" spans="1:7" ht="15" customHeight="1" x14ac:dyDescent="0.2">
      <c r="A168" s="141">
        <v>11</v>
      </c>
      <c r="B168" s="161" t="s">
        <v>298</v>
      </c>
      <c r="C168" s="146">
        <v>0</v>
      </c>
      <c r="D168" s="146">
        <v>0</v>
      </c>
      <c r="E168" s="146">
        <f t="shared" si="10"/>
        <v>0</v>
      </c>
      <c r="F168" s="150">
        <f t="shared" si="11"/>
        <v>0</v>
      </c>
      <c r="G168" s="155"/>
    </row>
    <row r="169" spans="1:7" ht="15" customHeight="1" x14ac:dyDescent="0.2">
      <c r="A169" s="141">
        <v>12</v>
      </c>
      <c r="B169" s="161" t="s">
        <v>299</v>
      </c>
      <c r="C169" s="146">
        <v>1039587</v>
      </c>
      <c r="D169" s="146">
        <v>760561</v>
      </c>
      <c r="E169" s="146">
        <f t="shared" si="10"/>
        <v>-279026</v>
      </c>
      <c r="F169" s="150">
        <f t="shared" si="11"/>
        <v>-0.26840081686285033</v>
      </c>
      <c r="G169" s="155"/>
    </row>
    <row r="170" spans="1:7" ht="15" customHeight="1" x14ac:dyDescent="0.2">
      <c r="A170" s="141">
        <v>13</v>
      </c>
      <c r="B170" s="161" t="s">
        <v>300</v>
      </c>
      <c r="C170" s="146">
        <v>3658439</v>
      </c>
      <c r="D170" s="146">
        <v>3127326</v>
      </c>
      <c r="E170" s="146">
        <f t="shared" si="10"/>
        <v>-531113</v>
      </c>
      <c r="F170" s="150">
        <f t="shared" si="11"/>
        <v>-0.14517475896140403</v>
      </c>
      <c r="G170" s="155"/>
    </row>
    <row r="171" spans="1:7" ht="15.75" customHeight="1" x14ac:dyDescent="0.25">
      <c r="A171" s="141"/>
      <c r="B171" s="154" t="s">
        <v>301</v>
      </c>
      <c r="C171" s="147">
        <f>SUM(C158:C170)</f>
        <v>11963259</v>
      </c>
      <c r="D171" s="147">
        <f>SUM(D158:D170)</f>
        <v>11393415</v>
      </c>
      <c r="E171" s="147">
        <f t="shared" si="10"/>
        <v>-569844</v>
      </c>
      <c r="F171" s="148">
        <f t="shared" si="11"/>
        <v>-4.7632839847402783E-2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302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303</v>
      </c>
      <c r="C174" s="146">
        <v>142383</v>
      </c>
      <c r="D174" s="146">
        <v>218811</v>
      </c>
      <c r="E174" s="146">
        <f>D174-C174</f>
        <v>76428</v>
      </c>
      <c r="F174" s="150">
        <f>IF(C174=0,0,E174/C174)</f>
        <v>0.53677756473736327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304</v>
      </c>
      <c r="C176" s="147">
        <f>+C174+C171+C155+C118+C109</f>
        <v>91802230</v>
      </c>
      <c r="D176" s="147">
        <f>+D174+D171+D155+D118+D109</f>
        <v>93915766</v>
      </c>
      <c r="E176" s="147">
        <f>D176-C176</f>
        <v>2113536</v>
      </c>
      <c r="F176" s="148">
        <f>IF(C176=0,0,E176/C176)</f>
        <v>2.3022708707620718E-2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305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FILING&amp;RNEW MILFORD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306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307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308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89326362</v>
      </c>
      <c r="D11" s="164">
        <v>88045146</v>
      </c>
      <c r="E11" s="51">
        <v>90588107</v>
      </c>
      <c r="F11" s="13"/>
    </row>
    <row r="12" spans="1:6" ht="24" customHeight="1" x14ac:dyDescent="0.25">
      <c r="A12" s="44">
        <v>2</v>
      </c>
      <c r="B12" s="165" t="s">
        <v>309</v>
      </c>
      <c r="C12" s="49">
        <v>3899680</v>
      </c>
      <c r="D12" s="49">
        <v>3875185</v>
      </c>
      <c r="E12" s="49">
        <v>3236289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93226042</v>
      </c>
      <c r="D13" s="51">
        <f>+D11+D12</f>
        <v>91920331</v>
      </c>
      <c r="E13" s="51">
        <f>+E11+E12</f>
        <v>93824396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98752754</v>
      </c>
      <c r="D14" s="49">
        <v>91802230</v>
      </c>
      <c r="E14" s="49">
        <v>93915766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-5526712</v>
      </c>
      <c r="D15" s="51">
        <f>+D13-D14</f>
        <v>118101</v>
      </c>
      <c r="E15" s="51">
        <f>+E13-E14</f>
        <v>-91370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361642</v>
      </c>
      <c r="D16" s="49">
        <v>72146</v>
      </c>
      <c r="E16" s="49">
        <v>-2572</v>
      </c>
      <c r="F16" s="13"/>
    </row>
    <row r="17" spans="1:6" ht="24" customHeight="1" x14ac:dyDescent="0.25">
      <c r="A17" s="44">
        <v>7</v>
      </c>
      <c r="B17" s="45" t="s">
        <v>310</v>
      </c>
      <c r="C17" s="51">
        <f>C15+C16</f>
        <v>-5165070</v>
      </c>
      <c r="D17" s="51">
        <f>D15+D16</f>
        <v>190247</v>
      </c>
      <c r="E17" s="51">
        <f>E15+E16</f>
        <v>-93942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311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312</v>
      </c>
      <c r="C20" s="169">
        <f>IF(+C27=0,0,+C24/+C27)</f>
        <v>-5.9053838750833927E-2</v>
      </c>
      <c r="D20" s="169">
        <f>IF(+D27=0,0,+D24/+D27)</f>
        <v>1.2838115012383023E-3</v>
      </c>
      <c r="E20" s="169">
        <f>IF(+E27=0,0,+E24/+E27)</f>
        <v>-9.7386723157290138E-4</v>
      </c>
      <c r="F20" s="13"/>
    </row>
    <row r="21" spans="1:6" ht="24" customHeight="1" x14ac:dyDescent="0.25">
      <c r="A21" s="25">
        <v>2</v>
      </c>
      <c r="B21" s="48" t="s">
        <v>313</v>
      </c>
      <c r="C21" s="169">
        <f>IF(C27=0,0,+C26/C27)</f>
        <v>3.8642050379193056E-3</v>
      </c>
      <c r="D21" s="169">
        <f>IF(D27=0,0,+D26/D27)</f>
        <v>7.8425978246025483E-4</v>
      </c>
      <c r="E21" s="169">
        <f>IF(E27=0,0,+E26/E27)</f>
        <v>-2.7413664436965114E-5</v>
      </c>
      <c r="F21" s="13"/>
    </row>
    <row r="22" spans="1:6" ht="24" customHeight="1" x14ac:dyDescent="0.25">
      <c r="A22" s="25">
        <v>3</v>
      </c>
      <c r="B22" s="48" t="s">
        <v>314</v>
      </c>
      <c r="C22" s="169">
        <f>IF(C27=0,0,+C28/C27)</f>
        <v>-5.5189633712914618E-2</v>
      </c>
      <c r="D22" s="169">
        <f>IF(D27=0,0,+D28/D27)</f>
        <v>2.0680712836985572E-3</v>
      </c>
      <c r="E22" s="169">
        <f>IF(E27=0,0,+E28/E27)</f>
        <v>-1.0012808960098666E-3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-5526712</v>
      </c>
      <c r="D24" s="51">
        <f>+D15</f>
        <v>118101</v>
      </c>
      <c r="E24" s="51">
        <f>+E15</f>
        <v>-91370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93226042</v>
      </c>
      <c r="D25" s="51">
        <f>+D13</f>
        <v>91920331</v>
      </c>
      <c r="E25" s="51">
        <f>+E13</f>
        <v>93824396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361642</v>
      </c>
      <c r="D26" s="51">
        <f>+D16</f>
        <v>72146</v>
      </c>
      <c r="E26" s="51">
        <f>+E16</f>
        <v>-2572</v>
      </c>
      <c r="F26" s="13"/>
    </row>
    <row r="27" spans="1:6" ht="24" customHeight="1" x14ac:dyDescent="0.25">
      <c r="A27" s="21">
        <v>7</v>
      </c>
      <c r="B27" s="48" t="s">
        <v>315</v>
      </c>
      <c r="C27" s="51">
        <f>+C25+C26</f>
        <v>93587684</v>
      </c>
      <c r="D27" s="51">
        <f>+D25+D26</f>
        <v>91992477</v>
      </c>
      <c r="E27" s="51">
        <f>+E25+E26</f>
        <v>93821824</v>
      </c>
      <c r="F27" s="13"/>
    </row>
    <row r="28" spans="1:6" ht="24" customHeight="1" x14ac:dyDescent="0.25">
      <c r="A28" s="21">
        <v>8</v>
      </c>
      <c r="B28" s="45" t="s">
        <v>310</v>
      </c>
      <c r="C28" s="51">
        <f>+C17</f>
        <v>-5165070</v>
      </c>
      <c r="D28" s="51">
        <f>+D17</f>
        <v>190247</v>
      </c>
      <c r="E28" s="51">
        <f>+E17</f>
        <v>-93942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316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317</v>
      </c>
      <c r="C31" s="51">
        <v>13080008</v>
      </c>
      <c r="D31" s="51">
        <v>28931108</v>
      </c>
      <c r="E31" s="51">
        <v>26176392</v>
      </c>
      <c r="F31" s="13"/>
    </row>
    <row r="32" spans="1:6" ht="24" customHeight="1" x14ac:dyDescent="0.25">
      <c r="A32" s="25">
        <v>2</v>
      </c>
      <c r="B32" s="48" t="s">
        <v>318</v>
      </c>
      <c r="C32" s="51">
        <v>23768402</v>
      </c>
      <c r="D32" s="51">
        <v>34704604</v>
      </c>
      <c r="E32" s="51">
        <v>30388996</v>
      </c>
      <c r="F32" s="13"/>
    </row>
    <row r="33" spans="1:6" ht="24" customHeight="1" x14ac:dyDescent="0.2">
      <c r="A33" s="25">
        <v>3</v>
      </c>
      <c r="B33" s="48" t="s">
        <v>319</v>
      </c>
      <c r="C33" s="51">
        <v>-19796479</v>
      </c>
      <c r="D33" s="51">
        <f>+D32-C32</f>
        <v>10936202</v>
      </c>
      <c r="E33" s="51">
        <f>+E32-D32</f>
        <v>-4315608</v>
      </c>
      <c r="F33" s="5"/>
    </row>
    <row r="34" spans="1:6" ht="24" customHeight="1" x14ac:dyDescent="0.2">
      <c r="A34" s="25">
        <v>4</v>
      </c>
      <c r="B34" s="48" t="s">
        <v>320</v>
      </c>
      <c r="C34" s="171">
        <v>0.54549999999999998</v>
      </c>
      <c r="D34" s="171">
        <f>IF(C32=0,0,+D33/C32)</f>
        <v>0.46011515624819876</v>
      </c>
      <c r="E34" s="171">
        <f>IF(D32=0,0,+E33/D32)</f>
        <v>-0.12435260750994306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321</v>
      </c>
      <c r="B36" s="41" t="s">
        <v>322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323</v>
      </c>
      <c r="C38" s="172">
        <f>IF((C40+C41)=0,0,+C39/(C40+C41))</f>
        <v>0.4212791008660749</v>
      </c>
      <c r="D38" s="172">
        <f>IF((D40+D41)=0,0,+D39/(D40+D41))</f>
        <v>0.37677677897555545</v>
      </c>
      <c r="E38" s="172">
        <f>IF((E40+E41)=0,0,+E39/(E40+E41))</f>
        <v>0.38854838048592771</v>
      </c>
      <c r="F38" s="5"/>
    </row>
    <row r="39" spans="1:6" ht="24" customHeight="1" x14ac:dyDescent="0.2">
      <c r="A39" s="21">
        <v>2</v>
      </c>
      <c r="B39" s="48" t="s">
        <v>324</v>
      </c>
      <c r="C39" s="51">
        <v>98752754</v>
      </c>
      <c r="D39" s="51">
        <v>91802230</v>
      </c>
      <c r="E39" s="23">
        <v>93915766</v>
      </c>
      <c r="F39" s="5"/>
    </row>
    <row r="40" spans="1:6" ht="24" customHeight="1" x14ac:dyDescent="0.2">
      <c r="A40" s="21">
        <v>3</v>
      </c>
      <c r="B40" s="48" t="s">
        <v>325</v>
      </c>
      <c r="C40" s="51">
        <v>230831708</v>
      </c>
      <c r="D40" s="51">
        <v>240127700</v>
      </c>
      <c r="E40" s="23">
        <v>238485896</v>
      </c>
      <c r="F40" s="5"/>
    </row>
    <row r="41" spans="1:6" ht="24" customHeight="1" x14ac:dyDescent="0.2">
      <c r="A41" s="21">
        <v>4</v>
      </c>
      <c r="B41" s="48" t="s">
        <v>326</v>
      </c>
      <c r="C41" s="51">
        <v>3580001</v>
      </c>
      <c r="D41" s="51">
        <v>3523807</v>
      </c>
      <c r="E41" s="23">
        <v>3223427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327</v>
      </c>
      <c r="C43" s="173">
        <f>IF(C38=0,0,IF((C46-C47)=0,0,((+C44-C45)/(C46-C47)/C38)))</f>
        <v>1.1935740324667683</v>
      </c>
      <c r="D43" s="173">
        <f>IF(D38=0,0,IF((D46-D47)=0,0,((+D44-D45)/(D46-D47)/D38)))</f>
        <v>1.301363417186759</v>
      </c>
      <c r="E43" s="173">
        <f>IF(E38=0,0,IF((E46-E47)=0,0,((+E44-E45)/(E46-E47)/E38)))</f>
        <v>1.289709720341937</v>
      </c>
      <c r="F43" s="5"/>
    </row>
    <row r="44" spans="1:6" ht="24" customHeight="1" x14ac:dyDescent="0.2">
      <c r="A44" s="21">
        <v>6</v>
      </c>
      <c r="B44" s="48" t="s">
        <v>328</v>
      </c>
      <c r="C44" s="51">
        <v>55861758</v>
      </c>
      <c r="D44" s="51">
        <v>54625501</v>
      </c>
      <c r="E44" s="23">
        <v>55897705</v>
      </c>
      <c r="F44" s="5"/>
    </row>
    <row r="45" spans="1:6" ht="24" customHeight="1" x14ac:dyDescent="0.2">
      <c r="A45" s="21">
        <v>7</v>
      </c>
      <c r="B45" s="48" t="s">
        <v>329</v>
      </c>
      <c r="C45" s="51">
        <v>250631</v>
      </c>
      <c r="D45" s="51">
        <v>274542</v>
      </c>
      <c r="E45" s="23">
        <v>419722</v>
      </c>
      <c r="F45" s="5"/>
    </row>
    <row r="46" spans="1:6" ht="24" customHeight="1" x14ac:dyDescent="0.2">
      <c r="A46" s="21">
        <v>8</v>
      </c>
      <c r="B46" s="48" t="s">
        <v>330</v>
      </c>
      <c r="C46" s="51">
        <v>115199029</v>
      </c>
      <c r="D46" s="51">
        <v>115856329</v>
      </c>
      <c r="E46" s="23">
        <v>115409470</v>
      </c>
      <c r="F46" s="5"/>
    </row>
    <row r="47" spans="1:6" ht="24" customHeight="1" x14ac:dyDescent="0.2">
      <c r="A47" s="21">
        <v>9</v>
      </c>
      <c r="B47" s="48" t="s">
        <v>331</v>
      </c>
      <c r="C47" s="51">
        <v>4602265</v>
      </c>
      <c r="D47" s="51">
        <v>5009190</v>
      </c>
      <c r="E47" s="174">
        <v>4700302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332</v>
      </c>
      <c r="C49" s="175">
        <f>IF(C38=0,0,IF(C51=0,0,(C50/C51)/C38))</f>
        <v>0.6145550197615085</v>
      </c>
      <c r="D49" s="175">
        <f>IF(D38=0,0,IF(D51=0,0,(D50/D51)/D38))</f>
        <v>0.63939093398740909</v>
      </c>
      <c r="E49" s="175">
        <f>IF(E38=0,0,IF(E51=0,0,(E50/E51)/E38))</f>
        <v>0.65259770730697175</v>
      </c>
      <c r="F49" s="7"/>
    </row>
    <row r="50" spans="1:6" ht="24" customHeight="1" x14ac:dyDescent="0.25">
      <c r="A50" s="21">
        <v>11</v>
      </c>
      <c r="B50" s="48" t="s">
        <v>333</v>
      </c>
      <c r="C50" s="176">
        <v>27030405</v>
      </c>
      <c r="D50" s="176">
        <v>25840252</v>
      </c>
      <c r="E50" s="176">
        <v>25943262</v>
      </c>
      <c r="F50" s="11"/>
    </row>
    <row r="51" spans="1:6" ht="24" customHeight="1" x14ac:dyDescent="0.25">
      <c r="A51" s="21">
        <v>12</v>
      </c>
      <c r="B51" s="48" t="s">
        <v>334</v>
      </c>
      <c r="C51" s="176">
        <v>104405137</v>
      </c>
      <c r="D51" s="176">
        <v>107262062</v>
      </c>
      <c r="E51" s="176">
        <v>102313734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335</v>
      </c>
      <c r="C53" s="175">
        <f>IF(C38=0,0,IF(C55=0,0,(C54/C55)/C38))</f>
        <v>0.69079302878220517</v>
      </c>
      <c r="D53" s="175">
        <f>IF(D38=0,0,IF(D55=0,0,(D54/D55)/D38))</f>
        <v>0.71974230360112812</v>
      </c>
      <c r="E53" s="175">
        <f>IF(E38=0,0,IF(E55=0,0,(E54/E55)/E38))</f>
        <v>0.72970533823948258</v>
      </c>
      <c r="F53" s="13"/>
    </row>
    <row r="54" spans="1:6" ht="24" customHeight="1" x14ac:dyDescent="0.25">
      <c r="A54" s="21">
        <v>14</v>
      </c>
      <c r="B54" s="48" t="s">
        <v>336</v>
      </c>
      <c r="C54" s="176">
        <v>2744639</v>
      </c>
      <c r="D54" s="176">
        <v>4034622</v>
      </c>
      <c r="E54" s="176">
        <v>5499834</v>
      </c>
      <c r="F54" s="13"/>
    </row>
    <row r="55" spans="1:6" ht="24" customHeight="1" x14ac:dyDescent="0.25">
      <c r="A55" s="21">
        <v>15</v>
      </c>
      <c r="B55" s="48" t="s">
        <v>337</v>
      </c>
      <c r="C55" s="176">
        <v>9431209</v>
      </c>
      <c r="D55" s="176">
        <v>14877902</v>
      </c>
      <c r="E55" s="176">
        <v>19398000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338</v>
      </c>
      <c r="C57" s="53">
        <f>+C60*C38</f>
        <v>2402226.5358196506</v>
      </c>
      <c r="D57" s="53">
        <f>+D60*D38</f>
        <v>1987111.3128976051</v>
      </c>
      <c r="E57" s="53">
        <f>+E60*E38</f>
        <v>1663212.4265404525</v>
      </c>
      <c r="F57" s="13"/>
    </row>
    <row r="58" spans="1:6" ht="24" customHeight="1" x14ac:dyDescent="0.25">
      <c r="A58" s="21">
        <v>17</v>
      </c>
      <c r="B58" s="48" t="s">
        <v>339</v>
      </c>
      <c r="C58" s="51">
        <v>1620381</v>
      </c>
      <c r="D58" s="51">
        <v>2208785</v>
      </c>
      <c r="E58" s="52">
        <v>1734591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4081840</v>
      </c>
      <c r="D59" s="51">
        <v>3065190</v>
      </c>
      <c r="E59" s="52">
        <v>2545989</v>
      </c>
      <c r="F59" s="28"/>
    </row>
    <row r="60" spans="1:6" ht="24" customHeight="1" x14ac:dyDescent="0.25">
      <c r="A60" s="21">
        <v>19</v>
      </c>
      <c r="B60" s="48" t="s">
        <v>340</v>
      </c>
      <c r="C60" s="51">
        <v>5702221</v>
      </c>
      <c r="D60" s="51">
        <v>5273975</v>
      </c>
      <c r="E60" s="52">
        <v>4280580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341</v>
      </c>
      <c r="C62" s="178">
        <f>IF(C63=0,0,+C57/C63)</f>
        <v>2.4325666257567366E-2</v>
      </c>
      <c r="D62" s="178">
        <f>IF(D63=0,0,+D57/D63)</f>
        <v>2.1645566920298179E-2</v>
      </c>
      <c r="E62" s="178">
        <f>IF(E63=0,0,+E57/E63)</f>
        <v>1.7709618921070744E-2</v>
      </c>
      <c r="F62" s="13"/>
    </row>
    <row r="63" spans="1:6" ht="24" customHeight="1" x14ac:dyDescent="0.25">
      <c r="A63" s="21">
        <v>21</v>
      </c>
      <c r="B63" s="45" t="s">
        <v>324</v>
      </c>
      <c r="C63" s="176">
        <v>98752754</v>
      </c>
      <c r="D63" s="176">
        <v>91802230</v>
      </c>
      <c r="E63" s="176">
        <v>93915766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342</v>
      </c>
      <c r="B65" s="41" t="s">
        <v>343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344</v>
      </c>
      <c r="C67" s="179">
        <f>IF(C69=0,0,C68/C69)</f>
        <v>1.2829482013108306</v>
      </c>
      <c r="D67" s="179">
        <f>IF(D69=0,0,D68/D69)</f>
        <v>1.6752394587302344</v>
      </c>
      <c r="E67" s="179">
        <f>IF(E69=0,0,E68/E69)</f>
        <v>1.4159301036710099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20129719</v>
      </c>
      <c r="D68" s="180">
        <v>22877256</v>
      </c>
      <c r="E68" s="180">
        <v>24834328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15690204</v>
      </c>
      <c r="D69" s="180">
        <v>13656111</v>
      </c>
      <c r="E69" s="180">
        <v>17539233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345</v>
      </c>
      <c r="C71" s="181">
        <f>IF((C77/365)=0,0,+C74/(C77/365))</f>
        <v>10.541955392557448</v>
      </c>
      <c r="D71" s="181">
        <f>IF((D77/365)=0,0,+D74/(D77/365))</f>
        <v>29.831892545951302</v>
      </c>
      <c r="E71" s="181">
        <f>IF((E77/365)=0,0,+E74/(E77/365))</f>
        <v>44.30869571988525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2513911</v>
      </c>
      <c r="D72" s="182">
        <v>6859877</v>
      </c>
      <c r="E72" s="182">
        <v>10710102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195420</v>
      </c>
      <c r="D73" s="184">
        <v>198805</v>
      </c>
      <c r="E73" s="184">
        <v>0</v>
      </c>
      <c r="F73" s="28"/>
    </row>
    <row r="74" spans="1:6" ht="24" customHeight="1" x14ac:dyDescent="0.25">
      <c r="A74" s="21">
        <v>7</v>
      </c>
      <c r="B74" s="48" t="s">
        <v>346</v>
      </c>
      <c r="C74" s="180">
        <f>+C72+C73</f>
        <v>2709331</v>
      </c>
      <c r="D74" s="180">
        <f>+D72+D73</f>
        <v>7058682</v>
      </c>
      <c r="E74" s="180">
        <f>+E72+E73</f>
        <v>10710102</v>
      </c>
      <c r="F74" s="28"/>
    </row>
    <row r="75" spans="1:6" ht="24" customHeight="1" x14ac:dyDescent="0.25">
      <c r="A75" s="21">
        <v>8</v>
      </c>
      <c r="B75" s="48" t="s">
        <v>324</v>
      </c>
      <c r="C75" s="180">
        <f>+C14</f>
        <v>98752754</v>
      </c>
      <c r="D75" s="180">
        <f>+D14</f>
        <v>91802230</v>
      </c>
      <c r="E75" s="180">
        <f>+E14</f>
        <v>93915766</v>
      </c>
      <c r="F75" s="28"/>
    </row>
    <row r="76" spans="1:6" ht="24" customHeight="1" x14ac:dyDescent="0.25">
      <c r="A76" s="21">
        <v>9</v>
      </c>
      <c r="B76" s="45" t="s">
        <v>347</v>
      </c>
      <c r="C76" s="180">
        <v>4946076</v>
      </c>
      <c r="D76" s="180">
        <v>5437648</v>
      </c>
      <c r="E76" s="180">
        <v>5689580</v>
      </c>
      <c r="F76" s="28"/>
    </row>
    <row r="77" spans="1:6" ht="24" customHeight="1" x14ac:dyDescent="0.25">
      <c r="A77" s="21">
        <v>10</v>
      </c>
      <c r="B77" s="45" t="s">
        <v>348</v>
      </c>
      <c r="C77" s="180">
        <f>+C75-C76</f>
        <v>93806678</v>
      </c>
      <c r="D77" s="180">
        <f>+D75-D76</f>
        <v>86364582</v>
      </c>
      <c r="E77" s="180">
        <f>+E75-E76</f>
        <v>88226186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349</v>
      </c>
      <c r="C79" s="179">
        <f>IF((C84/365)=0,0,+C83/(C84/365))</f>
        <v>34.681111271496761</v>
      </c>
      <c r="D79" s="179">
        <f>IF((D84/365)=0,0,+D83/(D84/365))</f>
        <v>27.480601088446146</v>
      </c>
      <c r="E79" s="179">
        <f>IF((E84/365)=0,0,+E83/(E84/365))</f>
        <v>25.273951689927685</v>
      </c>
      <c r="F79" s="28"/>
    </row>
    <row r="80" spans="1:6" ht="24" customHeight="1" x14ac:dyDescent="0.25">
      <c r="A80" s="21">
        <v>12</v>
      </c>
      <c r="B80" s="188" t="s">
        <v>350</v>
      </c>
      <c r="C80" s="189">
        <v>10792628</v>
      </c>
      <c r="D80" s="189">
        <v>10247728</v>
      </c>
      <c r="E80" s="189">
        <v>10457444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0</v>
      </c>
      <c r="D81" s="190">
        <v>0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2305128</v>
      </c>
      <c r="D82" s="190">
        <v>3618869</v>
      </c>
      <c r="E82" s="190">
        <v>4184788</v>
      </c>
      <c r="F82" s="28"/>
    </row>
    <row r="83" spans="1:6" ht="33.950000000000003" customHeight="1" x14ac:dyDescent="0.25">
      <c r="A83" s="21">
        <v>15</v>
      </c>
      <c r="B83" s="45" t="s">
        <v>351</v>
      </c>
      <c r="C83" s="191">
        <f>+C80+C81-C82</f>
        <v>8487500</v>
      </c>
      <c r="D83" s="191">
        <f>+D80+D81-D82</f>
        <v>6628859</v>
      </c>
      <c r="E83" s="191">
        <f>+E80+E81-E82</f>
        <v>6272656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89326362</v>
      </c>
      <c r="D84" s="191">
        <f>+D11</f>
        <v>88045146</v>
      </c>
      <c r="E84" s="191">
        <f>+E11</f>
        <v>90588107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352</v>
      </c>
      <c r="C86" s="179">
        <f>IF((C90/365)=0,0,+C87/(C90/365))</f>
        <v>61.050285353884938</v>
      </c>
      <c r="D86" s="179">
        <f>IF((D90/365)=0,0,+D87/(D90/365))</f>
        <v>57.714405599739948</v>
      </c>
      <c r="E86" s="179">
        <f>IF((E90/365)=0,0,+E87/(E90/365))</f>
        <v>72.561450689934617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15690204</v>
      </c>
      <c r="D87" s="51">
        <f>+D69</f>
        <v>13656111</v>
      </c>
      <c r="E87" s="51">
        <f>+E69</f>
        <v>17539233</v>
      </c>
      <c r="F87" s="28"/>
    </row>
    <row r="88" spans="1:6" ht="24" customHeight="1" x14ac:dyDescent="0.25">
      <c r="A88" s="21">
        <v>19</v>
      </c>
      <c r="B88" s="48" t="s">
        <v>324</v>
      </c>
      <c r="C88" s="51">
        <f t="shared" ref="C88:E89" si="0">+C75</f>
        <v>98752754</v>
      </c>
      <c r="D88" s="51">
        <f t="shared" si="0"/>
        <v>91802230</v>
      </c>
      <c r="E88" s="51">
        <f t="shared" si="0"/>
        <v>93915766</v>
      </c>
      <c r="F88" s="28"/>
    </row>
    <row r="89" spans="1:6" ht="24" customHeight="1" x14ac:dyDescent="0.25">
      <c r="A89" s="21">
        <v>20</v>
      </c>
      <c r="B89" s="48" t="s">
        <v>347</v>
      </c>
      <c r="C89" s="52">
        <f t="shared" si="0"/>
        <v>4946076</v>
      </c>
      <c r="D89" s="52">
        <f t="shared" si="0"/>
        <v>5437648</v>
      </c>
      <c r="E89" s="52">
        <f t="shared" si="0"/>
        <v>5689580</v>
      </c>
      <c r="F89" s="28"/>
    </row>
    <row r="90" spans="1:6" ht="24" customHeight="1" x14ac:dyDescent="0.25">
      <c r="A90" s="21">
        <v>21</v>
      </c>
      <c r="B90" s="48" t="s">
        <v>353</v>
      </c>
      <c r="C90" s="51">
        <f>+C88-C89</f>
        <v>93806678</v>
      </c>
      <c r="D90" s="51">
        <f>+D88-D89</f>
        <v>86364582</v>
      </c>
      <c r="E90" s="51">
        <f>+E88-E89</f>
        <v>88226186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354</v>
      </c>
      <c r="B92" s="41" t="s">
        <v>355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356</v>
      </c>
      <c r="C94" s="192">
        <f>IF(C96=0,0,(C95/C96)*100)</f>
        <v>34.094536060006632</v>
      </c>
      <c r="D94" s="192">
        <f>IF(D96=0,0,(D95/D96)*100)</f>
        <v>50.355428061498777</v>
      </c>
      <c r="E94" s="192">
        <f>IF(E96=0,0,(E95/E96)*100)</f>
        <v>42.810535329128093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23768402</v>
      </c>
      <c r="D95" s="51">
        <f>+D32</f>
        <v>34704604</v>
      </c>
      <c r="E95" s="51">
        <f>+E32</f>
        <v>30388996</v>
      </c>
      <c r="F95" s="28"/>
    </row>
    <row r="96" spans="1:6" ht="24" customHeight="1" x14ac:dyDescent="0.25">
      <c r="A96" s="21">
        <v>3</v>
      </c>
      <c r="B96" s="48" t="s">
        <v>43</v>
      </c>
      <c r="C96" s="51">
        <v>69713229</v>
      </c>
      <c r="D96" s="51">
        <v>68919291</v>
      </c>
      <c r="E96" s="51">
        <v>70984854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357</v>
      </c>
      <c r="C98" s="192">
        <f>IF(C104=0,0,(C101/C104)*100)</f>
        <v>-0.94255016559424609</v>
      </c>
      <c r="D98" s="192">
        <f>IF(D104=0,0,(D101/D104)*100)</f>
        <v>27.319479458091411</v>
      </c>
      <c r="E98" s="192">
        <f>IF(E104=0,0,(E101/E104)*100)</f>
        <v>23.163532743436392</v>
      </c>
      <c r="F98" s="28"/>
    </row>
    <row r="99" spans="1:6" ht="24" customHeight="1" x14ac:dyDescent="0.25">
      <c r="A99" s="21">
        <v>5</v>
      </c>
      <c r="B99" s="48" t="s">
        <v>358</v>
      </c>
      <c r="C99" s="51">
        <f>+C28</f>
        <v>-5165070</v>
      </c>
      <c r="D99" s="51">
        <f>+D28</f>
        <v>190247</v>
      </c>
      <c r="E99" s="51">
        <f>+E28</f>
        <v>-93942</v>
      </c>
      <c r="F99" s="28"/>
    </row>
    <row r="100" spans="1:6" ht="24" customHeight="1" x14ac:dyDescent="0.25">
      <c r="A100" s="21">
        <v>6</v>
      </c>
      <c r="B100" s="48" t="s">
        <v>347</v>
      </c>
      <c r="C100" s="52">
        <f>+C76</f>
        <v>4946076</v>
      </c>
      <c r="D100" s="52">
        <f>+D76</f>
        <v>5437648</v>
      </c>
      <c r="E100" s="52">
        <f>+E76</f>
        <v>5689580</v>
      </c>
      <c r="F100" s="28"/>
    </row>
    <row r="101" spans="1:6" ht="24" customHeight="1" x14ac:dyDescent="0.25">
      <c r="A101" s="21">
        <v>7</v>
      </c>
      <c r="B101" s="48" t="s">
        <v>359</v>
      </c>
      <c r="C101" s="51">
        <f>+C99+C100</f>
        <v>-218994</v>
      </c>
      <c r="D101" s="51">
        <f>+D99+D100</f>
        <v>5627895</v>
      </c>
      <c r="E101" s="51">
        <f>+E99+E100</f>
        <v>5595638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15690204</v>
      </c>
      <c r="D102" s="180">
        <f>+D69</f>
        <v>13656111</v>
      </c>
      <c r="E102" s="180">
        <f>+E69</f>
        <v>17539233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7543997</v>
      </c>
      <c r="D103" s="194">
        <v>6944190</v>
      </c>
      <c r="E103" s="194">
        <v>6617868</v>
      </c>
      <c r="F103" s="28"/>
    </row>
    <row r="104" spans="1:6" ht="24" customHeight="1" x14ac:dyDescent="0.25">
      <c r="A104" s="21">
        <v>10</v>
      </c>
      <c r="B104" s="195" t="s">
        <v>360</v>
      </c>
      <c r="C104" s="180">
        <f>+C102+C103</f>
        <v>23234201</v>
      </c>
      <c r="D104" s="180">
        <f>+D102+D103</f>
        <v>20600301</v>
      </c>
      <c r="E104" s="180">
        <f>+E102+E103</f>
        <v>24157101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361</v>
      </c>
      <c r="C106" s="197">
        <f>IF(C109=0,0,(C107/C109)*100)</f>
        <v>24.092682901747644</v>
      </c>
      <c r="D106" s="197">
        <f>IF(D109=0,0,(D107/D109)*100)</f>
        <v>16.673207872477651</v>
      </c>
      <c r="E106" s="197">
        <f>IF(E109=0,0,(E107/E109)*100)</f>
        <v>17.882812226402105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7543997</v>
      </c>
      <c r="D107" s="180">
        <f>+D103</f>
        <v>6944190</v>
      </c>
      <c r="E107" s="180">
        <f>+E103</f>
        <v>6617868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23768402</v>
      </c>
      <c r="D108" s="180">
        <f>+D32</f>
        <v>34704604</v>
      </c>
      <c r="E108" s="180">
        <f>+E32</f>
        <v>30388996</v>
      </c>
      <c r="F108" s="28"/>
    </row>
    <row r="109" spans="1:6" ht="24" customHeight="1" x14ac:dyDescent="0.25">
      <c r="A109" s="17">
        <v>14</v>
      </c>
      <c r="B109" s="48" t="s">
        <v>362</v>
      </c>
      <c r="C109" s="180">
        <f>+C107+C108</f>
        <v>31312399</v>
      </c>
      <c r="D109" s="180">
        <f>+D107+D108</f>
        <v>41648794</v>
      </c>
      <c r="E109" s="180">
        <f>+E107+E108</f>
        <v>37006864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363</v>
      </c>
      <c r="C111" s="197">
        <f>IF((+C113+C115)=0,0,((+C112+C113+C114)/(+C113+C115)))</f>
        <v>0.2186404918034357</v>
      </c>
      <c r="D111" s="197">
        <f>IF((+D113+D115)=0,0,((+D112+D113+D114)/(+D113+D115)))</f>
        <v>2.5584092974237902</v>
      </c>
      <c r="E111" s="197">
        <f>IF((+E113+E115)=0,0,((+E112+E113+E114)/(+E113+E115)))</f>
        <v>0.77942471254477608</v>
      </c>
    </row>
    <row r="112" spans="1:6" ht="24" customHeight="1" x14ac:dyDescent="0.25">
      <c r="A112" s="17">
        <v>16</v>
      </c>
      <c r="B112" s="48" t="s">
        <v>364</v>
      </c>
      <c r="C112" s="180">
        <f>+C17</f>
        <v>-5165070</v>
      </c>
      <c r="D112" s="180">
        <f>+D17</f>
        <v>190247</v>
      </c>
      <c r="E112" s="180">
        <f>+E17</f>
        <v>-93942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675584</v>
      </c>
      <c r="D113" s="180">
        <v>538204</v>
      </c>
      <c r="E113" s="180">
        <v>482517</v>
      </c>
      <c r="F113" s="28"/>
    </row>
    <row r="114" spans="1:8" ht="24" customHeight="1" x14ac:dyDescent="0.25">
      <c r="A114" s="17">
        <v>18</v>
      </c>
      <c r="B114" s="48" t="s">
        <v>365</v>
      </c>
      <c r="C114" s="180">
        <v>4946076</v>
      </c>
      <c r="D114" s="180">
        <v>5437648</v>
      </c>
      <c r="E114" s="180">
        <v>5689580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1412730</v>
      </c>
      <c r="D115" s="180">
        <v>1871926</v>
      </c>
      <c r="E115" s="180">
        <v>7315741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366</v>
      </c>
      <c r="B117" s="30" t="s">
        <v>367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368</v>
      </c>
      <c r="C119" s="197">
        <f>IF(+C121=0,0,(+C120)/(+C121))</f>
        <v>12.229772449917874</v>
      </c>
      <c r="D119" s="197">
        <f>IF(+D121=0,0,(+D120)/(+D121))</f>
        <v>12.124181447567036</v>
      </c>
      <c r="E119" s="197">
        <f>IF(+E121=0,0,(+E120)/(+E121))</f>
        <v>12.591156464976326</v>
      </c>
    </row>
    <row r="120" spans="1:8" ht="24" customHeight="1" x14ac:dyDescent="0.25">
      <c r="A120" s="17">
        <v>21</v>
      </c>
      <c r="B120" s="48" t="s">
        <v>369</v>
      </c>
      <c r="C120" s="180">
        <v>60489384</v>
      </c>
      <c r="D120" s="180">
        <v>65927031</v>
      </c>
      <c r="E120" s="180">
        <v>71638392</v>
      </c>
      <c r="F120" s="28"/>
    </row>
    <row r="121" spans="1:8" ht="24" customHeight="1" x14ac:dyDescent="0.25">
      <c r="A121" s="17">
        <v>22</v>
      </c>
      <c r="B121" s="48" t="s">
        <v>365</v>
      </c>
      <c r="C121" s="180">
        <v>4946076</v>
      </c>
      <c r="D121" s="180">
        <v>5437648</v>
      </c>
      <c r="E121" s="180">
        <v>5689580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370</v>
      </c>
      <c r="B123" s="30" t="s">
        <v>371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372</v>
      </c>
      <c r="C124" s="198">
        <v>9874</v>
      </c>
      <c r="D124" s="198">
        <v>9382</v>
      </c>
      <c r="E124" s="198">
        <v>9347</v>
      </c>
    </row>
    <row r="125" spans="1:8" ht="24" customHeight="1" x14ac:dyDescent="0.2">
      <c r="A125" s="44">
        <v>2</v>
      </c>
      <c r="B125" s="48" t="s">
        <v>373</v>
      </c>
      <c r="C125" s="198">
        <v>2774</v>
      </c>
      <c r="D125" s="198">
        <v>2512</v>
      </c>
      <c r="E125" s="198">
        <v>2516</v>
      </c>
    </row>
    <row r="126" spans="1:8" ht="24" customHeight="1" x14ac:dyDescent="0.2">
      <c r="A126" s="44">
        <v>3</v>
      </c>
      <c r="B126" s="48" t="s">
        <v>374</v>
      </c>
      <c r="C126" s="199">
        <f>IF(C125=0,0,C124/C125)</f>
        <v>3.5594808940158615</v>
      </c>
      <c r="D126" s="199">
        <f>IF(D125=0,0,D124/D125)</f>
        <v>3.7348726114649682</v>
      </c>
      <c r="E126" s="199">
        <f>IF(E125=0,0,E124/E125)</f>
        <v>3.7150238473767887</v>
      </c>
    </row>
    <row r="127" spans="1:8" ht="24" customHeight="1" x14ac:dyDescent="0.2">
      <c r="A127" s="44">
        <v>4</v>
      </c>
      <c r="B127" s="48" t="s">
        <v>375</v>
      </c>
      <c r="C127" s="198">
        <v>32</v>
      </c>
      <c r="D127" s="198">
        <v>30</v>
      </c>
      <c r="E127" s="198">
        <v>29</v>
      </c>
    </row>
    <row r="128" spans="1:8" ht="24" customHeight="1" x14ac:dyDescent="0.2">
      <c r="A128" s="44">
        <v>5</v>
      </c>
      <c r="B128" s="48" t="s">
        <v>376</v>
      </c>
      <c r="C128" s="198">
        <v>0</v>
      </c>
      <c r="D128" s="198">
        <v>95</v>
      </c>
      <c r="E128" s="198">
        <v>95</v>
      </c>
      <c r="G128" s="6"/>
      <c r="H128" s="12"/>
    </row>
    <row r="129" spans="1:8" ht="24" customHeight="1" x14ac:dyDescent="0.2">
      <c r="A129" s="44">
        <v>6</v>
      </c>
      <c r="B129" s="48" t="s">
        <v>377</v>
      </c>
      <c r="C129" s="198">
        <v>95</v>
      </c>
      <c r="D129" s="198">
        <v>95</v>
      </c>
      <c r="E129" s="198">
        <v>95</v>
      </c>
      <c r="G129" s="6"/>
      <c r="H129" s="12"/>
    </row>
    <row r="130" spans="1:8" ht="24" customHeight="1" x14ac:dyDescent="0.2">
      <c r="A130" s="44">
        <v>6</v>
      </c>
      <c r="B130" s="48" t="s">
        <v>378</v>
      </c>
      <c r="C130" s="171">
        <v>0.84530000000000005</v>
      </c>
      <c r="D130" s="171">
        <v>0.85680000000000001</v>
      </c>
      <c r="E130" s="171">
        <v>0.88300000000000001</v>
      </c>
    </row>
    <row r="131" spans="1:8" ht="24" customHeight="1" x14ac:dyDescent="0.2">
      <c r="A131" s="44">
        <v>7</v>
      </c>
      <c r="B131" s="48" t="s">
        <v>379</v>
      </c>
      <c r="C131" s="171">
        <v>0.28470000000000001</v>
      </c>
      <c r="D131" s="171">
        <v>0.27050000000000002</v>
      </c>
      <c r="E131" s="171">
        <v>0.26950000000000002</v>
      </c>
    </row>
    <row r="132" spans="1:8" ht="24" customHeight="1" x14ac:dyDescent="0.2">
      <c r="A132" s="44">
        <v>8</v>
      </c>
      <c r="B132" s="48" t="s">
        <v>380</v>
      </c>
      <c r="C132" s="199">
        <v>488.8</v>
      </c>
      <c r="D132" s="199">
        <v>475.5</v>
      </c>
      <c r="E132" s="199">
        <v>461.6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381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382</v>
      </c>
      <c r="C135" s="203">
        <f>IF(C149=0,0,C143/C149)</f>
        <v>0.47912292881357532</v>
      </c>
      <c r="D135" s="203">
        <f>IF(D149=0,0,D143/D149)</f>
        <v>0.46161746020971339</v>
      </c>
      <c r="E135" s="203">
        <f>IF(E149=0,0,E143/E149)</f>
        <v>0.46421683569916439</v>
      </c>
      <c r="G135" s="6"/>
    </row>
    <row r="136" spans="1:8" ht="20.100000000000001" customHeight="1" x14ac:dyDescent="0.2">
      <c r="A136" s="202">
        <v>2</v>
      </c>
      <c r="B136" s="195" t="s">
        <v>383</v>
      </c>
      <c r="C136" s="203">
        <f>IF(C149=0,0,C144/C149)</f>
        <v>0.45229980709582585</v>
      </c>
      <c r="D136" s="203">
        <f>IF(D149=0,0,D144/D149)</f>
        <v>0.44668758331504443</v>
      </c>
      <c r="E136" s="203">
        <f>IF(E149=0,0,E144/E149)</f>
        <v>0.42901377278931413</v>
      </c>
    </row>
    <row r="137" spans="1:8" ht="20.100000000000001" customHeight="1" x14ac:dyDescent="0.2">
      <c r="A137" s="202">
        <v>3</v>
      </c>
      <c r="B137" s="195" t="s">
        <v>384</v>
      </c>
      <c r="C137" s="203">
        <f>IF(C149=0,0,C145/C149)</f>
        <v>4.0857510788769105E-2</v>
      </c>
      <c r="D137" s="203">
        <f>IF(D149=0,0,D145/D149)</f>
        <v>6.1958291359139328E-2</v>
      </c>
      <c r="E137" s="203">
        <f>IF(E149=0,0,E145/E149)</f>
        <v>8.1338143367606114E-2</v>
      </c>
      <c r="G137" s="6"/>
    </row>
    <row r="138" spans="1:8" ht="20.100000000000001" customHeight="1" x14ac:dyDescent="0.2">
      <c r="A138" s="202">
        <v>4</v>
      </c>
      <c r="B138" s="195" t="s">
        <v>385</v>
      </c>
      <c r="C138" s="203">
        <f>IF(C149=0,0,C146/C149)</f>
        <v>6.5767524451190214E-3</v>
      </c>
      <c r="D138" s="203">
        <f>IF(D149=0,0,D146/D149)</f>
        <v>7.1939638783863752E-3</v>
      </c>
      <c r="E138" s="203">
        <f>IF(E149=0,0,E146/E149)</f>
        <v>3.6974681303585349E-3</v>
      </c>
      <c r="G138" s="6"/>
    </row>
    <row r="139" spans="1:8" ht="20.100000000000001" customHeight="1" x14ac:dyDescent="0.2">
      <c r="A139" s="202">
        <v>5</v>
      </c>
      <c r="B139" s="195" t="s">
        <v>386</v>
      </c>
      <c r="C139" s="203">
        <f>IF(C149=0,0,C147/C149)</f>
        <v>1.9937750493099499E-2</v>
      </c>
      <c r="D139" s="203">
        <f>IF(D149=0,0,D147/D149)</f>
        <v>2.0860525462077052E-2</v>
      </c>
      <c r="E139" s="203">
        <f>IF(E149=0,0,E147/E149)</f>
        <v>1.9708930711776766E-2</v>
      </c>
    </row>
    <row r="140" spans="1:8" ht="20.100000000000001" customHeight="1" x14ac:dyDescent="0.2">
      <c r="A140" s="202">
        <v>6</v>
      </c>
      <c r="B140" s="195" t="s">
        <v>387</v>
      </c>
      <c r="C140" s="203">
        <f>IF(C149=0,0,C148/C149)</f>
        <v>1.2052503636112244E-3</v>
      </c>
      <c r="D140" s="203">
        <f>IF(D149=0,0,D148/D149)</f>
        <v>1.6821757756393786E-3</v>
      </c>
      <c r="E140" s="203">
        <f>IF(E149=0,0,E148/E149)</f>
        <v>2.0248493017800935E-3</v>
      </c>
    </row>
    <row r="141" spans="1:8" ht="20.100000000000001" customHeight="1" x14ac:dyDescent="0.2">
      <c r="A141" s="202">
        <v>7</v>
      </c>
      <c r="B141" s="195" t="s">
        <v>388</v>
      </c>
      <c r="C141" s="203">
        <f>SUM(C135:C140)</f>
        <v>1</v>
      </c>
      <c r="D141" s="203">
        <f>SUM(D135:D140)</f>
        <v>0.99999999999999989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389</v>
      </c>
      <c r="C143" s="204">
        <f>+C46-C147</f>
        <v>110596764</v>
      </c>
      <c r="D143" s="205">
        <f>+D46-D147</f>
        <v>110847139</v>
      </c>
      <c r="E143" s="205">
        <f>+E46-E147</f>
        <v>110709168</v>
      </c>
    </row>
    <row r="144" spans="1:8" ht="20.100000000000001" customHeight="1" x14ac:dyDescent="0.2">
      <c r="A144" s="202">
        <v>9</v>
      </c>
      <c r="B144" s="201" t="s">
        <v>390</v>
      </c>
      <c r="C144" s="206">
        <f>+C51</f>
        <v>104405137</v>
      </c>
      <c r="D144" s="205">
        <f>+D51</f>
        <v>107262062</v>
      </c>
      <c r="E144" s="205">
        <f>+E51</f>
        <v>102313734</v>
      </c>
    </row>
    <row r="145" spans="1:7" ht="20.100000000000001" customHeight="1" x14ac:dyDescent="0.2">
      <c r="A145" s="202">
        <v>10</v>
      </c>
      <c r="B145" s="201" t="s">
        <v>391</v>
      </c>
      <c r="C145" s="206">
        <f>+C55</f>
        <v>9431209</v>
      </c>
      <c r="D145" s="205">
        <f>+D55</f>
        <v>14877902</v>
      </c>
      <c r="E145" s="205">
        <f>+E55</f>
        <v>19398000</v>
      </c>
    </row>
    <row r="146" spans="1:7" ht="20.100000000000001" customHeight="1" x14ac:dyDescent="0.2">
      <c r="A146" s="202">
        <v>11</v>
      </c>
      <c r="B146" s="201" t="s">
        <v>392</v>
      </c>
      <c r="C146" s="204">
        <v>1518123</v>
      </c>
      <c r="D146" s="205">
        <v>1727470</v>
      </c>
      <c r="E146" s="205">
        <v>881794</v>
      </c>
    </row>
    <row r="147" spans="1:7" ht="20.100000000000001" customHeight="1" x14ac:dyDescent="0.2">
      <c r="A147" s="202">
        <v>12</v>
      </c>
      <c r="B147" s="201" t="s">
        <v>393</v>
      </c>
      <c r="C147" s="206">
        <f>+C47</f>
        <v>4602265</v>
      </c>
      <c r="D147" s="205">
        <f>+D47</f>
        <v>5009190</v>
      </c>
      <c r="E147" s="205">
        <f>+E47</f>
        <v>4700302</v>
      </c>
    </row>
    <row r="148" spans="1:7" ht="20.100000000000001" customHeight="1" x14ac:dyDescent="0.2">
      <c r="A148" s="202">
        <v>13</v>
      </c>
      <c r="B148" s="201" t="s">
        <v>394</v>
      </c>
      <c r="C148" s="206">
        <v>278210</v>
      </c>
      <c r="D148" s="205">
        <v>403937</v>
      </c>
      <c r="E148" s="205">
        <v>482898</v>
      </c>
    </row>
    <row r="149" spans="1:7" ht="20.100000000000001" customHeight="1" x14ac:dyDescent="0.2">
      <c r="A149" s="202">
        <v>14</v>
      </c>
      <c r="B149" s="201" t="s">
        <v>395</v>
      </c>
      <c r="C149" s="204">
        <f>SUM(C143:C148)</f>
        <v>230831708</v>
      </c>
      <c r="D149" s="205">
        <f>SUM(D143:D148)</f>
        <v>240127700</v>
      </c>
      <c r="E149" s="205">
        <f>SUM(E143:E148)</f>
        <v>238485896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396</v>
      </c>
      <c r="B151" s="30" t="s">
        <v>397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398</v>
      </c>
      <c r="C152" s="203">
        <f>IF(C166=0,0,C160/C166)</f>
        <v>0.64584356004704335</v>
      </c>
      <c r="D152" s="203">
        <f>IF(D166=0,0,D160/D166)</f>
        <v>0.63957391125789087</v>
      </c>
      <c r="E152" s="203">
        <f>IF(E166=0,0,E160/E166)</f>
        <v>0.63252624284096604</v>
      </c>
    </row>
    <row r="153" spans="1:7" ht="20.100000000000001" customHeight="1" x14ac:dyDescent="0.2">
      <c r="A153" s="202">
        <v>2</v>
      </c>
      <c r="B153" s="195" t="s">
        <v>399</v>
      </c>
      <c r="C153" s="203">
        <f>IF(C166=0,0,C161/C166)</f>
        <v>0.31391942469918654</v>
      </c>
      <c r="D153" s="203">
        <f>IF(D166=0,0,D161/D166)</f>
        <v>0.30407469055936137</v>
      </c>
      <c r="E153" s="203">
        <f>IF(E166=0,0,E161/E166)</f>
        <v>0.29578930509962498</v>
      </c>
    </row>
    <row r="154" spans="1:7" ht="20.100000000000001" customHeight="1" x14ac:dyDescent="0.2">
      <c r="A154" s="202">
        <v>3</v>
      </c>
      <c r="B154" s="195" t="s">
        <v>400</v>
      </c>
      <c r="C154" s="203">
        <f>IF(C166=0,0,C162/C166)</f>
        <v>3.187504944476232E-2</v>
      </c>
      <c r="D154" s="203">
        <f>IF(D166=0,0,D162/D166)</f>
        <v>4.7477340243198544E-2</v>
      </c>
      <c r="E154" s="203">
        <f>IF(E166=0,0,E162/E166)</f>
        <v>6.2705764488031251E-2</v>
      </c>
    </row>
    <row r="155" spans="1:7" ht="20.100000000000001" customHeight="1" x14ac:dyDescent="0.2">
      <c r="A155" s="202">
        <v>4</v>
      </c>
      <c r="B155" s="195" t="s">
        <v>401</v>
      </c>
      <c r="C155" s="203">
        <f>IF(C166=0,0,C163/C166)</f>
        <v>4.542728102189357E-3</v>
      </c>
      <c r="D155" s="203">
        <f>IF(D166=0,0,D163/D166)</f>
        <v>4.5012382332538436E-3</v>
      </c>
      <c r="E155" s="203">
        <f>IF(E166=0,0,E163/E166)</f>
        <v>2.9179811094209055E-3</v>
      </c>
      <c r="G155" s="6"/>
    </row>
    <row r="156" spans="1:7" ht="20.100000000000001" customHeight="1" x14ac:dyDescent="0.2">
      <c r="A156" s="202">
        <v>5</v>
      </c>
      <c r="B156" s="195" t="s">
        <v>402</v>
      </c>
      <c r="C156" s="203">
        <f>IF(C166=0,0,C164/C166)</f>
        <v>2.9107199589418591E-3</v>
      </c>
      <c r="D156" s="203">
        <f>IF(D166=0,0,D164/D166)</f>
        <v>3.2306679399081782E-3</v>
      </c>
      <c r="E156" s="203">
        <f>IF(E166=0,0,E164/E166)</f>
        <v>4.7854151384288061E-3</v>
      </c>
    </row>
    <row r="157" spans="1:7" ht="20.100000000000001" customHeight="1" x14ac:dyDescent="0.2">
      <c r="A157" s="202">
        <v>6</v>
      </c>
      <c r="B157" s="195" t="s">
        <v>403</v>
      </c>
      <c r="C157" s="203">
        <f>IF(C166=0,0,C165/C166)</f>
        <v>9.0851774787661021E-4</v>
      </c>
      <c r="D157" s="203">
        <f>IF(D166=0,0,D165/D166)</f>
        <v>1.1421517663872478E-3</v>
      </c>
      <c r="E157" s="203">
        <f>IF(E166=0,0,E165/E166)</f>
        <v>1.2752913235279915E-3</v>
      </c>
    </row>
    <row r="158" spans="1:7" ht="20.100000000000001" customHeight="1" x14ac:dyDescent="0.2">
      <c r="A158" s="202">
        <v>7</v>
      </c>
      <c r="B158" s="195" t="s">
        <v>404</v>
      </c>
      <c r="C158" s="203">
        <f>SUM(C152:C157)</f>
        <v>1</v>
      </c>
      <c r="D158" s="203">
        <f>SUM(D152:D157)</f>
        <v>1.0000000000000002</v>
      </c>
      <c r="E158" s="203">
        <f>SUM(E152:E157)</f>
        <v>0.99999999999999989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405</v>
      </c>
      <c r="C160" s="207">
        <f>+C44-C164</f>
        <v>55611127</v>
      </c>
      <c r="D160" s="208">
        <f>+D44-D164</f>
        <v>54350959</v>
      </c>
      <c r="E160" s="208">
        <f>+E44-E164</f>
        <v>55477983</v>
      </c>
    </row>
    <row r="161" spans="1:6" ht="20.100000000000001" customHeight="1" x14ac:dyDescent="0.2">
      <c r="A161" s="202">
        <v>9</v>
      </c>
      <c r="B161" s="201" t="s">
        <v>406</v>
      </c>
      <c r="C161" s="209">
        <f>+C50</f>
        <v>27030405</v>
      </c>
      <c r="D161" s="208">
        <f>+D50</f>
        <v>25840252</v>
      </c>
      <c r="E161" s="208">
        <f>+E50</f>
        <v>25943262</v>
      </c>
    </row>
    <row r="162" spans="1:6" ht="20.100000000000001" customHeight="1" x14ac:dyDescent="0.2">
      <c r="A162" s="202">
        <v>10</v>
      </c>
      <c r="B162" s="201" t="s">
        <v>407</v>
      </c>
      <c r="C162" s="209">
        <f>+C54</f>
        <v>2744639</v>
      </c>
      <c r="D162" s="208">
        <f>+D54</f>
        <v>4034622</v>
      </c>
      <c r="E162" s="208">
        <f>+E54</f>
        <v>5499834</v>
      </c>
    </row>
    <row r="163" spans="1:6" ht="20.100000000000001" customHeight="1" x14ac:dyDescent="0.2">
      <c r="A163" s="202">
        <v>11</v>
      </c>
      <c r="B163" s="201" t="s">
        <v>408</v>
      </c>
      <c r="C163" s="207">
        <v>391157</v>
      </c>
      <c r="D163" s="208">
        <v>382515</v>
      </c>
      <c r="E163" s="208">
        <v>255932</v>
      </c>
    </row>
    <row r="164" spans="1:6" ht="20.100000000000001" customHeight="1" x14ac:dyDescent="0.2">
      <c r="A164" s="202">
        <v>12</v>
      </c>
      <c r="B164" s="201" t="s">
        <v>409</v>
      </c>
      <c r="C164" s="209">
        <f>+C45</f>
        <v>250631</v>
      </c>
      <c r="D164" s="208">
        <f>+D45</f>
        <v>274542</v>
      </c>
      <c r="E164" s="208">
        <f>+E45</f>
        <v>419722</v>
      </c>
    </row>
    <row r="165" spans="1:6" ht="20.100000000000001" customHeight="1" x14ac:dyDescent="0.2">
      <c r="A165" s="202">
        <v>13</v>
      </c>
      <c r="B165" s="201" t="s">
        <v>410</v>
      </c>
      <c r="C165" s="209">
        <v>78229</v>
      </c>
      <c r="D165" s="208">
        <v>97060</v>
      </c>
      <c r="E165" s="208">
        <v>111854</v>
      </c>
    </row>
    <row r="166" spans="1:6" ht="20.100000000000001" customHeight="1" x14ac:dyDescent="0.2">
      <c r="A166" s="202">
        <v>14</v>
      </c>
      <c r="B166" s="201" t="s">
        <v>411</v>
      </c>
      <c r="C166" s="207">
        <f>SUM(C160:C165)</f>
        <v>86106188</v>
      </c>
      <c r="D166" s="208">
        <f>SUM(D160:D165)</f>
        <v>84979950</v>
      </c>
      <c r="E166" s="208">
        <f>SUM(E160:E165)</f>
        <v>87708587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412</v>
      </c>
      <c r="B168" s="30" t="s">
        <v>373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413</v>
      </c>
      <c r="C169" s="198">
        <v>1285</v>
      </c>
      <c r="D169" s="198">
        <v>1057</v>
      </c>
      <c r="E169" s="198">
        <v>1068</v>
      </c>
    </row>
    <row r="170" spans="1:6" ht="20.100000000000001" customHeight="1" x14ac:dyDescent="0.2">
      <c r="A170" s="202">
        <v>2</v>
      </c>
      <c r="B170" s="201" t="s">
        <v>414</v>
      </c>
      <c r="C170" s="198">
        <v>1248</v>
      </c>
      <c r="D170" s="198">
        <v>1167</v>
      </c>
      <c r="E170" s="198">
        <v>1199</v>
      </c>
    </row>
    <row r="171" spans="1:6" ht="20.100000000000001" customHeight="1" x14ac:dyDescent="0.2">
      <c r="A171" s="202">
        <v>3</v>
      </c>
      <c r="B171" s="201" t="s">
        <v>415</v>
      </c>
      <c r="C171" s="198">
        <v>235</v>
      </c>
      <c r="D171" s="198">
        <v>283</v>
      </c>
      <c r="E171" s="198">
        <v>242</v>
      </c>
    </row>
    <row r="172" spans="1:6" ht="20.100000000000001" customHeight="1" x14ac:dyDescent="0.2">
      <c r="A172" s="202">
        <v>4</v>
      </c>
      <c r="B172" s="201" t="s">
        <v>416</v>
      </c>
      <c r="C172" s="198">
        <v>208</v>
      </c>
      <c r="D172" s="198">
        <v>252</v>
      </c>
      <c r="E172" s="198">
        <v>236</v>
      </c>
    </row>
    <row r="173" spans="1:6" ht="20.100000000000001" customHeight="1" x14ac:dyDescent="0.2">
      <c r="A173" s="202">
        <v>5</v>
      </c>
      <c r="B173" s="201" t="s">
        <v>417</v>
      </c>
      <c r="C173" s="198">
        <v>27</v>
      </c>
      <c r="D173" s="198">
        <v>31</v>
      </c>
      <c r="E173" s="198">
        <v>6</v>
      </c>
    </row>
    <row r="174" spans="1:6" ht="20.100000000000001" customHeight="1" x14ac:dyDescent="0.2">
      <c r="A174" s="202">
        <v>6</v>
      </c>
      <c r="B174" s="201" t="s">
        <v>418</v>
      </c>
      <c r="C174" s="198">
        <v>6</v>
      </c>
      <c r="D174" s="198">
        <v>5</v>
      </c>
      <c r="E174" s="198">
        <v>7</v>
      </c>
    </row>
    <row r="175" spans="1:6" ht="20.100000000000001" customHeight="1" x14ac:dyDescent="0.2">
      <c r="A175" s="202">
        <v>7</v>
      </c>
      <c r="B175" s="201" t="s">
        <v>419</v>
      </c>
      <c r="C175" s="198">
        <v>60</v>
      </c>
      <c r="D175" s="198">
        <v>51</v>
      </c>
      <c r="E175" s="198">
        <v>55</v>
      </c>
    </row>
    <row r="176" spans="1:6" ht="20.100000000000001" customHeight="1" x14ac:dyDescent="0.2">
      <c r="A176" s="202">
        <v>8</v>
      </c>
      <c r="B176" s="201" t="s">
        <v>420</v>
      </c>
      <c r="C176" s="198">
        <f>+C169+C170+C171+C174</f>
        <v>2774</v>
      </c>
      <c r="D176" s="198">
        <f>+D169+D170+D171+D174</f>
        <v>2512</v>
      </c>
      <c r="E176" s="198">
        <f>+E169+E170+E171+E174</f>
        <v>2516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421</v>
      </c>
      <c r="B178" s="30" t="s">
        <v>422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413</v>
      </c>
      <c r="C179" s="210">
        <v>1.1383000000000001</v>
      </c>
      <c r="D179" s="210">
        <v>1.161</v>
      </c>
      <c r="E179" s="210">
        <v>1.129</v>
      </c>
    </row>
    <row r="180" spans="1:6" ht="20.100000000000001" customHeight="1" x14ac:dyDescent="0.2">
      <c r="A180" s="202">
        <v>2</v>
      </c>
      <c r="B180" s="201" t="s">
        <v>414</v>
      </c>
      <c r="C180" s="210">
        <v>1.5633999999999999</v>
      </c>
      <c r="D180" s="210">
        <v>1.5347999999999999</v>
      </c>
      <c r="E180" s="210">
        <v>1.3738999999999999</v>
      </c>
    </row>
    <row r="181" spans="1:6" ht="20.100000000000001" customHeight="1" x14ac:dyDescent="0.2">
      <c r="A181" s="202">
        <v>3</v>
      </c>
      <c r="B181" s="201" t="s">
        <v>415</v>
      </c>
      <c r="C181" s="210">
        <v>0.78167699999999996</v>
      </c>
      <c r="D181" s="210">
        <v>0.90699799999999997</v>
      </c>
      <c r="E181" s="210">
        <v>0.879166</v>
      </c>
    </row>
    <row r="182" spans="1:6" ht="20.100000000000001" customHeight="1" x14ac:dyDescent="0.2">
      <c r="A182" s="202">
        <v>4</v>
      </c>
      <c r="B182" s="201" t="s">
        <v>416</v>
      </c>
      <c r="C182" s="210">
        <v>0.753</v>
      </c>
      <c r="D182" s="210">
        <v>0.82089999999999996</v>
      </c>
      <c r="E182" s="210">
        <v>0.8649</v>
      </c>
    </row>
    <row r="183" spans="1:6" ht="20.100000000000001" customHeight="1" x14ac:dyDescent="0.2">
      <c r="A183" s="202">
        <v>5</v>
      </c>
      <c r="B183" s="201" t="s">
        <v>417</v>
      </c>
      <c r="C183" s="210">
        <v>1.0025999999999999</v>
      </c>
      <c r="D183" s="210">
        <v>1.6069</v>
      </c>
      <c r="E183" s="210">
        <v>1.4402999999999999</v>
      </c>
    </row>
    <row r="184" spans="1:6" ht="20.100000000000001" customHeight="1" x14ac:dyDescent="0.2">
      <c r="A184" s="202">
        <v>6</v>
      </c>
      <c r="B184" s="201" t="s">
        <v>418</v>
      </c>
      <c r="C184" s="210">
        <v>0.62829999999999997</v>
      </c>
      <c r="D184" s="210">
        <v>0.874</v>
      </c>
      <c r="E184" s="210">
        <v>1.1586000000000001</v>
      </c>
    </row>
    <row r="185" spans="1:6" ht="20.100000000000001" customHeight="1" x14ac:dyDescent="0.2">
      <c r="A185" s="202">
        <v>7</v>
      </c>
      <c r="B185" s="201" t="s">
        <v>419</v>
      </c>
      <c r="C185" s="210">
        <v>1.0884</v>
      </c>
      <c r="D185" s="210">
        <v>1.0268999999999999</v>
      </c>
      <c r="E185" s="210">
        <v>8.77E-3</v>
      </c>
    </row>
    <row r="186" spans="1:6" ht="20.100000000000001" customHeight="1" x14ac:dyDescent="0.2">
      <c r="A186" s="202">
        <v>8</v>
      </c>
      <c r="B186" s="201" t="s">
        <v>423</v>
      </c>
      <c r="C186" s="210">
        <v>1.2982340000000001</v>
      </c>
      <c r="D186" s="210">
        <v>1.305469</v>
      </c>
      <c r="E186" s="210">
        <v>1.221759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424</v>
      </c>
      <c r="B188" s="30" t="s">
        <v>425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426</v>
      </c>
      <c r="C189" s="198">
        <v>1957</v>
      </c>
      <c r="D189" s="198">
        <v>1901</v>
      </c>
      <c r="E189" s="198">
        <v>2042</v>
      </c>
    </row>
    <row r="190" spans="1:6" ht="20.100000000000001" customHeight="1" x14ac:dyDescent="0.2">
      <c r="A190" s="202">
        <v>2</v>
      </c>
      <c r="B190" s="201" t="s">
        <v>427</v>
      </c>
      <c r="C190" s="198">
        <v>17189</v>
      </c>
      <c r="D190" s="198">
        <v>16972</v>
      </c>
      <c r="E190" s="198">
        <v>16738</v>
      </c>
    </row>
    <row r="191" spans="1:6" ht="20.100000000000001" customHeight="1" x14ac:dyDescent="0.2">
      <c r="A191" s="202">
        <v>3</v>
      </c>
      <c r="B191" s="201" t="s">
        <v>428</v>
      </c>
      <c r="C191" s="198">
        <f>+C190+C189</f>
        <v>19146</v>
      </c>
      <c r="D191" s="198">
        <f>+D190+D189</f>
        <v>18873</v>
      </c>
      <c r="E191" s="198">
        <f>+E190+E189</f>
        <v>18780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FILING&amp;RNEW MILFORD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5" width="22.28515625" style="211" customWidth="1"/>
    <col min="6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429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25"/>
      <c r="B9" s="226"/>
      <c r="C9" s="691"/>
      <c r="D9" s="692"/>
      <c r="E9" s="692"/>
      <c r="F9" s="693"/>
      <c r="G9" s="212"/>
    </row>
    <row r="10" spans="1:7" ht="20.25" customHeight="1" x14ac:dyDescent="0.3">
      <c r="A10" s="694" t="s">
        <v>12</v>
      </c>
      <c r="B10" s="674" t="s">
        <v>113</v>
      </c>
      <c r="C10" s="676"/>
      <c r="D10" s="677"/>
      <c r="E10" s="677"/>
      <c r="F10" s="678"/>
    </row>
    <row r="11" spans="1:7" ht="20.25" customHeight="1" x14ac:dyDescent="0.3">
      <c r="A11" s="683"/>
      <c r="B11" s="675"/>
      <c r="C11" s="679"/>
      <c r="D11" s="680"/>
      <c r="E11" s="680"/>
      <c r="F11" s="681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433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68216</v>
      </c>
      <c r="D14" s="237">
        <v>209501</v>
      </c>
      <c r="E14" s="237">
        <f t="shared" ref="E14:E24" si="0">D14-C14</f>
        <v>141285</v>
      </c>
      <c r="F14" s="238">
        <f t="shared" ref="F14:F24" si="1">IF(C14=0,0,E14/C14)</f>
        <v>2.0711416676439547</v>
      </c>
    </row>
    <row r="15" spans="1:7" ht="20.25" customHeight="1" x14ac:dyDescent="0.3">
      <c r="A15" s="235">
        <v>2</v>
      </c>
      <c r="B15" s="236" t="s">
        <v>435</v>
      </c>
      <c r="C15" s="237">
        <v>21027</v>
      </c>
      <c r="D15" s="237">
        <v>62295</v>
      </c>
      <c r="E15" s="237">
        <f t="shared" si="0"/>
        <v>41268</v>
      </c>
      <c r="F15" s="238">
        <f t="shared" si="1"/>
        <v>1.9626194892281352</v>
      </c>
    </row>
    <row r="16" spans="1:7" ht="20.25" customHeight="1" x14ac:dyDescent="0.3">
      <c r="A16" s="235">
        <v>3</v>
      </c>
      <c r="B16" s="236" t="s">
        <v>436</v>
      </c>
      <c r="C16" s="237">
        <v>119130</v>
      </c>
      <c r="D16" s="237">
        <v>237464</v>
      </c>
      <c r="E16" s="237">
        <f t="shared" si="0"/>
        <v>118334</v>
      </c>
      <c r="F16" s="238">
        <f t="shared" si="1"/>
        <v>0.99331822378913792</v>
      </c>
    </row>
    <row r="17" spans="1:6" ht="20.25" customHeight="1" x14ac:dyDescent="0.3">
      <c r="A17" s="235">
        <v>4</v>
      </c>
      <c r="B17" s="236" t="s">
        <v>437</v>
      </c>
      <c r="C17" s="237">
        <v>32069</v>
      </c>
      <c r="D17" s="237">
        <v>56349</v>
      </c>
      <c r="E17" s="237">
        <f t="shared" si="0"/>
        <v>24280</v>
      </c>
      <c r="F17" s="238">
        <f t="shared" si="1"/>
        <v>0.75711746546509084</v>
      </c>
    </row>
    <row r="18" spans="1:6" ht="20.25" customHeight="1" x14ac:dyDescent="0.3">
      <c r="A18" s="235">
        <v>5</v>
      </c>
      <c r="B18" s="236" t="s">
        <v>373</v>
      </c>
      <c r="C18" s="239">
        <v>2</v>
      </c>
      <c r="D18" s="239">
        <v>6</v>
      </c>
      <c r="E18" s="239">
        <f t="shared" si="0"/>
        <v>4</v>
      </c>
      <c r="F18" s="238">
        <f t="shared" si="1"/>
        <v>2</v>
      </c>
    </row>
    <row r="19" spans="1:6" ht="20.25" customHeight="1" x14ac:dyDescent="0.3">
      <c r="A19" s="235">
        <v>6</v>
      </c>
      <c r="B19" s="236" t="s">
        <v>372</v>
      </c>
      <c r="C19" s="239">
        <v>4</v>
      </c>
      <c r="D19" s="239">
        <v>27</v>
      </c>
      <c r="E19" s="239">
        <f t="shared" si="0"/>
        <v>23</v>
      </c>
      <c r="F19" s="238">
        <f t="shared" si="1"/>
        <v>5.75</v>
      </c>
    </row>
    <row r="20" spans="1:6" ht="20.25" customHeight="1" x14ac:dyDescent="0.3">
      <c r="A20" s="235">
        <v>7</v>
      </c>
      <c r="B20" s="236" t="s">
        <v>438</v>
      </c>
      <c r="C20" s="239">
        <v>47</v>
      </c>
      <c r="D20" s="239">
        <v>71</v>
      </c>
      <c r="E20" s="239">
        <f t="shared" si="0"/>
        <v>24</v>
      </c>
      <c r="F20" s="238">
        <f t="shared" si="1"/>
        <v>0.51063829787234039</v>
      </c>
    </row>
    <row r="21" spans="1:6" ht="20.25" customHeight="1" x14ac:dyDescent="0.3">
      <c r="A21" s="235">
        <v>8</v>
      </c>
      <c r="B21" s="236" t="s">
        <v>439</v>
      </c>
      <c r="C21" s="239">
        <v>13</v>
      </c>
      <c r="D21" s="239">
        <v>16</v>
      </c>
      <c r="E21" s="239">
        <f t="shared" si="0"/>
        <v>3</v>
      </c>
      <c r="F21" s="238">
        <f t="shared" si="1"/>
        <v>0.23076923076923078</v>
      </c>
    </row>
    <row r="22" spans="1:6" ht="20.25" customHeight="1" x14ac:dyDescent="0.3">
      <c r="A22" s="235">
        <v>9</v>
      </c>
      <c r="B22" s="236" t="s">
        <v>440</v>
      </c>
      <c r="C22" s="239">
        <v>1</v>
      </c>
      <c r="D22" s="239">
        <v>6</v>
      </c>
      <c r="E22" s="239">
        <f t="shared" si="0"/>
        <v>5</v>
      </c>
      <c r="F22" s="238">
        <f t="shared" si="1"/>
        <v>5</v>
      </c>
    </row>
    <row r="23" spans="1:6" s="240" customFormat="1" ht="20.25" customHeight="1" x14ac:dyDescent="0.3">
      <c r="A23" s="241"/>
      <c r="B23" s="242" t="s">
        <v>441</v>
      </c>
      <c r="C23" s="243">
        <f>+C14+C16</f>
        <v>187346</v>
      </c>
      <c r="D23" s="243">
        <f>+D14+D16</f>
        <v>446965</v>
      </c>
      <c r="E23" s="243">
        <f t="shared" si="0"/>
        <v>259619</v>
      </c>
      <c r="F23" s="244">
        <f t="shared" si="1"/>
        <v>1.3857728480992388</v>
      </c>
    </row>
    <row r="24" spans="1:6" s="240" customFormat="1" ht="20.25" customHeight="1" x14ac:dyDescent="0.3">
      <c r="A24" s="241"/>
      <c r="B24" s="242" t="s">
        <v>442</v>
      </c>
      <c r="C24" s="243">
        <f>+C15+C17</f>
        <v>53096</v>
      </c>
      <c r="D24" s="243">
        <f>+D15+D17</f>
        <v>118644</v>
      </c>
      <c r="E24" s="243">
        <f t="shared" si="0"/>
        <v>65548</v>
      </c>
      <c r="F24" s="244">
        <f t="shared" si="1"/>
        <v>1.234518607804731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443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434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435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436</v>
      </c>
      <c r="C29" s="237">
        <v>144</v>
      </c>
      <c r="D29" s="237">
        <v>0</v>
      </c>
      <c r="E29" s="237">
        <f t="shared" si="2"/>
        <v>-144</v>
      </c>
      <c r="F29" s="238">
        <f t="shared" si="3"/>
        <v>-1</v>
      </c>
    </row>
    <row r="30" spans="1:6" ht="20.25" customHeight="1" x14ac:dyDescent="0.3">
      <c r="A30" s="235">
        <v>4</v>
      </c>
      <c r="B30" s="236" t="s">
        <v>437</v>
      </c>
      <c r="C30" s="237">
        <v>39</v>
      </c>
      <c r="D30" s="237">
        <v>0</v>
      </c>
      <c r="E30" s="237">
        <f t="shared" si="2"/>
        <v>-39</v>
      </c>
      <c r="F30" s="238">
        <f t="shared" si="3"/>
        <v>-1</v>
      </c>
    </row>
    <row r="31" spans="1:6" ht="20.25" customHeight="1" x14ac:dyDescent="0.3">
      <c r="A31" s="235">
        <v>5</v>
      </c>
      <c r="B31" s="236" t="s">
        <v>373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372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438</v>
      </c>
      <c r="C33" s="239">
        <v>1</v>
      </c>
      <c r="D33" s="239">
        <v>0</v>
      </c>
      <c r="E33" s="239">
        <f t="shared" si="2"/>
        <v>-1</v>
      </c>
      <c r="F33" s="238">
        <f t="shared" si="3"/>
        <v>-1</v>
      </c>
    </row>
    <row r="34" spans="1:6" ht="20.25" customHeight="1" x14ac:dyDescent="0.3">
      <c r="A34" s="235">
        <v>8</v>
      </c>
      <c r="B34" s="236" t="s">
        <v>439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440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441</v>
      </c>
      <c r="C36" s="243">
        <f>+C27+C29</f>
        <v>144</v>
      </c>
      <c r="D36" s="243">
        <f>+D27+D29</f>
        <v>0</v>
      </c>
      <c r="E36" s="243">
        <f t="shared" si="2"/>
        <v>-144</v>
      </c>
      <c r="F36" s="244">
        <f t="shared" si="3"/>
        <v>-1</v>
      </c>
    </row>
    <row r="37" spans="1:6" s="240" customFormat="1" ht="20.25" customHeight="1" x14ac:dyDescent="0.3">
      <c r="A37" s="241"/>
      <c r="B37" s="242" t="s">
        <v>442</v>
      </c>
      <c r="C37" s="243">
        <f>+C28+C30</f>
        <v>39</v>
      </c>
      <c r="D37" s="243">
        <f>+D28+D30</f>
        <v>0</v>
      </c>
      <c r="E37" s="243">
        <f t="shared" si="2"/>
        <v>-39</v>
      </c>
      <c r="F37" s="244">
        <f t="shared" si="3"/>
        <v>-1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444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434</v>
      </c>
      <c r="C40" s="237">
        <v>485259</v>
      </c>
      <c r="D40" s="237">
        <v>448467</v>
      </c>
      <c r="E40" s="237">
        <f t="shared" ref="E40:E50" si="4">D40-C40</f>
        <v>-36792</v>
      </c>
      <c r="F40" s="238">
        <f t="shared" ref="F40:F50" si="5">IF(C40=0,0,E40/C40)</f>
        <v>-7.5819304742415911E-2</v>
      </c>
    </row>
    <row r="41" spans="1:6" ht="20.25" customHeight="1" x14ac:dyDescent="0.3">
      <c r="A41" s="235">
        <v>2</v>
      </c>
      <c r="B41" s="236" t="s">
        <v>435</v>
      </c>
      <c r="C41" s="237">
        <v>149573</v>
      </c>
      <c r="D41" s="237">
        <v>133352</v>
      </c>
      <c r="E41" s="237">
        <f t="shared" si="4"/>
        <v>-16221</v>
      </c>
      <c r="F41" s="238">
        <f t="shared" si="5"/>
        <v>-0.10844871734871936</v>
      </c>
    </row>
    <row r="42" spans="1:6" ht="20.25" customHeight="1" x14ac:dyDescent="0.3">
      <c r="A42" s="235">
        <v>3</v>
      </c>
      <c r="B42" s="236" t="s">
        <v>436</v>
      </c>
      <c r="C42" s="237">
        <v>1128905</v>
      </c>
      <c r="D42" s="237">
        <v>701885</v>
      </c>
      <c r="E42" s="237">
        <f t="shared" si="4"/>
        <v>-427020</v>
      </c>
      <c r="F42" s="238">
        <f t="shared" si="5"/>
        <v>-0.37826034963083693</v>
      </c>
    </row>
    <row r="43" spans="1:6" ht="20.25" customHeight="1" x14ac:dyDescent="0.3">
      <c r="A43" s="235">
        <v>4</v>
      </c>
      <c r="B43" s="236" t="s">
        <v>437</v>
      </c>
      <c r="C43" s="237">
        <v>303894</v>
      </c>
      <c r="D43" s="237">
        <v>166553</v>
      </c>
      <c r="E43" s="237">
        <f t="shared" si="4"/>
        <v>-137341</v>
      </c>
      <c r="F43" s="238">
        <f t="shared" si="5"/>
        <v>-0.45193718862498106</v>
      </c>
    </row>
    <row r="44" spans="1:6" ht="20.25" customHeight="1" x14ac:dyDescent="0.3">
      <c r="A44" s="235">
        <v>5</v>
      </c>
      <c r="B44" s="236" t="s">
        <v>373</v>
      </c>
      <c r="C44" s="239">
        <v>12</v>
      </c>
      <c r="D44" s="239">
        <v>11</v>
      </c>
      <c r="E44" s="239">
        <f t="shared" si="4"/>
        <v>-1</v>
      </c>
      <c r="F44" s="238">
        <f t="shared" si="5"/>
        <v>-8.3333333333333329E-2</v>
      </c>
    </row>
    <row r="45" spans="1:6" ht="20.25" customHeight="1" x14ac:dyDescent="0.3">
      <c r="A45" s="235">
        <v>6</v>
      </c>
      <c r="B45" s="236" t="s">
        <v>372</v>
      </c>
      <c r="C45" s="239">
        <v>59</v>
      </c>
      <c r="D45" s="239">
        <v>52</v>
      </c>
      <c r="E45" s="239">
        <f t="shared" si="4"/>
        <v>-7</v>
      </c>
      <c r="F45" s="238">
        <f t="shared" si="5"/>
        <v>-0.11864406779661017</v>
      </c>
    </row>
    <row r="46" spans="1:6" ht="20.25" customHeight="1" x14ac:dyDescent="0.3">
      <c r="A46" s="235">
        <v>7</v>
      </c>
      <c r="B46" s="236" t="s">
        <v>438</v>
      </c>
      <c r="C46" s="239">
        <v>474</v>
      </c>
      <c r="D46" s="239">
        <v>476</v>
      </c>
      <c r="E46" s="239">
        <f t="shared" si="4"/>
        <v>2</v>
      </c>
      <c r="F46" s="238">
        <f t="shared" si="5"/>
        <v>4.2194092827004216E-3</v>
      </c>
    </row>
    <row r="47" spans="1:6" ht="20.25" customHeight="1" x14ac:dyDescent="0.3">
      <c r="A47" s="235">
        <v>8</v>
      </c>
      <c r="B47" s="236" t="s">
        <v>439</v>
      </c>
      <c r="C47" s="239">
        <v>42</v>
      </c>
      <c r="D47" s="239">
        <v>42</v>
      </c>
      <c r="E47" s="239">
        <f t="shared" si="4"/>
        <v>0</v>
      </c>
      <c r="F47" s="238">
        <f t="shared" si="5"/>
        <v>0</v>
      </c>
    </row>
    <row r="48" spans="1:6" ht="20.25" customHeight="1" x14ac:dyDescent="0.3">
      <c r="A48" s="235">
        <v>9</v>
      </c>
      <c r="B48" s="236" t="s">
        <v>440</v>
      </c>
      <c r="C48" s="239">
        <v>8</v>
      </c>
      <c r="D48" s="239">
        <v>7</v>
      </c>
      <c r="E48" s="239">
        <f t="shared" si="4"/>
        <v>-1</v>
      </c>
      <c r="F48" s="238">
        <f t="shared" si="5"/>
        <v>-0.125</v>
      </c>
    </row>
    <row r="49" spans="1:6" s="240" customFormat="1" ht="20.25" customHeight="1" x14ac:dyDescent="0.3">
      <c r="A49" s="241"/>
      <c r="B49" s="242" t="s">
        <v>441</v>
      </c>
      <c r="C49" s="243">
        <f>+C40+C42</f>
        <v>1614164</v>
      </c>
      <c r="D49" s="243">
        <f>+D40+D42</f>
        <v>1150352</v>
      </c>
      <c r="E49" s="243">
        <f t="shared" si="4"/>
        <v>-463812</v>
      </c>
      <c r="F49" s="244">
        <f t="shared" si="5"/>
        <v>-0.28733883298103541</v>
      </c>
    </row>
    <row r="50" spans="1:6" s="240" customFormat="1" ht="20.25" customHeight="1" x14ac:dyDescent="0.3">
      <c r="A50" s="241"/>
      <c r="B50" s="242" t="s">
        <v>442</v>
      </c>
      <c r="C50" s="243">
        <f>+C41+C43</f>
        <v>453467</v>
      </c>
      <c r="D50" s="243">
        <f>+D41+D43</f>
        <v>299905</v>
      </c>
      <c r="E50" s="243">
        <f t="shared" si="4"/>
        <v>-153562</v>
      </c>
      <c r="F50" s="244">
        <f t="shared" si="5"/>
        <v>-0.33863985692453918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445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434</v>
      </c>
      <c r="C53" s="237">
        <v>873436</v>
      </c>
      <c r="D53" s="237">
        <v>38197</v>
      </c>
      <c r="E53" s="237">
        <f t="shared" ref="E53:E63" si="6">D53-C53</f>
        <v>-835239</v>
      </c>
      <c r="F53" s="238">
        <f t="shared" ref="F53:F63" si="7">IF(C53=0,0,E53/C53)</f>
        <v>-0.95626811809909373</v>
      </c>
    </row>
    <row r="54" spans="1:6" ht="20.25" customHeight="1" x14ac:dyDescent="0.3">
      <c r="A54" s="235">
        <v>2</v>
      </c>
      <c r="B54" s="236" t="s">
        <v>435</v>
      </c>
      <c r="C54" s="237">
        <v>269225</v>
      </c>
      <c r="D54" s="237">
        <v>11358</v>
      </c>
      <c r="E54" s="237">
        <f t="shared" si="6"/>
        <v>-257867</v>
      </c>
      <c r="F54" s="238">
        <f t="shared" si="7"/>
        <v>-0.95781223883368927</v>
      </c>
    </row>
    <row r="55" spans="1:6" ht="20.25" customHeight="1" x14ac:dyDescent="0.3">
      <c r="A55" s="235">
        <v>3</v>
      </c>
      <c r="B55" s="236" t="s">
        <v>436</v>
      </c>
      <c r="C55" s="237">
        <v>1546298</v>
      </c>
      <c r="D55" s="237">
        <v>622844</v>
      </c>
      <c r="E55" s="237">
        <f t="shared" si="6"/>
        <v>-923454</v>
      </c>
      <c r="F55" s="238">
        <f t="shared" si="7"/>
        <v>-0.59720312643487861</v>
      </c>
    </row>
    <row r="56" spans="1:6" ht="20.25" customHeight="1" x14ac:dyDescent="0.3">
      <c r="A56" s="235">
        <v>4</v>
      </c>
      <c r="B56" s="236" t="s">
        <v>437</v>
      </c>
      <c r="C56" s="237">
        <v>416253</v>
      </c>
      <c r="D56" s="237">
        <v>147797</v>
      </c>
      <c r="E56" s="237">
        <f t="shared" si="6"/>
        <v>-268456</v>
      </c>
      <c r="F56" s="238">
        <f t="shared" si="7"/>
        <v>-0.64493469116138502</v>
      </c>
    </row>
    <row r="57" spans="1:6" ht="20.25" customHeight="1" x14ac:dyDescent="0.3">
      <c r="A57" s="235">
        <v>5</v>
      </c>
      <c r="B57" s="236" t="s">
        <v>373</v>
      </c>
      <c r="C57" s="239">
        <v>28</v>
      </c>
      <c r="D57" s="239">
        <v>3</v>
      </c>
      <c r="E57" s="239">
        <f t="shared" si="6"/>
        <v>-25</v>
      </c>
      <c r="F57" s="238">
        <f t="shared" si="7"/>
        <v>-0.8928571428571429</v>
      </c>
    </row>
    <row r="58" spans="1:6" ht="20.25" customHeight="1" x14ac:dyDescent="0.3">
      <c r="A58" s="235">
        <v>6</v>
      </c>
      <c r="B58" s="236" t="s">
        <v>372</v>
      </c>
      <c r="C58" s="239">
        <v>106</v>
      </c>
      <c r="D58" s="239">
        <v>9</v>
      </c>
      <c r="E58" s="239">
        <f t="shared" si="6"/>
        <v>-97</v>
      </c>
      <c r="F58" s="238">
        <f t="shared" si="7"/>
        <v>-0.91509433962264153</v>
      </c>
    </row>
    <row r="59" spans="1:6" ht="20.25" customHeight="1" x14ac:dyDescent="0.3">
      <c r="A59" s="235">
        <v>7</v>
      </c>
      <c r="B59" s="236" t="s">
        <v>438</v>
      </c>
      <c r="C59" s="239">
        <v>881</v>
      </c>
      <c r="D59" s="239">
        <v>242</v>
      </c>
      <c r="E59" s="239">
        <f t="shared" si="6"/>
        <v>-639</v>
      </c>
      <c r="F59" s="238">
        <f t="shared" si="7"/>
        <v>-0.72531214528944377</v>
      </c>
    </row>
    <row r="60" spans="1:6" ht="20.25" customHeight="1" x14ac:dyDescent="0.3">
      <c r="A60" s="235">
        <v>8</v>
      </c>
      <c r="B60" s="236" t="s">
        <v>439</v>
      </c>
      <c r="C60" s="239">
        <v>35</v>
      </c>
      <c r="D60" s="239">
        <v>19</v>
      </c>
      <c r="E60" s="239">
        <f t="shared" si="6"/>
        <v>-16</v>
      </c>
      <c r="F60" s="238">
        <f t="shared" si="7"/>
        <v>-0.45714285714285713</v>
      </c>
    </row>
    <row r="61" spans="1:6" ht="20.25" customHeight="1" x14ac:dyDescent="0.3">
      <c r="A61" s="235">
        <v>9</v>
      </c>
      <c r="B61" s="236" t="s">
        <v>440</v>
      </c>
      <c r="C61" s="239">
        <v>20</v>
      </c>
      <c r="D61" s="239">
        <v>3</v>
      </c>
      <c r="E61" s="239">
        <f t="shared" si="6"/>
        <v>-17</v>
      </c>
      <c r="F61" s="238">
        <f t="shared" si="7"/>
        <v>-0.85</v>
      </c>
    </row>
    <row r="62" spans="1:6" s="240" customFormat="1" ht="20.25" customHeight="1" x14ac:dyDescent="0.3">
      <c r="A62" s="241"/>
      <c r="B62" s="242" t="s">
        <v>441</v>
      </c>
      <c r="C62" s="243">
        <f>+C53+C55</f>
        <v>2419734</v>
      </c>
      <c r="D62" s="243">
        <f>+D53+D55</f>
        <v>661041</v>
      </c>
      <c r="E62" s="243">
        <f t="shared" si="6"/>
        <v>-1758693</v>
      </c>
      <c r="F62" s="244">
        <f t="shared" si="7"/>
        <v>-0.72681253393968093</v>
      </c>
    </row>
    <row r="63" spans="1:6" s="240" customFormat="1" ht="20.25" customHeight="1" x14ac:dyDescent="0.3">
      <c r="A63" s="241"/>
      <c r="B63" s="242" t="s">
        <v>442</v>
      </c>
      <c r="C63" s="243">
        <f>+C54+C56</f>
        <v>685478</v>
      </c>
      <c r="D63" s="243">
        <f>+D54+D56</f>
        <v>159155</v>
      </c>
      <c r="E63" s="243">
        <f t="shared" si="6"/>
        <v>-526323</v>
      </c>
      <c r="F63" s="244">
        <f t="shared" si="7"/>
        <v>-0.76781895261408828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446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434</v>
      </c>
      <c r="C66" s="237">
        <v>421124</v>
      </c>
      <c r="D66" s="237">
        <v>250854</v>
      </c>
      <c r="E66" s="237">
        <f t="shared" ref="E66:E76" si="8">D66-C66</f>
        <v>-170270</v>
      </c>
      <c r="F66" s="238">
        <f t="shared" ref="F66:F76" si="9">IF(C66=0,0,E66/C66)</f>
        <v>-0.40432271729941777</v>
      </c>
    </row>
    <row r="67" spans="1:6" ht="20.25" customHeight="1" x14ac:dyDescent="0.3">
      <c r="A67" s="235">
        <v>2</v>
      </c>
      <c r="B67" s="236" t="s">
        <v>435</v>
      </c>
      <c r="C67" s="237">
        <v>129806</v>
      </c>
      <c r="D67" s="237">
        <v>74591</v>
      </c>
      <c r="E67" s="237">
        <f t="shared" si="8"/>
        <v>-55215</v>
      </c>
      <c r="F67" s="238">
        <f t="shared" si="9"/>
        <v>-0.42536554550637107</v>
      </c>
    </row>
    <row r="68" spans="1:6" ht="20.25" customHeight="1" x14ac:dyDescent="0.3">
      <c r="A68" s="235">
        <v>3</v>
      </c>
      <c r="B68" s="236" t="s">
        <v>436</v>
      </c>
      <c r="C68" s="237">
        <v>837363</v>
      </c>
      <c r="D68" s="237">
        <v>105404</v>
      </c>
      <c r="E68" s="237">
        <f t="shared" si="8"/>
        <v>-731959</v>
      </c>
      <c r="F68" s="238">
        <f t="shared" si="9"/>
        <v>-0.87412388653427486</v>
      </c>
    </row>
    <row r="69" spans="1:6" ht="20.25" customHeight="1" x14ac:dyDescent="0.3">
      <c r="A69" s="235">
        <v>4</v>
      </c>
      <c r="B69" s="236" t="s">
        <v>437</v>
      </c>
      <c r="C69" s="237">
        <v>225413</v>
      </c>
      <c r="D69" s="237">
        <v>25012</v>
      </c>
      <c r="E69" s="237">
        <f t="shared" si="8"/>
        <v>-200401</v>
      </c>
      <c r="F69" s="238">
        <f t="shared" si="9"/>
        <v>-0.88903923021298681</v>
      </c>
    </row>
    <row r="70" spans="1:6" ht="20.25" customHeight="1" x14ac:dyDescent="0.3">
      <c r="A70" s="235">
        <v>5</v>
      </c>
      <c r="B70" s="236" t="s">
        <v>373</v>
      </c>
      <c r="C70" s="239">
        <v>14</v>
      </c>
      <c r="D70" s="239">
        <v>1</v>
      </c>
      <c r="E70" s="239">
        <f t="shared" si="8"/>
        <v>-13</v>
      </c>
      <c r="F70" s="238">
        <f t="shared" si="9"/>
        <v>-0.9285714285714286</v>
      </c>
    </row>
    <row r="71" spans="1:6" ht="20.25" customHeight="1" x14ac:dyDescent="0.3">
      <c r="A71" s="235">
        <v>6</v>
      </c>
      <c r="B71" s="236" t="s">
        <v>372</v>
      </c>
      <c r="C71" s="239">
        <v>55</v>
      </c>
      <c r="D71" s="239">
        <v>95</v>
      </c>
      <c r="E71" s="239">
        <f t="shared" si="8"/>
        <v>40</v>
      </c>
      <c r="F71" s="238">
        <f t="shared" si="9"/>
        <v>0.72727272727272729</v>
      </c>
    </row>
    <row r="72" spans="1:6" ht="20.25" customHeight="1" x14ac:dyDescent="0.3">
      <c r="A72" s="235">
        <v>7</v>
      </c>
      <c r="B72" s="236" t="s">
        <v>438</v>
      </c>
      <c r="C72" s="239">
        <v>498</v>
      </c>
      <c r="D72" s="239">
        <v>39</v>
      </c>
      <c r="E72" s="239">
        <f t="shared" si="8"/>
        <v>-459</v>
      </c>
      <c r="F72" s="238">
        <f t="shared" si="9"/>
        <v>-0.92168674698795183</v>
      </c>
    </row>
    <row r="73" spans="1:6" ht="20.25" customHeight="1" x14ac:dyDescent="0.3">
      <c r="A73" s="235">
        <v>8</v>
      </c>
      <c r="B73" s="236" t="s">
        <v>439</v>
      </c>
      <c r="C73" s="239">
        <v>67</v>
      </c>
      <c r="D73" s="239">
        <v>19</v>
      </c>
      <c r="E73" s="239">
        <f t="shared" si="8"/>
        <v>-48</v>
      </c>
      <c r="F73" s="238">
        <f t="shared" si="9"/>
        <v>-0.71641791044776115</v>
      </c>
    </row>
    <row r="74" spans="1:6" ht="20.25" customHeight="1" x14ac:dyDescent="0.3">
      <c r="A74" s="235">
        <v>9</v>
      </c>
      <c r="B74" s="236" t="s">
        <v>440</v>
      </c>
      <c r="C74" s="239">
        <v>13</v>
      </c>
      <c r="D74" s="239">
        <v>1</v>
      </c>
      <c r="E74" s="239">
        <f t="shared" si="8"/>
        <v>-12</v>
      </c>
      <c r="F74" s="238">
        <f t="shared" si="9"/>
        <v>-0.92307692307692313</v>
      </c>
    </row>
    <row r="75" spans="1:6" s="240" customFormat="1" ht="20.25" customHeight="1" x14ac:dyDescent="0.3">
      <c r="A75" s="241"/>
      <c r="B75" s="242" t="s">
        <v>441</v>
      </c>
      <c r="C75" s="243">
        <f>+C66+C68</f>
        <v>1258487</v>
      </c>
      <c r="D75" s="243">
        <f>+D66+D68</f>
        <v>356258</v>
      </c>
      <c r="E75" s="243">
        <f t="shared" si="8"/>
        <v>-902229</v>
      </c>
      <c r="F75" s="244">
        <f t="shared" si="9"/>
        <v>-0.71691562964098954</v>
      </c>
    </row>
    <row r="76" spans="1:6" s="240" customFormat="1" ht="20.25" customHeight="1" x14ac:dyDescent="0.3">
      <c r="A76" s="241"/>
      <c r="B76" s="242" t="s">
        <v>442</v>
      </c>
      <c r="C76" s="243">
        <f>+C67+C69</f>
        <v>355219</v>
      </c>
      <c r="D76" s="243">
        <f>+D67+D69</f>
        <v>99603</v>
      </c>
      <c r="E76" s="243">
        <f t="shared" si="8"/>
        <v>-255616</v>
      </c>
      <c r="F76" s="244">
        <f t="shared" si="9"/>
        <v>-0.71960114746114368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447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434</v>
      </c>
      <c r="C79" s="237">
        <v>0</v>
      </c>
      <c r="D79" s="237">
        <v>56610</v>
      </c>
      <c r="E79" s="237">
        <f t="shared" ref="E79:E89" si="10">D79-C79</f>
        <v>56610</v>
      </c>
      <c r="F79" s="238">
        <f t="shared" ref="F79:F89" si="11">IF(C79=0,0,E79/C79)</f>
        <v>0</v>
      </c>
    </row>
    <row r="80" spans="1:6" ht="20.25" customHeight="1" x14ac:dyDescent="0.3">
      <c r="A80" s="235">
        <v>2</v>
      </c>
      <c r="B80" s="236" t="s">
        <v>435</v>
      </c>
      <c r="C80" s="237">
        <v>0</v>
      </c>
      <c r="D80" s="237">
        <v>16833</v>
      </c>
      <c r="E80" s="237">
        <f t="shared" si="10"/>
        <v>16833</v>
      </c>
      <c r="F80" s="238">
        <f t="shared" si="11"/>
        <v>0</v>
      </c>
    </row>
    <row r="81" spans="1:6" ht="20.25" customHeight="1" x14ac:dyDescent="0.3">
      <c r="A81" s="235">
        <v>3</v>
      </c>
      <c r="B81" s="236" t="s">
        <v>436</v>
      </c>
      <c r="C81" s="237">
        <v>14790</v>
      </c>
      <c r="D81" s="237">
        <v>55021</v>
      </c>
      <c r="E81" s="237">
        <f t="shared" si="10"/>
        <v>40231</v>
      </c>
      <c r="F81" s="238">
        <f t="shared" si="11"/>
        <v>2.7201487491548342</v>
      </c>
    </row>
    <row r="82" spans="1:6" ht="20.25" customHeight="1" x14ac:dyDescent="0.3">
      <c r="A82" s="235">
        <v>4</v>
      </c>
      <c r="B82" s="236" t="s">
        <v>437</v>
      </c>
      <c r="C82" s="237">
        <v>3981</v>
      </c>
      <c r="D82" s="237">
        <v>13056</v>
      </c>
      <c r="E82" s="237">
        <f t="shared" si="10"/>
        <v>9075</v>
      </c>
      <c r="F82" s="238">
        <f t="shared" si="11"/>
        <v>2.2795779954785229</v>
      </c>
    </row>
    <row r="83" spans="1:6" ht="20.25" customHeight="1" x14ac:dyDescent="0.3">
      <c r="A83" s="235">
        <v>5</v>
      </c>
      <c r="B83" s="236" t="s">
        <v>373</v>
      </c>
      <c r="C83" s="239">
        <v>0</v>
      </c>
      <c r="D83" s="239">
        <v>3</v>
      </c>
      <c r="E83" s="239">
        <f t="shared" si="10"/>
        <v>3</v>
      </c>
      <c r="F83" s="238">
        <f t="shared" si="11"/>
        <v>0</v>
      </c>
    </row>
    <row r="84" spans="1:6" ht="20.25" customHeight="1" x14ac:dyDescent="0.3">
      <c r="A84" s="235">
        <v>6</v>
      </c>
      <c r="B84" s="236" t="s">
        <v>372</v>
      </c>
      <c r="C84" s="239">
        <v>0</v>
      </c>
      <c r="D84" s="239">
        <v>12</v>
      </c>
      <c r="E84" s="239">
        <f t="shared" si="10"/>
        <v>12</v>
      </c>
      <c r="F84" s="238">
        <f t="shared" si="11"/>
        <v>0</v>
      </c>
    </row>
    <row r="85" spans="1:6" ht="20.25" customHeight="1" x14ac:dyDescent="0.3">
      <c r="A85" s="235">
        <v>7</v>
      </c>
      <c r="B85" s="236" t="s">
        <v>438</v>
      </c>
      <c r="C85" s="239">
        <v>8</v>
      </c>
      <c r="D85" s="239">
        <v>46</v>
      </c>
      <c r="E85" s="239">
        <f t="shared" si="10"/>
        <v>38</v>
      </c>
      <c r="F85" s="238">
        <f t="shared" si="11"/>
        <v>4.75</v>
      </c>
    </row>
    <row r="86" spans="1:6" ht="20.25" customHeight="1" x14ac:dyDescent="0.3">
      <c r="A86" s="235">
        <v>8</v>
      </c>
      <c r="B86" s="236" t="s">
        <v>439</v>
      </c>
      <c r="C86" s="239">
        <v>2</v>
      </c>
      <c r="D86" s="239">
        <v>5</v>
      </c>
      <c r="E86" s="239">
        <f t="shared" si="10"/>
        <v>3</v>
      </c>
      <c r="F86" s="238">
        <f t="shared" si="11"/>
        <v>1.5</v>
      </c>
    </row>
    <row r="87" spans="1:6" ht="20.25" customHeight="1" x14ac:dyDescent="0.3">
      <c r="A87" s="235">
        <v>9</v>
      </c>
      <c r="B87" s="236" t="s">
        <v>440</v>
      </c>
      <c r="C87" s="239">
        <v>0</v>
      </c>
      <c r="D87" s="239">
        <v>3</v>
      </c>
      <c r="E87" s="239">
        <f t="shared" si="10"/>
        <v>3</v>
      </c>
      <c r="F87" s="238">
        <f t="shared" si="11"/>
        <v>0</v>
      </c>
    </row>
    <row r="88" spans="1:6" s="240" customFormat="1" ht="20.25" customHeight="1" x14ac:dyDescent="0.3">
      <c r="A88" s="241"/>
      <c r="B88" s="242" t="s">
        <v>441</v>
      </c>
      <c r="C88" s="243">
        <f>+C79+C81</f>
        <v>14790</v>
      </c>
      <c r="D88" s="243">
        <f>+D79+D81</f>
        <v>111631</v>
      </c>
      <c r="E88" s="243">
        <f t="shared" si="10"/>
        <v>96841</v>
      </c>
      <c r="F88" s="244">
        <f t="shared" si="11"/>
        <v>6.5477349560513858</v>
      </c>
    </row>
    <row r="89" spans="1:6" s="240" customFormat="1" ht="20.25" customHeight="1" x14ac:dyDescent="0.3">
      <c r="A89" s="241"/>
      <c r="B89" s="242" t="s">
        <v>442</v>
      </c>
      <c r="C89" s="243">
        <f>+C80+C82</f>
        <v>3981</v>
      </c>
      <c r="D89" s="243">
        <f>+D80+D82</f>
        <v>29889</v>
      </c>
      <c r="E89" s="243">
        <f t="shared" si="10"/>
        <v>25908</v>
      </c>
      <c r="F89" s="244">
        <f t="shared" si="11"/>
        <v>6.507912584777694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448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434</v>
      </c>
      <c r="C92" s="237">
        <v>478060</v>
      </c>
      <c r="D92" s="237">
        <v>1760343</v>
      </c>
      <c r="E92" s="237">
        <f t="shared" ref="E92:E102" si="12">D92-C92</f>
        <v>1282283</v>
      </c>
      <c r="F92" s="238">
        <f t="shared" ref="F92:F102" si="13">IF(C92=0,0,E92/C92)</f>
        <v>2.6822637325858678</v>
      </c>
    </row>
    <row r="93" spans="1:6" ht="20.25" customHeight="1" x14ac:dyDescent="0.3">
      <c r="A93" s="235">
        <v>2</v>
      </c>
      <c r="B93" s="236" t="s">
        <v>435</v>
      </c>
      <c r="C93" s="237">
        <v>147356</v>
      </c>
      <c r="D93" s="237">
        <v>523438</v>
      </c>
      <c r="E93" s="237">
        <f t="shared" si="12"/>
        <v>376082</v>
      </c>
      <c r="F93" s="238">
        <f t="shared" si="13"/>
        <v>2.5522001140096093</v>
      </c>
    </row>
    <row r="94" spans="1:6" ht="20.25" customHeight="1" x14ac:dyDescent="0.3">
      <c r="A94" s="235">
        <v>3</v>
      </c>
      <c r="B94" s="236" t="s">
        <v>436</v>
      </c>
      <c r="C94" s="237">
        <v>351858</v>
      </c>
      <c r="D94" s="237">
        <v>2177388</v>
      </c>
      <c r="E94" s="237">
        <f t="shared" si="12"/>
        <v>1825530</v>
      </c>
      <c r="F94" s="238">
        <f t="shared" si="13"/>
        <v>5.1882577630748772</v>
      </c>
    </row>
    <row r="95" spans="1:6" ht="20.25" customHeight="1" x14ac:dyDescent="0.3">
      <c r="A95" s="235">
        <v>4</v>
      </c>
      <c r="B95" s="236" t="s">
        <v>437</v>
      </c>
      <c r="C95" s="237">
        <v>94718</v>
      </c>
      <c r="D95" s="237">
        <v>516682</v>
      </c>
      <c r="E95" s="237">
        <f t="shared" si="12"/>
        <v>421964</v>
      </c>
      <c r="F95" s="238">
        <f t="shared" si="13"/>
        <v>4.454950484596381</v>
      </c>
    </row>
    <row r="96" spans="1:6" ht="20.25" customHeight="1" x14ac:dyDescent="0.3">
      <c r="A96" s="235">
        <v>5</v>
      </c>
      <c r="B96" s="236" t="s">
        <v>373</v>
      </c>
      <c r="C96" s="239">
        <v>13</v>
      </c>
      <c r="D96" s="239">
        <v>50</v>
      </c>
      <c r="E96" s="239">
        <f t="shared" si="12"/>
        <v>37</v>
      </c>
      <c r="F96" s="238">
        <f t="shared" si="13"/>
        <v>2.8461538461538463</v>
      </c>
    </row>
    <row r="97" spans="1:6" ht="20.25" customHeight="1" x14ac:dyDescent="0.3">
      <c r="A97" s="235">
        <v>6</v>
      </c>
      <c r="B97" s="236" t="s">
        <v>372</v>
      </c>
      <c r="C97" s="239">
        <v>71</v>
      </c>
      <c r="D97" s="239">
        <v>284</v>
      </c>
      <c r="E97" s="239">
        <f t="shared" si="12"/>
        <v>213</v>
      </c>
      <c r="F97" s="238">
        <f t="shared" si="13"/>
        <v>3</v>
      </c>
    </row>
    <row r="98" spans="1:6" ht="20.25" customHeight="1" x14ac:dyDescent="0.3">
      <c r="A98" s="235">
        <v>7</v>
      </c>
      <c r="B98" s="236" t="s">
        <v>438</v>
      </c>
      <c r="C98" s="239">
        <v>754</v>
      </c>
      <c r="D98" s="239">
        <v>1808</v>
      </c>
      <c r="E98" s="239">
        <f t="shared" si="12"/>
        <v>1054</v>
      </c>
      <c r="F98" s="238">
        <f t="shared" si="13"/>
        <v>1.3978779840848807</v>
      </c>
    </row>
    <row r="99" spans="1:6" ht="20.25" customHeight="1" x14ac:dyDescent="0.3">
      <c r="A99" s="235">
        <v>8</v>
      </c>
      <c r="B99" s="236" t="s">
        <v>439</v>
      </c>
      <c r="C99" s="239">
        <v>25</v>
      </c>
      <c r="D99" s="239">
        <v>90</v>
      </c>
      <c r="E99" s="239">
        <f t="shared" si="12"/>
        <v>65</v>
      </c>
      <c r="F99" s="238">
        <f t="shared" si="13"/>
        <v>2.6</v>
      </c>
    </row>
    <row r="100" spans="1:6" ht="20.25" customHeight="1" x14ac:dyDescent="0.3">
      <c r="A100" s="235">
        <v>9</v>
      </c>
      <c r="B100" s="236" t="s">
        <v>440</v>
      </c>
      <c r="C100" s="239">
        <v>11</v>
      </c>
      <c r="D100" s="239">
        <v>41</v>
      </c>
      <c r="E100" s="239">
        <f t="shared" si="12"/>
        <v>30</v>
      </c>
      <c r="F100" s="238">
        <f t="shared" si="13"/>
        <v>2.7272727272727271</v>
      </c>
    </row>
    <row r="101" spans="1:6" s="240" customFormat="1" ht="20.25" customHeight="1" x14ac:dyDescent="0.3">
      <c r="A101" s="241"/>
      <c r="B101" s="242" t="s">
        <v>441</v>
      </c>
      <c r="C101" s="243">
        <f>+C92+C94</f>
        <v>829918</v>
      </c>
      <c r="D101" s="243">
        <f>+D92+D94</f>
        <v>3937731</v>
      </c>
      <c r="E101" s="243">
        <f t="shared" si="12"/>
        <v>3107813</v>
      </c>
      <c r="F101" s="244">
        <f t="shared" si="13"/>
        <v>3.7447229726310312</v>
      </c>
    </row>
    <row r="102" spans="1:6" s="240" customFormat="1" ht="20.25" customHeight="1" x14ac:dyDescent="0.3">
      <c r="A102" s="241"/>
      <c r="B102" s="242" t="s">
        <v>442</v>
      </c>
      <c r="C102" s="243">
        <f>+C93+C95</f>
        <v>242074</v>
      </c>
      <c r="D102" s="243">
        <f>+D93+D95</f>
        <v>1040120</v>
      </c>
      <c r="E102" s="243">
        <f t="shared" si="12"/>
        <v>798046</v>
      </c>
      <c r="F102" s="244">
        <f t="shared" si="13"/>
        <v>3.296702661169725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449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434</v>
      </c>
      <c r="C105" s="237">
        <v>0</v>
      </c>
      <c r="D105" s="237">
        <v>0</v>
      </c>
      <c r="E105" s="237">
        <f t="shared" ref="E105:E115" si="14">D105-C105</f>
        <v>0</v>
      </c>
      <c r="F105" s="238">
        <f t="shared" ref="F105:F115" si="15">IF(C105=0,0,E105/C105)</f>
        <v>0</v>
      </c>
    </row>
    <row r="106" spans="1:6" ht="20.25" customHeight="1" x14ac:dyDescent="0.3">
      <c r="A106" s="235">
        <v>2</v>
      </c>
      <c r="B106" s="236" t="s">
        <v>435</v>
      </c>
      <c r="C106" s="237">
        <v>0</v>
      </c>
      <c r="D106" s="237">
        <v>0</v>
      </c>
      <c r="E106" s="237">
        <f t="shared" si="14"/>
        <v>0</v>
      </c>
      <c r="F106" s="238">
        <f t="shared" si="15"/>
        <v>0</v>
      </c>
    </row>
    <row r="107" spans="1:6" ht="20.25" customHeight="1" x14ac:dyDescent="0.3">
      <c r="A107" s="235">
        <v>3</v>
      </c>
      <c r="B107" s="236" t="s">
        <v>436</v>
      </c>
      <c r="C107" s="237">
        <v>1688</v>
      </c>
      <c r="D107" s="237">
        <v>0</v>
      </c>
      <c r="E107" s="237">
        <f t="shared" si="14"/>
        <v>-1688</v>
      </c>
      <c r="F107" s="238">
        <f t="shared" si="15"/>
        <v>-1</v>
      </c>
    </row>
    <row r="108" spans="1:6" ht="20.25" customHeight="1" x14ac:dyDescent="0.3">
      <c r="A108" s="235">
        <v>4</v>
      </c>
      <c r="B108" s="236" t="s">
        <v>437</v>
      </c>
      <c r="C108" s="237">
        <v>454</v>
      </c>
      <c r="D108" s="237">
        <v>0</v>
      </c>
      <c r="E108" s="237">
        <f t="shared" si="14"/>
        <v>-454</v>
      </c>
      <c r="F108" s="238">
        <f t="shared" si="15"/>
        <v>-1</v>
      </c>
    </row>
    <row r="109" spans="1:6" ht="20.25" customHeight="1" x14ac:dyDescent="0.3">
      <c r="A109" s="235">
        <v>5</v>
      </c>
      <c r="B109" s="236" t="s">
        <v>373</v>
      </c>
      <c r="C109" s="239">
        <v>0</v>
      </c>
      <c r="D109" s="239">
        <v>0</v>
      </c>
      <c r="E109" s="239">
        <f t="shared" si="14"/>
        <v>0</v>
      </c>
      <c r="F109" s="238">
        <f t="shared" si="15"/>
        <v>0</v>
      </c>
    </row>
    <row r="110" spans="1:6" ht="20.25" customHeight="1" x14ac:dyDescent="0.3">
      <c r="A110" s="235">
        <v>6</v>
      </c>
      <c r="B110" s="236" t="s">
        <v>372</v>
      </c>
      <c r="C110" s="239">
        <v>0</v>
      </c>
      <c r="D110" s="239">
        <v>0</v>
      </c>
      <c r="E110" s="239">
        <f t="shared" si="14"/>
        <v>0</v>
      </c>
      <c r="F110" s="238">
        <f t="shared" si="15"/>
        <v>0</v>
      </c>
    </row>
    <row r="111" spans="1:6" ht="20.25" customHeight="1" x14ac:dyDescent="0.3">
      <c r="A111" s="235">
        <v>7</v>
      </c>
      <c r="B111" s="236" t="s">
        <v>438</v>
      </c>
      <c r="C111" s="239">
        <v>0</v>
      </c>
      <c r="D111" s="239">
        <v>0</v>
      </c>
      <c r="E111" s="239">
        <f t="shared" si="14"/>
        <v>0</v>
      </c>
      <c r="F111" s="238">
        <f t="shared" si="15"/>
        <v>0</v>
      </c>
    </row>
    <row r="112" spans="1:6" ht="20.25" customHeight="1" x14ac:dyDescent="0.3">
      <c r="A112" s="235">
        <v>8</v>
      </c>
      <c r="B112" s="236" t="s">
        <v>439</v>
      </c>
      <c r="C112" s="239">
        <v>2</v>
      </c>
      <c r="D112" s="239">
        <v>0</v>
      </c>
      <c r="E112" s="239">
        <f t="shared" si="14"/>
        <v>-2</v>
      </c>
      <c r="F112" s="238">
        <f t="shared" si="15"/>
        <v>-1</v>
      </c>
    </row>
    <row r="113" spans="1:6" ht="20.25" customHeight="1" x14ac:dyDescent="0.3">
      <c r="A113" s="235">
        <v>9</v>
      </c>
      <c r="B113" s="236" t="s">
        <v>440</v>
      </c>
      <c r="C113" s="239">
        <v>0</v>
      </c>
      <c r="D113" s="239">
        <v>0</v>
      </c>
      <c r="E113" s="239">
        <f t="shared" si="14"/>
        <v>0</v>
      </c>
      <c r="F113" s="238">
        <f t="shared" si="15"/>
        <v>0</v>
      </c>
    </row>
    <row r="114" spans="1:6" s="240" customFormat="1" ht="20.25" customHeight="1" x14ac:dyDescent="0.3">
      <c r="A114" s="241"/>
      <c r="B114" s="242" t="s">
        <v>441</v>
      </c>
      <c r="C114" s="243">
        <f>+C105+C107</f>
        <v>1688</v>
      </c>
      <c r="D114" s="243">
        <f>+D105+D107</f>
        <v>0</v>
      </c>
      <c r="E114" s="243">
        <f t="shared" si="14"/>
        <v>-1688</v>
      </c>
      <c r="F114" s="244">
        <f t="shared" si="15"/>
        <v>-1</v>
      </c>
    </row>
    <row r="115" spans="1:6" s="240" customFormat="1" ht="20.25" customHeight="1" x14ac:dyDescent="0.3">
      <c r="A115" s="241"/>
      <c r="B115" s="242" t="s">
        <v>442</v>
      </c>
      <c r="C115" s="243">
        <f>+C106+C108</f>
        <v>454</v>
      </c>
      <c r="D115" s="243">
        <f>+D106+D108</f>
        <v>0</v>
      </c>
      <c r="E115" s="243">
        <f t="shared" si="14"/>
        <v>-454</v>
      </c>
      <c r="F115" s="244">
        <f t="shared" si="15"/>
        <v>-1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450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434</v>
      </c>
      <c r="C118" s="237">
        <v>0</v>
      </c>
      <c r="D118" s="237">
        <v>127767</v>
      </c>
      <c r="E118" s="237">
        <f t="shared" ref="E118:E128" si="16">D118-C118</f>
        <v>127767</v>
      </c>
      <c r="F118" s="238">
        <f t="shared" ref="F118:F128" si="17">IF(C118=0,0,E118/C118)</f>
        <v>0</v>
      </c>
    </row>
    <row r="119" spans="1:6" ht="20.25" customHeight="1" x14ac:dyDescent="0.3">
      <c r="A119" s="235">
        <v>2</v>
      </c>
      <c r="B119" s="236" t="s">
        <v>435</v>
      </c>
      <c r="C119" s="237">
        <v>0</v>
      </c>
      <c r="D119" s="237">
        <v>37992</v>
      </c>
      <c r="E119" s="237">
        <f t="shared" si="16"/>
        <v>37992</v>
      </c>
      <c r="F119" s="238">
        <f t="shared" si="17"/>
        <v>0</v>
      </c>
    </row>
    <row r="120" spans="1:6" ht="20.25" customHeight="1" x14ac:dyDescent="0.3">
      <c r="A120" s="235">
        <v>3</v>
      </c>
      <c r="B120" s="236" t="s">
        <v>436</v>
      </c>
      <c r="C120" s="237">
        <v>0</v>
      </c>
      <c r="D120" s="237">
        <v>434674</v>
      </c>
      <c r="E120" s="237">
        <f t="shared" si="16"/>
        <v>434674</v>
      </c>
      <c r="F120" s="238">
        <f t="shared" si="17"/>
        <v>0</v>
      </c>
    </row>
    <row r="121" spans="1:6" ht="20.25" customHeight="1" x14ac:dyDescent="0.3">
      <c r="A121" s="235">
        <v>4</v>
      </c>
      <c r="B121" s="236" t="s">
        <v>437</v>
      </c>
      <c r="C121" s="237">
        <v>0</v>
      </c>
      <c r="D121" s="237">
        <v>103146</v>
      </c>
      <c r="E121" s="237">
        <f t="shared" si="16"/>
        <v>103146</v>
      </c>
      <c r="F121" s="238">
        <f t="shared" si="17"/>
        <v>0</v>
      </c>
    </row>
    <row r="122" spans="1:6" ht="20.25" customHeight="1" x14ac:dyDescent="0.3">
      <c r="A122" s="235">
        <v>5</v>
      </c>
      <c r="B122" s="236" t="s">
        <v>373</v>
      </c>
      <c r="C122" s="239">
        <v>0</v>
      </c>
      <c r="D122" s="239">
        <v>7</v>
      </c>
      <c r="E122" s="239">
        <f t="shared" si="16"/>
        <v>7</v>
      </c>
      <c r="F122" s="238">
        <f t="shared" si="17"/>
        <v>0</v>
      </c>
    </row>
    <row r="123" spans="1:6" ht="20.25" customHeight="1" x14ac:dyDescent="0.3">
      <c r="A123" s="235">
        <v>6</v>
      </c>
      <c r="B123" s="236" t="s">
        <v>372</v>
      </c>
      <c r="C123" s="239">
        <v>0</v>
      </c>
      <c r="D123" s="239">
        <v>15</v>
      </c>
      <c r="E123" s="239">
        <f t="shared" si="16"/>
        <v>15</v>
      </c>
      <c r="F123" s="238">
        <f t="shared" si="17"/>
        <v>0</v>
      </c>
    </row>
    <row r="124" spans="1:6" ht="20.25" customHeight="1" x14ac:dyDescent="0.3">
      <c r="A124" s="235">
        <v>7</v>
      </c>
      <c r="B124" s="236" t="s">
        <v>438</v>
      </c>
      <c r="C124" s="239">
        <v>0</v>
      </c>
      <c r="D124" s="239">
        <v>283</v>
      </c>
      <c r="E124" s="239">
        <f t="shared" si="16"/>
        <v>283</v>
      </c>
      <c r="F124" s="238">
        <f t="shared" si="17"/>
        <v>0</v>
      </c>
    </row>
    <row r="125" spans="1:6" ht="20.25" customHeight="1" x14ac:dyDescent="0.3">
      <c r="A125" s="235">
        <v>8</v>
      </c>
      <c r="B125" s="236" t="s">
        <v>439</v>
      </c>
      <c r="C125" s="239">
        <v>0</v>
      </c>
      <c r="D125" s="239">
        <v>40</v>
      </c>
      <c r="E125" s="239">
        <f t="shared" si="16"/>
        <v>40</v>
      </c>
      <c r="F125" s="238">
        <f t="shared" si="17"/>
        <v>0</v>
      </c>
    </row>
    <row r="126" spans="1:6" ht="20.25" customHeight="1" x14ac:dyDescent="0.3">
      <c r="A126" s="235">
        <v>9</v>
      </c>
      <c r="B126" s="236" t="s">
        <v>440</v>
      </c>
      <c r="C126" s="239">
        <v>0</v>
      </c>
      <c r="D126" s="239">
        <v>7</v>
      </c>
      <c r="E126" s="239">
        <f t="shared" si="16"/>
        <v>7</v>
      </c>
      <c r="F126" s="238">
        <f t="shared" si="17"/>
        <v>0</v>
      </c>
    </row>
    <row r="127" spans="1:6" s="240" customFormat="1" ht="20.25" customHeight="1" x14ac:dyDescent="0.3">
      <c r="A127" s="241"/>
      <c r="B127" s="242" t="s">
        <v>441</v>
      </c>
      <c r="C127" s="243">
        <f>+C118+C120</f>
        <v>0</v>
      </c>
      <c r="D127" s="243">
        <f>+D118+D120</f>
        <v>562441</v>
      </c>
      <c r="E127" s="243">
        <f t="shared" si="16"/>
        <v>562441</v>
      </c>
      <c r="F127" s="244">
        <f t="shared" si="17"/>
        <v>0</v>
      </c>
    </row>
    <row r="128" spans="1:6" s="240" customFormat="1" ht="20.25" customHeight="1" x14ac:dyDescent="0.3">
      <c r="A128" s="241"/>
      <c r="B128" s="242" t="s">
        <v>442</v>
      </c>
      <c r="C128" s="243">
        <f>+C119+C121</f>
        <v>0</v>
      </c>
      <c r="D128" s="243">
        <f>+D119+D121</f>
        <v>141138</v>
      </c>
      <c r="E128" s="243">
        <f t="shared" si="16"/>
        <v>141138</v>
      </c>
      <c r="F128" s="244">
        <f t="shared" si="17"/>
        <v>0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451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434</v>
      </c>
      <c r="C131" s="237">
        <v>0</v>
      </c>
      <c r="D131" s="237">
        <v>59110</v>
      </c>
      <c r="E131" s="237">
        <f t="shared" ref="E131:E141" si="18">D131-C131</f>
        <v>59110</v>
      </c>
      <c r="F131" s="238">
        <f t="shared" ref="F131:F141" si="19">IF(C131=0,0,E131/C131)</f>
        <v>0</v>
      </c>
    </row>
    <row r="132" spans="1:6" ht="20.25" customHeight="1" x14ac:dyDescent="0.3">
      <c r="A132" s="235">
        <v>2</v>
      </c>
      <c r="B132" s="236" t="s">
        <v>435</v>
      </c>
      <c r="C132" s="237">
        <v>0</v>
      </c>
      <c r="D132" s="237">
        <v>17576</v>
      </c>
      <c r="E132" s="237">
        <f t="shared" si="18"/>
        <v>17576</v>
      </c>
      <c r="F132" s="238">
        <f t="shared" si="19"/>
        <v>0</v>
      </c>
    </row>
    <row r="133" spans="1:6" ht="20.25" customHeight="1" x14ac:dyDescent="0.3">
      <c r="A133" s="235">
        <v>3</v>
      </c>
      <c r="B133" s="236" t="s">
        <v>436</v>
      </c>
      <c r="C133" s="237">
        <v>0</v>
      </c>
      <c r="D133" s="237">
        <v>65039</v>
      </c>
      <c r="E133" s="237">
        <f t="shared" si="18"/>
        <v>65039</v>
      </c>
      <c r="F133" s="238">
        <f t="shared" si="19"/>
        <v>0</v>
      </c>
    </row>
    <row r="134" spans="1:6" ht="20.25" customHeight="1" x14ac:dyDescent="0.3">
      <c r="A134" s="235">
        <v>4</v>
      </c>
      <c r="B134" s="236" t="s">
        <v>437</v>
      </c>
      <c r="C134" s="237">
        <v>0</v>
      </c>
      <c r="D134" s="237">
        <v>15433</v>
      </c>
      <c r="E134" s="237">
        <f t="shared" si="18"/>
        <v>15433</v>
      </c>
      <c r="F134" s="238">
        <f t="shared" si="19"/>
        <v>0</v>
      </c>
    </row>
    <row r="135" spans="1:6" ht="20.25" customHeight="1" x14ac:dyDescent="0.3">
      <c r="A135" s="235">
        <v>5</v>
      </c>
      <c r="B135" s="236" t="s">
        <v>373</v>
      </c>
      <c r="C135" s="239">
        <v>0</v>
      </c>
      <c r="D135" s="239">
        <v>2</v>
      </c>
      <c r="E135" s="239">
        <f t="shared" si="18"/>
        <v>2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372</v>
      </c>
      <c r="C136" s="239">
        <v>0</v>
      </c>
      <c r="D136" s="239">
        <v>14</v>
      </c>
      <c r="E136" s="239">
        <f t="shared" si="18"/>
        <v>14</v>
      </c>
      <c r="F136" s="238">
        <f t="shared" si="19"/>
        <v>0</v>
      </c>
    </row>
    <row r="137" spans="1:6" ht="20.25" customHeight="1" x14ac:dyDescent="0.3">
      <c r="A137" s="235">
        <v>7</v>
      </c>
      <c r="B137" s="236" t="s">
        <v>438</v>
      </c>
      <c r="C137" s="239">
        <v>0</v>
      </c>
      <c r="D137" s="239">
        <v>36</v>
      </c>
      <c r="E137" s="239">
        <f t="shared" si="18"/>
        <v>36</v>
      </c>
      <c r="F137" s="238">
        <f t="shared" si="19"/>
        <v>0</v>
      </c>
    </row>
    <row r="138" spans="1:6" ht="20.25" customHeight="1" x14ac:dyDescent="0.3">
      <c r="A138" s="235">
        <v>8</v>
      </c>
      <c r="B138" s="236" t="s">
        <v>439</v>
      </c>
      <c r="C138" s="239">
        <v>0</v>
      </c>
      <c r="D138" s="239">
        <v>9</v>
      </c>
      <c r="E138" s="239">
        <f t="shared" si="18"/>
        <v>9</v>
      </c>
      <c r="F138" s="238">
        <f t="shared" si="19"/>
        <v>0</v>
      </c>
    </row>
    <row r="139" spans="1:6" ht="20.25" customHeight="1" x14ac:dyDescent="0.3">
      <c r="A139" s="235">
        <v>9</v>
      </c>
      <c r="B139" s="236" t="s">
        <v>440</v>
      </c>
      <c r="C139" s="239">
        <v>0</v>
      </c>
      <c r="D139" s="239">
        <v>2</v>
      </c>
      <c r="E139" s="239">
        <f t="shared" si="18"/>
        <v>2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441</v>
      </c>
      <c r="C140" s="243">
        <f>+C131+C133</f>
        <v>0</v>
      </c>
      <c r="D140" s="243">
        <f>+D131+D133</f>
        <v>124149</v>
      </c>
      <c r="E140" s="243">
        <f t="shared" si="18"/>
        <v>124149</v>
      </c>
      <c r="F140" s="244">
        <f t="shared" si="19"/>
        <v>0</v>
      </c>
    </row>
    <row r="141" spans="1:6" s="240" customFormat="1" ht="20.25" customHeight="1" x14ac:dyDescent="0.3">
      <c r="A141" s="241"/>
      <c r="B141" s="242" t="s">
        <v>442</v>
      </c>
      <c r="C141" s="243">
        <f>+C132+C134</f>
        <v>0</v>
      </c>
      <c r="D141" s="243">
        <f>+D132+D134</f>
        <v>33009</v>
      </c>
      <c r="E141" s="243">
        <f t="shared" si="18"/>
        <v>33009</v>
      </c>
      <c r="F141" s="244">
        <f t="shared" si="19"/>
        <v>0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452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434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435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436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437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373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372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438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439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440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441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442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453</v>
      </c>
      <c r="B156" s="231" t="s">
        <v>454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434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435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436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437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373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372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438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439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440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441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442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455</v>
      </c>
      <c r="B169" s="231" t="s">
        <v>456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434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435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436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437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373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372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438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439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440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441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442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457</v>
      </c>
      <c r="B182" s="231" t="s">
        <v>458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434</v>
      </c>
      <c r="C183" s="237">
        <v>0</v>
      </c>
      <c r="D183" s="237">
        <v>0</v>
      </c>
      <c r="E183" s="237">
        <f t="shared" ref="E183:E193" si="26">D183-C183</f>
        <v>0</v>
      </c>
      <c r="F183" s="238">
        <f t="shared" ref="F183:F193" si="27">IF(C183=0,0,E183/C183)</f>
        <v>0</v>
      </c>
    </row>
    <row r="184" spans="1:6" ht="20.25" customHeight="1" x14ac:dyDescent="0.3">
      <c r="A184" s="235">
        <v>2</v>
      </c>
      <c r="B184" s="236" t="s">
        <v>435</v>
      </c>
      <c r="C184" s="237">
        <v>0</v>
      </c>
      <c r="D184" s="237">
        <v>0</v>
      </c>
      <c r="E184" s="237">
        <f t="shared" si="26"/>
        <v>0</v>
      </c>
      <c r="F184" s="238">
        <f t="shared" si="27"/>
        <v>0</v>
      </c>
    </row>
    <row r="185" spans="1:6" ht="20.25" customHeight="1" x14ac:dyDescent="0.3">
      <c r="A185" s="235">
        <v>3</v>
      </c>
      <c r="B185" s="236" t="s">
        <v>436</v>
      </c>
      <c r="C185" s="237">
        <v>0</v>
      </c>
      <c r="D185" s="237">
        <v>0</v>
      </c>
      <c r="E185" s="237">
        <f t="shared" si="26"/>
        <v>0</v>
      </c>
      <c r="F185" s="238">
        <f t="shared" si="27"/>
        <v>0</v>
      </c>
    </row>
    <row r="186" spans="1:6" ht="20.25" customHeight="1" x14ac:dyDescent="0.3">
      <c r="A186" s="235">
        <v>4</v>
      </c>
      <c r="B186" s="236" t="s">
        <v>437</v>
      </c>
      <c r="C186" s="237">
        <v>0</v>
      </c>
      <c r="D186" s="237">
        <v>0</v>
      </c>
      <c r="E186" s="237">
        <f t="shared" si="26"/>
        <v>0</v>
      </c>
      <c r="F186" s="238">
        <f t="shared" si="27"/>
        <v>0</v>
      </c>
    </row>
    <row r="187" spans="1:6" ht="20.25" customHeight="1" x14ac:dyDescent="0.3">
      <c r="A187" s="235">
        <v>5</v>
      </c>
      <c r="B187" s="236" t="s">
        <v>373</v>
      </c>
      <c r="C187" s="239">
        <v>0</v>
      </c>
      <c r="D187" s="239">
        <v>0</v>
      </c>
      <c r="E187" s="239">
        <f t="shared" si="26"/>
        <v>0</v>
      </c>
      <c r="F187" s="238">
        <f t="shared" si="27"/>
        <v>0</v>
      </c>
    </row>
    <row r="188" spans="1:6" ht="20.25" customHeight="1" x14ac:dyDescent="0.3">
      <c r="A188" s="235">
        <v>6</v>
      </c>
      <c r="B188" s="236" t="s">
        <v>372</v>
      </c>
      <c r="C188" s="239">
        <v>0</v>
      </c>
      <c r="D188" s="239">
        <v>0</v>
      </c>
      <c r="E188" s="239">
        <f t="shared" si="26"/>
        <v>0</v>
      </c>
      <c r="F188" s="238">
        <f t="shared" si="27"/>
        <v>0</v>
      </c>
    </row>
    <row r="189" spans="1:6" ht="20.25" customHeight="1" x14ac:dyDescent="0.3">
      <c r="A189" s="235">
        <v>7</v>
      </c>
      <c r="B189" s="236" t="s">
        <v>438</v>
      </c>
      <c r="C189" s="239">
        <v>0</v>
      </c>
      <c r="D189" s="239">
        <v>0</v>
      </c>
      <c r="E189" s="239">
        <f t="shared" si="26"/>
        <v>0</v>
      </c>
      <c r="F189" s="238">
        <f t="shared" si="27"/>
        <v>0</v>
      </c>
    </row>
    <row r="190" spans="1:6" ht="20.25" customHeight="1" x14ac:dyDescent="0.3">
      <c r="A190" s="235">
        <v>8</v>
      </c>
      <c r="B190" s="236" t="s">
        <v>439</v>
      </c>
      <c r="C190" s="239">
        <v>0</v>
      </c>
      <c r="D190" s="239">
        <v>0</v>
      </c>
      <c r="E190" s="239">
        <f t="shared" si="26"/>
        <v>0</v>
      </c>
      <c r="F190" s="238">
        <f t="shared" si="27"/>
        <v>0</v>
      </c>
    </row>
    <row r="191" spans="1:6" ht="20.25" customHeight="1" x14ac:dyDescent="0.3">
      <c r="A191" s="235">
        <v>9</v>
      </c>
      <c r="B191" s="236" t="s">
        <v>440</v>
      </c>
      <c r="C191" s="239">
        <v>0</v>
      </c>
      <c r="D191" s="239">
        <v>0</v>
      </c>
      <c r="E191" s="239">
        <f t="shared" si="26"/>
        <v>0</v>
      </c>
      <c r="F191" s="238">
        <f t="shared" si="27"/>
        <v>0</v>
      </c>
    </row>
    <row r="192" spans="1:6" s="240" customFormat="1" ht="20.25" customHeight="1" x14ac:dyDescent="0.3">
      <c r="A192" s="241"/>
      <c r="B192" s="242" t="s">
        <v>441</v>
      </c>
      <c r="C192" s="243">
        <f>+C183+C185</f>
        <v>0</v>
      </c>
      <c r="D192" s="243">
        <f>+D183+D185</f>
        <v>0</v>
      </c>
      <c r="E192" s="243">
        <f t="shared" si="26"/>
        <v>0</v>
      </c>
      <c r="F192" s="244">
        <f t="shared" si="27"/>
        <v>0</v>
      </c>
    </row>
    <row r="193" spans="1:9" s="240" customFormat="1" ht="20.25" customHeight="1" x14ac:dyDescent="0.3">
      <c r="A193" s="241"/>
      <c r="B193" s="242" t="s">
        <v>442</v>
      </c>
      <c r="C193" s="243">
        <f>+C184+C186</f>
        <v>0</v>
      </c>
      <c r="D193" s="243">
        <f>+D184+D186</f>
        <v>0</v>
      </c>
      <c r="E193" s="243">
        <f t="shared" si="26"/>
        <v>0</v>
      </c>
      <c r="F193" s="244">
        <f t="shared" si="27"/>
        <v>0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2" t="s">
        <v>44</v>
      </c>
      <c r="B195" s="684" t="s">
        <v>459</v>
      </c>
      <c r="C195" s="686"/>
      <c r="D195" s="687"/>
      <c r="E195" s="687"/>
      <c r="F195" s="688"/>
      <c r="G195" s="689"/>
      <c r="H195" s="689"/>
      <c r="I195" s="689"/>
    </row>
    <row r="196" spans="1:9" ht="20.25" customHeight="1" x14ac:dyDescent="0.3">
      <c r="A196" s="683"/>
      <c r="B196" s="685"/>
      <c r="C196" s="679"/>
      <c r="D196" s="680"/>
      <c r="E196" s="680"/>
      <c r="F196" s="681"/>
      <c r="G196" s="689"/>
      <c r="H196" s="689"/>
      <c r="I196" s="689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460</v>
      </c>
      <c r="C198" s="243">
        <f t="shared" ref="C198:D206" si="28">+C183+C170+C157+C144+C131+C118+C105+C92+C79+C66+C53+C40+C27+C14</f>
        <v>2326095</v>
      </c>
      <c r="D198" s="243">
        <f t="shared" si="28"/>
        <v>2950849</v>
      </c>
      <c r="E198" s="243">
        <f t="shared" ref="E198:E208" si="29">D198-C198</f>
        <v>624754</v>
      </c>
      <c r="F198" s="251">
        <f t="shared" ref="F198:F208" si="30">IF(C198=0,0,E198/C198)</f>
        <v>0.2685849030241671</v>
      </c>
    </row>
    <row r="199" spans="1:9" ht="20.25" customHeight="1" x14ac:dyDescent="0.3">
      <c r="A199" s="249"/>
      <c r="B199" s="250" t="s">
        <v>461</v>
      </c>
      <c r="C199" s="243">
        <f t="shared" si="28"/>
        <v>716987</v>
      </c>
      <c r="D199" s="243">
        <f t="shared" si="28"/>
        <v>877435</v>
      </c>
      <c r="E199" s="243">
        <f t="shared" si="29"/>
        <v>160448</v>
      </c>
      <c r="F199" s="251">
        <f t="shared" si="30"/>
        <v>0.22378090537206394</v>
      </c>
    </row>
    <row r="200" spans="1:9" ht="20.25" customHeight="1" x14ac:dyDescent="0.3">
      <c r="A200" s="249"/>
      <c r="B200" s="250" t="s">
        <v>462</v>
      </c>
      <c r="C200" s="243">
        <f t="shared" si="28"/>
        <v>4000176</v>
      </c>
      <c r="D200" s="243">
        <f t="shared" si="28"/>
        <v>4399719</v>
      </c>
      <c r="E200" s="243">
        <f t="shared" si="29"/>
        <v>399543</v>
      </c>
      <c r="F200" s="251">
        <f t="shared" si="30"/>
        <v>9.988135522037031E-2</v>
      </c>
    </row>
    <row r="201" spans="1:9" ht="20.25" customHeight="1" x14ac:dyDescent="0.3">
      <c r="A201" s="249"/>
      <c r="B201" s="250" t="s">
        <v>463</v>
      </c>
      <c r="C201" s="243">
        <f t="shared" si="28"/>
        <v>1076821</v>
      </c>
      <c r="D201" s="243">
        <f t="shared" si="28"/>
        <v>1044028</v>
      </c>
      <c r="E201" s="243">
        <f t="shared" si="29"/>
        <v>-32793</v>
      </c>
      <c r="F201" s="251">
        <f t="shared" si="30"/>
        <v>-3.0453529416681138E-2</v>
      </c>
    </row>
    <row r="202" spans="1:9" ht="20.25" customHeight="1" x14ac:dyDescent="0.3">
      <c r="A202" s="249"/>
      <c r="B202" s="250" t="s">
        <v>464</v>
      </c>
      <c r="C202" s="252">
        <f t="shared" si="28"/>
        <v>69</v>
      </c>
      <c r="D202" s="252">
        <f t="shared" si="28"/>
        <v>83</v>
      </c>
      <c r="E202" s="252">
        <f t="shared" si="29"/>
        <v>14</v>
      </c>
      <c r="F202" s="251">
        <f t="shared" si="30"/>
        <v>0.20289855072463769</v>
      </c>
    </row>
    <row r="203" spans="1:9" ht="20.25" customHeight="1" x14ac:dyDescent="0.3">
      <c r="A203" s="249"/>
      <c r="B203" s="250" t="s">
        <v>465</v>
      </c>
      <c r="C203" s="252">
        <f t="shared" si="28"/>
        <v>295</v>
      </c>
      <c r="D203" s="252">
        <f t="shared" si="28"/>
        <v>508</v>
      </c>
      <c r="E203" s="252">
        <f t="shared" si="29"/>
        <v>213</v>
      </c>
      <c r="F203" s="251">
        <f t="shared" si="30"/>
        <v>0.7220338983050848</v>
      </c>
    </row>
    <row r="204" spans="1:9" ht="39.950000000000003" customHeight="1" x14ac:dyDescent="0.3">
      <c r="A204" s="249"/>
      <c r="B204" s="250" t="s">
        <v>466</v>
      </c>
      <c r="C204" s="252">
        <f t="shared" si="28"/>
        <v>2663</v>
      </c>
      <c r="D204" s="252">
        <f t="shared" si="28"/>
        <v>3001</v>
      </c>
      <c r="E204" s="252">
        <f t="shared" si="29"/>
        <v>338</v>
      </c>
      <c r="F204" s="251">
        <f t="shared" si="30"/>
        <v>0.12692452121667291</v>
      </c>
    </row>
    <row r="205" spans="1:9" ht="39.950000000000003" customHeight="1" x14ac:dyDescent="0.3">
      <c r="A205" s="249"/>
      <c r="B205" s="250" t="s">
        <v>467</v>
      </c>
      <c r="C205" s="252">
        <f t="shared" si="28"/>
        <v>186</v>
      </c>
      <c r="D205" s="252">
        <f t="shared" si="28"/>
        <v>240</v>
      </c>
      <c r="E205" s="252">
        <f t="shared" si="29"/>
        <v>54</v>
      </c>
      <c r="F205" s="251">
        <f t="shared" si="30"/>
        <v>0.29032258064516131</v>
      </c>
    </row>
    <row r="206" spans="1:9" ht="39.950000000000003" customHeight="1" x14ac:dyDescent="0.3">
      <c r="A206" s="249"/>
      <c r="B206" s="250" t="s">
        <v>468</v>
      </c>
      <c r="C206" s="252">
        <f t="shared" si="28"/>
        <v>53</v>
      </c>
      <c r="D206" s="252">
        <f t="shared" si="28"/>
        <v>70</v>
      </c>
      <c r="E206" s="252">
        <f t="shared" si="29"/>
        <v>17</v>
      </c>
      <c r="F206" s="251">
        <f t="shared" si="30"/>
        <v>0.32075471698113206</v>
      </c>
    </row>
    <row r="207" spans="1:9" ht="20.25" customHeight="1" x14ac:dyDescent="0.3">
      <c r="A207" s="249"/>
      <c r="B207" s="242" t="s">
        <v>469</v>
      </c>
      <c r="C207" s="243">
        <f>+C198+C200</f>
        <v>6326271</v>
      </c>
      <c r="D207" s="243">
        <f>+D198+D200</f>
        <v>7350568</v>
      </c>
      <c r="E207" s="243">
        <f t="shared" si="29"/>
        <v>1024297</v>
      </c>
      <c r="F207" s="251">
        <f t="shared" si="30"/>
        <v>0.1619116538004774</v>
      </c>
    </row>
    <row r="208" spans="1:9" ht="20.25" customHeight="1" x14ac:dyDescent="0.3">
      <c r="A208" s="249"/>
      <c r="B208" s="242" t="s">
        <v>470</v>
      </c>
      <c r="C208" s="243">
        <f>+C199+C201</f>
        <v>1793808</v>
      </c>
      <c r="D208" s="243">
        <f>+D199+D201</f>
        <v>1921463</v>
      </c>
      <c r="E208" s="243">
        <f t="shared" si="29"/>
        <v>127655</v>
      </c>
      <c r="F208" s="251">
        <f t="shared" si="30"/>
        <v>7.116424946259578E-2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FILING&amp;RNEW MILFORD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471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2" t="s">
        <v>12</v>
      </c>
      <c r="B10" s="684" t="s">
        <v>115</v>
      </c>
      <c r="C10" s="686"/>
      <c r="D10" s="687"/>
      <c r="E10" s="687"/>
      <c r="F10" s="688"/>
    </row>
    <row r="11" spans="1:7" ht="20.25" customHeight="1" x14ac:dyDescent="0.3">
      <c r="A11" s="683"/>
      <c r="B11" s="685"/>
      <c r="C11" s="679"/>
      <c r="D11" s="680"/>
      <c r="E11" s="680"/>
      <c r="F11" s="681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472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435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436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437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373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372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438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439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440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441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39.950000000000003" customHeight="1" x14ac:dyDescent="0.3">
      <c r="A24" s="245"/>
      <c r="B24" s="242" t="s">
        <v>470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ht="42" customHeight="1" x14ac:dyDescent="0.3">
      <c r="A25" s="227" t="s">
        <v>124</v>
      </c>
      <c r="B25" s="261" t="s">
        <v>473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434</v>
      </c>
      <c r="C26" s="237">
        <v>1018284</v>
      </c>
      <c r="D26" s="237">
        <v>617060</v>
      </c>
      <c r="E26" s="237">
        <f t="shared" ref="E26:E36" si="2">D26-C26</f>
        <v>-401224</v>
      </c>
      <c r="F26" s="238">
        <f t="shared" ref="F26:F36" si="3">IF(C26=0,0,E26/C26)</f>
        <v>-0.39401974301864706</v>
      </c>
    </row>
    <row r="27" spans="1:6" ht="20.25" customHeight="1" x14ac:dyDescent="0.3">
      <c r="A27" s="235">
        <v>2</v>
      </c>
      <c r="B27" s="236" t="s">
        <v>435</v>
      </c>
      <c r="C27" s="237">
        <v>418871</v>
      </c>
      <c r="D27" s="237">
        <v>218688</v>
      </c>
      <c r="E27" s="237">
        <f t="shared" si="2"/>
        <v>-200183</v>
      </c>
      <c r="F27" s="238">
        <f t="shared" si="3"/>
        <v>-0.47791086038422331</v>
      </c>
    </row>
    <row r="28" spans="1:6" ht="20.25" customHeight="1" x14ac:dyDescent="0.3">
      <c r="A28" s="235">
        <v>3</v>
      </c>
      <c r="B28" s="236" t="s">
        <v>436</v>
      </c>
      <c r="C28" s="237">
        <v>3392031</v>
      </c>
      <c r="D28" s="237">
        <v>3695676</v>
      </c>
      <c r="E28" s="237">
        <f t="shared" si="2"/>
        <v>303645</v>
      </c>
      <c r="F28" s="238">
        <f t="shared" si="3"/>
        <v>8.9517165379679603E-2</v>
      </c>
    </row>
    <row r="29" spans="1:6" ht="20.25" customHeight="1" x14ac:dyDescent="0.3">
      <c r="A29" s="235">
        <v>4</v>
      </c>
      <c r="B29" s="236" t="s">
        <v>437</v>
      </c>
      <c r="C29" s="237">
        <v>977632</v>
      </c>
      <c r="D29" s="237">
        <v>1061918</v>
      </c>
      <c r="E29" s="237">
        <f t="shared" si="2"/>
        <v>84286</v>
      </c>
      <c r="F29" s="238">
        <f t="shared" si="3"/>
        <v>8.6214444699027851E-2</v>
      </c>
    </row>
    <row r="30" spans="1:6" ht="20.25" customHeight="1" x14ac:dyDescent="0.3">
      <c r="A30" s="235">
        <v>5</v>
      </c>
      <c r="B30" s="236" t="s">
        <v>373</v>
      </c>
      <c r="C30" s="239">
        <v>96</v>
      </c>
      <c r="D30" s="239">
        <v>72</v>
      </c>
      <c r="E30" s="239">
        <f t="shared" si="2"/>
        <v>-24</v>
      </c>
      <c r="F30" s="238">
        <f t="shared" si="3"/>
        <v>-0.25</v>
      </c>
    </row>
    <row r="31" spans="1:6" ht="20.25" customHeight="1" x14ac:dyDescent="0.3">
      <c r="A31" s="235">
        <v>6</v>
      </c>
      <c r="B31" s="236" t="s">
        <v>372</v>
      </c>
      <c r="C31" s="239">
        <v>248</v>
      </c>
      <c r="D31" s="239">
        <v>168</v>
      </c>
      <c r="E31" s="239">
        <f t="shared" si="2"/>
        <v>-80</v>
      </c>
      <c r="F31" s="238">
        <f t="shared" si="3"/>
        <v>-0.32258064516129031</v>
      </c>
    </row>
    <row r="32" spans="1:6" ht="20.25" customHeight="1" x14ac:dyDescent="0.3">
      <c r="A32" s="235">
        <v>7</v>
      </c>
      <c r="B32" s="236" t="s">
        <v>438</v>
      </c>
      <c r="C32" s="239">
        <v>2178</v>
      </c>
      <c r="D32" s="239">
        <v>2118</v>
      </c>
      <c r="E32" s="239">
        <f t="shared" si="2"/>
        <v>-60</v>
      </c>
      <c r="F32" s="238">
        <f t="shared" si="3"/>
        <v>-2.7548209366391185E-2</v>
      </c>
    </row>
    <row r="33" spans="1:6" ht="20.25" customHeight="1" x14ac:dyDescent="0.3">
      <c r="A33" s="235">
        <v>8</v>
      </c>
      <c r="B33" s="236" t="s">
        <v>439</v>
      </c>
      <c r="C33" s="239">
        <v>1165</v>
      </c>
      <c r="D33" s="239">
        <v>1194</v>
      </c>
      <c r="E33" s="239">
        <f t="shared" si="2"/>
        <v>29</v>
      </c>
      <c r="F33" s="238">
        <f t="shared" si="3"/>
        <v>2.4892703862660945E-2</v>
      </c>
    </row>
    <row r="34" spans="1:6" ht="20.25" customHeight="1" x14ac:dyDescent="0.3">
      <c r="A34" s="235">
        <v>9</v>
      </c>
      <c r="B34" s="236" t="s">
        <v>440</v>
      </c>
      <c r="C34" s="239">
        <v>17</v>
      </c>
      <c r="D34" s="239">
        <v>12</v>
      </c>
      <c r="E34" s="239">
        <f t="shared" si="2"/>
        <v>-5</v>
      </c>
      <c r="F34" s="238">
        <f t="shared" si="3"/>
        <v>-0.29411764705882354</v>
      </c>
    </row>
    <row r="35" spans="1:6" s="240" customFormat="1" ht="39.950000000000003" customHeight="1" x14ac:dyDescent="0.3">
      <c r="A35" s="245"/>
      <c r="B35" s="242" t="s">
        <v>441</v>
      </c>
      <c r="C35" s="243">
        <f>+C26+C28</f>
        <v>4410315</v>
      </c>
      <c r="D35" s="243">
        <f>+D26+D28</f>
        <v>4312736</v>
      </c>
      <c r="E35" s="243">
        <f t="shared" si="2"/>
        <v>-97579</v>
      </c>
      <c r="F35" s="244">
        <f t="shared" si="3"/>
        <v>-2.212517699982881E-2</v>
      </c>
    </row>
    <row r="36" spans="1:6" s="240" customFormat="1" ht="39.950000000000003" customHeight="1" x14ac:dyDescent="0.3">
      <c r="A36" s="245"/>
      <c r="B36" s="242" t="s">
        <v>470</v>
      </c>
      <c r="C36" s="243">
        <f>+C27+C29</f>
        <v>1396503</v>
      </c>
      <c r="D36" s="243">
        <f>+D27+D29</f>
        <v>1280606</v>
      </c>
      <c r="E36" s="243">
        <f t="shared" si="2"/>
        <v>-115897</v>
      </c>
      <c r="F36" s="244">
        <f t="shared" si="3"/>
        <v>-8.2990870767910993E-2</v>
      </c>
    </row>
    <row r="37" spans="1:6" ht="42" customHeight="1" x14ac:dyDescent="0.3">
      <c r="A37" s="227" t="s">
        <v>141</v>
      </c>
      <c r="B37" s="261" t="s">
        <v>474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434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435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436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437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373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372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438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439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440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441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470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475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434</v>
      </c>
      <c r="C50" s="237">
        <v>0</v>
      </c>
      <c r="D50" s="237">
        <v>0</v>
      </c>
      <c r="E50" s="237">
        <f t="shared" ref="E50:E60" si="6">D50-C50</f>
        <v>0</v>
      </c>
      <c r="F50" s="238">
        <f t="shared" ref="F50:F60" si="7">IF(C50=0,0,E50/C50)</f>
        <v>0</v>
      </c>
    </row>
    <row r="51" spans="1:6" ht="20.25" customHeight="1" x14ac:dyDescent="0.3">
      <c r="A51" s="235">
        <v>2</v>
      </c>
      <c r="B51" s="236" t="s">
        <v>435</v>
      </c>
      <c r="C51" s="237">
        <v>0</v>
      </c>
      <c r="D51" s="237">
        <v>0</v>
      </c>
      <c r="E51" s="237">
        <f t="shared" si="6"/>
        <v>0</v>
      </c>
      <c r="F51" s="238">
        <f t="shared" si="7"/>
        <v>0</v>
      </c>
    </row>
    <row r="52" spans="1:6" ht="20.25" customHeight="1" x14ac:dyDescent="0.3">
      <c r="A52" s="235">
        <v>3</v>
      </c>
      <c r="B52" s="236" t="s">
        <v>436</v>
      </c>
      <c r="C52" s="237">
        <v>0</v>
      </c>
      <c r="D52" s="237">
        <v>0</v>
      </c>
      <c r="E52" s="237">
        <f t="shared" si="6"/>
        <v>0</v>
      </c>
      <c r="F52" s="238">
        <f t="shared" si="7"/>
        <v>0</v>
      </c>
    </row>
    <row r="53" spans="1:6" ht="20.25" customHeight="1" x14ac:dyDescent="0.3">
      <c r="A53" s="235">
        <v>4</v>
      </c>
      <c r="B53" s="236" t="s">
        <v>437</v>
      </c>
      <c r="C53" s="237">
        <v>0</v>
      </c>
      <c r="D53" s="237">
        <v>0</v>
      </c>
      <c r="E53" s="237">
        <f t="shared" si="6"/>
        <v>0</v>
      </c>
      <c r="F53" s="238">
        <f t="shared" si="7"/>
        <v>0</v>
      </c>
    </row>
    <row r="54" spans="1:6" ht="20.25" customHeight="1" x14ac:dyDescent="0.3">
      <c r="A54" s="235">
        <v>5</v>
      </c>
      <c r="B54" s="236" t="s">
        <v>373</v>
      </c>
      <c r="C54" s="239">
        <v>0</v>
      </c>
      <c r="D54" s="239">
        <v>0</v>
      </c>
      <c r="E54" s="239">
        <f t="shared" si="6"/>
        <v>0</v>
      </c>
      <c r="F54" s="238">
        <f t="shared" si="7"/>
        <v>0</v>
      </c>
    </row>
    <row r="55" spans="1:6" ht="20.25" customHeight="1" x14ac:dyDescent="0.3">
      <c r="A55" s="235">
        <v>6</v>
      </c>
      <c r="B55" s="236" t="s">
        <v>372</v>
      </c>
      <c r="C55" s="239">
        <v>0</v>
      </c>
      <c r="D55" s="239">
        <v>0</v>
      </c>
      <c r="E55" s="239">
        <f t="shared" si="6"/>
        <v>0</v>
      </c>
      <c r="F55" s="238">
        <f t="shared" si="7"/>
        <v>0</v>
      </c>
    </row>
    <row r="56" spans="1:6" ht="20.25" customHeight="1" x14ac:dyDescent="0.3">
      <c r="A56" s="235">
        <v>7</v>
      </c>
      <c r="B56" s="236" t="s">
        <v>438</v>
      </c>
      <c r="C56" s="239">
        <v>0</v>
      </c>
      <c r="D56" s="239">
        <v>0</v>
      </c>
      <c r="E56" s="239">
        <f t="shared" si="6"/>
        <v>0</v>
      </c>
      <c r="F56" s="238">
        <f t="shared" si="7"/>
        <v>0</v>
      </c>
    </row>
    <row r="57" spans="1:6" ht="20.25" customHeight="1" x14ac:dyDescent="0.3">
      <c r="A57" s="235">
        <v>8</v>
      </c>
      <c r="B57" s="236" t="s">
        <v>439</v>
      </c>
      <c r="C57" s="239">
        <v>0</v>
      </c>
      <c r="D57" s="239">
        <v>0</v>
      </c>
      <c r="E57" s="239">
        <f t="shared" si="6"/>
        <v>0</v>
      </c>
      <c r="F57" s="238">
        <f t="shared" si="7"/>
        <v>0</v>
      </c>
    </row>
    <row r="58" spans="1:6" ht="20.25" customHeight="1" x14ac:dyDescent="0.3">
      <c r="A58" s="235">
        <v>9</v>
      </c>
      <c r="B58" s="236" t="s">
        <v>440</v>
      </c>
      <c r="C58" s="239">
        <v>0</v>
      </c>
      <c r="D58" s="239">
        <v>0</v>
      </c>
      <c r="E58" s="239">
        <f t="shared" si="6"/>
        <v>0</v>
      </c>
      <c r="F58" s="238">
        <f t="shared" si="7"/>
        <v>0</v>
      </c>
    </row>
    <row r="59" spans="1:6" s="240" customFormat="1" ht="39.950000000000003" customHeight="1" x14ac:dyDescent="0.3">
      <c r="A59" s="245"/>
      <c r="B59" s="242" t="s">
        <v>441</v>
      </c>
      <c r="C59" s="243">
        <f>+C50+C52</f>
        <v>0</v>
      </c>
      <c r="D59" s="243">
        <f>+D50+D52</f>
        <v>0</v>
      </c>
      <c r="E59" s="243">
        <f t="shared" si="6"/>
        <v>0</v>
      </c>
      <c r="F59" s="244">
        <f t="shared" si="7"/>
        <v>0</v>
      </c>
    </row>
    <row r="60" spans="1:6" s="240" customFormat="1" ht="39.950000000000003" customHeight="1" x14ac:dyDescent="0.3">
      <c r="A60" s="245"/>
      <c r="B60" s="242" t="s">
        <v>470</v>
      </c>
      <c r="C60" s="243">
        <f>+C51+C53</f>
        <v>0</v>
      </c>
      <c r="D60" s="243">
        <f>+D51+D53</f>
        <v>0</v>
      </c>
      <c r="E60" s="243">
        <f t="shared" si="6"/>
        <v>0</v>
      </c>
      <c r="F60" s="244">
        <f t="shared" si="7"/>
        <v>0</v>
      </c>
    </row>
    <row r="61" spans="1:6" ht="42" customHeight="1" x14ac:dyDescent="0.3">
      <c r="A61" s="227" t="s">
        <v>176</v>
      </c>
      <c r="B61" s="261" t="s">
        <v>449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434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435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436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437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373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372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438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439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440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441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470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476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434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435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436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437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373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372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438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439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440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441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470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477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434</v>
      </c>
      <c r="C86" s="237">
        <v>87746</v>
      </c>
      <c r="D86" s="237">
        <v>147087</v>
      </c>
      <c r="E86" s="237">
        <f t="shared" ref="E86:E96" si="12">D86-C86</f>
        <v>59341</v>
      </c>
      <c r="F86" s="238">
        <f t="shared" ref="F86:F96" si="13">IF(C86=0,0,E86/C86)</f>
        <v>0.67628153989925466</v>
      </c>
    </row>
    <row r="87" spans="1:6" ht="20.25" customHeight="1" x14ac:dyDescent="0.3">
      <c r="A87" s="235">
        <v>2</v>
      </c>
      <c r="B87" s="236" t="s">
        <v>435</v>
      </c>
      <c r="C87" s="237">
        <v>36094</v>
      </c>
      <c r="D87" s="237">
        <v>52128</v>
      </c>
      <c r="E87" s="237">
        <f t="shared" si="12"/>
        <v>16034</v>
      </c>
      <c r="F87" s="238">
        <f t="shared" si="13"/>
        <v>0.44422895772150495</v>
      </c>
    </row>
    <row r="88" spans="1:6" ht="20.25" customHeight="1" x14ac:dyDescent="0.3">
      <c r="A88" s="235">
        <v>3</v>
      </c>
      <c r="B88" s="236" t="s">
        <v>436</v>
      </c>
      <c r="C88" s="237">
        <v>319351</v>
      </c>
      <c r="D88" s="237">
        <v>322618</v>
      </c>
      <c r="E88" s="237">
        <f t="shared" si="12"/>
        <v>3267</v>
      </c>
      <c r="F88" s="238">
        <f t="shared" si="13"/>
        <v>1.0230122968144769E-2</v>
      </c>
    </row>
    <row r="89" spans="1:6" ht="20.25" customHeight="1" x14ac:dyDescent="0.3">
      <c r="A89" s="235">
        <v>4</v>
      </c>
      <c r="B89" s="236" t="s">
        <v>437</v>
      </c>
      <c r="C89" s="237">
        <v>92042</v>
      </c>
      <c r="D89" s="237">
        <v>92701</v>
      </c>
      <c r="E89" s="237">
        <f t="shared" si="12"/>
        <v>659</v>
      </c>
      <c r="F89" s="238">
        <f t="shared" si="13"/>
        <v>7.1597748853784145E-3</v>
      </c>
    </row>
    <row r="90" spans="1:6" ht="20.25" customHeight="1" x14ac:dyDescent="0.3">
      <c r="A90" s="235">
        <v>5</v>
      </c>
      <c r="B90" s="236" t="s">
        <v>373</v>
      </c>
      <c r="C90" s="239">
        <v>13</v>
      </c>
      <c r="D90" s="239">
        <v>18</v>
      </c>
      <c r="E90" s="239">
        <f t="shared" si="12"/>
        <v>5</v>
      </c>
      <c r="F90" s="238">
        <f t="shared" si="13"/>
        <v>0.38461538461538464</v>
      </c>
    </row>
    <row r="91" spans="1:6" ht="20.25" customHeight="1" x14ac:dyDescent="0.3">
      <c r="A91" s="235">
        <v>6</v>
      </c>
      <c r="B91" s="236" t="s">
        <v>372</v>
      </c>
      <c r="C91" s="239">
        <v>35</v>
      </c>
      <c r="D91" s="239">
        <v>50</v>
      </c>
      <c r="E91" s="239">
        <f t="shared" si="12"/>
        <v>15</v>
      </c>
      <c r="F91" s="238">
        <f t="shared" si="13"/>
        <v>0.42857142857142855</v>
      </c>
    </row>
    <row r="92" spans="1:6" ht="20.25" customHeight="1" x14ac:dyDescent="0.3">
      <c r="A92" s="235">
        <v>7</v>
      </c>
      <c r="B92" s="236" t="s">
        <v>438</v>
      </c>
      <c r="C92" s="239">
        <v>246</v>
      </c>
      <c r="D92" s="239">
        <v>188</v>
      </c>
      <c r="E92" s="239">
        <f t="shared" si="12"/>
        <v>-58</v>
      </c>
      <c r="F92" s="238">
        <f t="shared" si="13"/>
        <v>-0.23577235772357724</v>
      </c>
    </row>
    <row r="93" spans="1:6" ht="20.25" customHeight="1" x14ac:dyDescent="0.3">
      <c r="A93" s="235">
        <v>8</v>
      </c>
      <c r="B93" s="236" t="s">
        <v>439</v>
      </c>
      <c r="C93" s="239">
        <v>142</v>
      </c>
      <c r="D93" s="239">
        <v>169</v>
      </c>
      <c r="E93" s="239">
        <f t="shared" si="12"/>
        <v>27</v>
      </c>
      <c r="F93" s="238">
        <f t="shared" si="13"/>
        <v>0.19014084507042253</v>
      </c>
    </row>
    <row r="94" spans="1:6" ht="20.25" customHeight="1" x14ac:dyDescent="0.3">
      <c r="A94" s="235">
        <v>9</v>
      </c>
      <c r="B94" s="236" t="s">
        <v>440</v>
      </c>
      <c r="C94" s="239">
        <v>0</v>
      </c>
      <c r="D94" s="239">
        <v>2</v>
      </c>
      <c r="E94" s="239">
        <f t="shared" si="12"/>
        <v>2</v>
      </c>
      <c r="F94" s="238">
        <f t="shared" si="13"/>
        <v>0</v>
      </c>
    </row>
    <row r="95" spans="1:6" s="240" customFormat="1" ht="39.950000000000003" customHeight="1" x14ac:dyDescent="0.3">
      <c r="A95" s="245"/>
      <c r="B95" s="242" t="s">
        <v>441</v>
      </c>
      <c r="C95" s="243">
        <f>+C86+C88</f>
        <v>407097</v>
      </c>
      <c r="D95" s="243">
        <f>+D86+D88</f>
        <v>469705</v>
      </c>
      <c r="E95" s="243">
        <f t="shared" si="12"/>
        <v>62608</v>
      </c>
      <c r="F95" s="244">
        <f t="shared" si="13"/>
        <v>0.1537913568510699</v>
      </c>
    </row>
    <row r="96" spans="1:6" s="240" customFormat="1" ht="39.950000000000003" customHeight="1" x14ac:dyDescent="0.3">
      <c r="A96" s="245"/>
      <c r="B96" s="242" t="s">
        <v>470</v>
      </c>
      <c r="C96" s="243">
        <f>+C87+C89</f>
        <v>128136</v>
      </c>
      <c r="D96" s="243">
        <f>+D87+D89</f>
        <v>144829</v>
      </c>
      <c r="E96" s="243">
        <f t="shared" si="12"/>
        <v>16693</v>
      </c>
      <c r="F96" s="244">
        <f t="shared" si="13"/>
        <v>0.1302756446275832</v>
      </c>
    </row>
    <row r="97" spans="1:7" ht="42" customHeight="1" x14ac:dyDescent="0.3">
      <c r="A97" s="227" t="s">
        <v>187</v>
      </c>
      <c r="B97" s="261" t="s">
        <v>450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434</v>
      </c>
      <c r="C98" s="237">
        <v>428340</v>
      </c>
      <c r="D98" s="237">
        <v>537101</v>
      </c>
      <c r="E98" s="237">
        <f t="shared" ref="E98:E108" si="14">D98-C98</f>
        <v>108761</v>
      </c>
      <c r="F98" s="238">
        <f t="shared" ref="F98:F108" si="15">IF(C98=0,0,E98/C98)</f>
        <v>0.2539127795676332</v>
      </c>
    </row>
    <row r="99" spans="1:7" ht="20.25" customHeight="1" x14ac:dyDescent="0.3">
      <c r="A99" s="235">
        <v>2</v>
      </c>
      <c r="B99" s="236" t="s">
        <v>435</v>
      </c>
      <c r="C99" s="237">
        <v>176198</v>
      </c>
      <c r="D99" s="237">
        <v>190350</v>
      </c>
      <c r="E99" s="237">
        <f t="shared" si="14"/>
        <v>14152</v>
      </c>
      <c r="F99" s="238">
        <f t="shared" si="15"/>
        <v>8.0318732335213791E-2</v>
      </c>
    </row>
    <row r="100" spans="1:7" ht="20.25" customHeight="1" x14ac:dyDescent="0.3">
      <c r="A100" s="235">
        <v>3</v>
      </c>
      <c r="B100" s="236" t="s">
        <v>436</v>
      </c>
      <c r="C100" s="237">
        <v>2303603</v>
      </c>
      <c r="D100" s="237">
        <v>2228918</v>
      </c>
      <c r="E100" s="237">
        <f t="shared" si="14"/>
        <v>-74685</v>
      </c>
      <c r="F100" s="238">
        <f t="shared" si="15"/>
        <v>-3.2420951005880785E-2</v>
      </c>
    </row>
    <row r="101" spans="1:7" ht="20.25" customHeight="1" x14ac:dyDescent="0.3">
      <c r="A101" s="235">
        <v>4</v>
      </c>
      <c r="B101" s="236" t="s">
        <v>437</v>
      </c>
      <c r="C101" s="237">
        <v>663931</v>
      </c>
      <c r="D101" s="237">
        <v>640459</v>
      </c>
      <c r="E101" s="237">
        <f t="shared" si="14"/>
        <v>-23472</v>
      </c>
      <c r="F101" s="238">
        <f t="shared" si="15"/>
        <v>-3.5353071328195249E-2</v>
      </c>
    </row>
    <row r="102" spans="1:7" ht="20.25" customHeight="1" x14ac:dyDescent="0.3">
      <c r="A102" s="235">
        <v>5</v>
      </c>
      <c r="B102" s="236" t="s">
        <v>373</v>
      </c>
      <c r="C102" s="239">
        <v>42</v>
      </c>
      <c r="D102" s="239">
        <v>46</v>
      </c>
      <c r="E102" s="239">
        <f t="shared" si="14"/>
        <v>4</v>
      </c>
      <c r="F102" s="238">
        <f t="shared" si="15"/>
        <v>9.5238095238095233E-2</v>
      </c>
    </row>
    <row r="103" spans="1:7" ht="20.25" customHeight="1" x14ac:dyDescent="0.3">
      <c r="A103" s="235">
        <v>6</v>
      </c>
      <c r="B103" s="236" t="s">
        <v>372</v>
      </c>
      <c r="C103" s="239">
        <v>139</v>
      </c>
      <c r="D103" s="239">
        <v>129</v>
      </c>
      <c r="E103" s="239">
        <f t="shared" si="14"/>
        <v>-10</v>
      </c>
      <c r="F103" s="238">
        <f t="shared" si="15"/>
        <v>-7.1942446043165464E-2</v>
      </c>
    </row>
    <row r="104" spans="1:7" ht="20.25" customHeight="1" x14ac:dyDescent="0.3">
      <c r="A104" s="235">
        <v>7</v>
      </c>
      <c r="B104" s="236" t="s">
        <v>438</v>
      </c>
      <c r="C104" s="239">
        <v>1271</v>
      </c>
      <c r="D104" s="239">
        <v>1291</v>
      </c>
      <c r="E104" s="239">
        <f t="shared" si="14"/>
        <v>20</v>
      </c>
      <c r="F104" s="238">
        <f t="shared" si="15"/>
        <v>1.5735641227380016E-2</v>
      </c>
    </row>
    <row r="105" spans="1:7" ht="20.25" customHeight="1" x14ac:dyDescent="0.3">
      <c r="A105" s="235">
        <v>8</v>
      </c>
      <c r="B105" s="236" t="s">
        <v>439</v>
      </c>
      <c r="C105" s="239">
        <v>580</v>
      </c>
      <c r="D105" s="239">
        <v>672</v>
      </c>
      <c r="E105" s="239">
        <f t="shared" si="14"/>
        <v>92</v>
      </c>
      <c r="F105" s="238">
        <f t="shared" si="15"/>
        <v>0.15862068965517243</v>
      </c>
    </row>
    <row r="106" spans="1:7" ht="20.25" customHeight="1" x14ac:dyDescent="0.3">
      <c r="A106" s="235">
        <v>9</v>
      </c>
      <c r="B106" s="236" t="s">
        <v>440</v>
      </c>
      <c r="C106" s="239">
        <v>3</v>
      </c>
      <c r="D106" s="239">
        <v>8</v>
      </c>
      <c r="E106" s="239">
        <f t="shared" si="14"/>
        <v>5</v>
      </c>
      <c r="F106" s="238">
        <f t="shared" si="15"/>
        <v>1.6666666666666667</v>
      </c>
    </row>
    <row r="107" spans="1:7" s="240" customFormat="1" ht="39.950000000000003" customHeight="1" x14ac:dyDescent="0.3">
      <c r="A107" s="245"/>
      <c r="B107" s="242" t="s">
        <v>441</v>
      </c>
      <c r="C107" s="243">
        <f>+C98+C100</f>
        <v>2731943</v>
      </c>
      <c r="D107" s="243">
        <f>+D98+D100</f>
        <v>2766019</v>
      </c>
      <c r="E107" s="243">
        <f t="shared" si="14"/>
        <v>34076</v>
      </c>
      <c r="F107" s="244">
        <f t="shared" si="15"/>
        <v>1.2473173854652166E-2</v>
      </c>
    </row>
    <row r="108" spans="1:7" s="240" customFormat="1" ht="39.950000000000003" customHeight="1" x14ac:dyDescent="0.3">
      <c r="A108" s="245"/>
      <c r="B108" s="242" t="s">
        <v>470</v>
      </c>
      <c r="C108" s="243">
        <f>+C99+C101</f>
        <v>840129</v>
      </c>
      <c r="D108" s="243">
        <f>+D99+D101</f>
        <v>830809</v>
      </c>
      <c r="E108" s="243">
        <f t="shared" si="14"/>
        <v>-9320</v>
      </c>
      <c r="F108" s="244">
        <f t="shared" si="15"/>
        <v>-1.1093534445305423E-2</v>
      </c>
    </row>
    <row r="109" spans="1:7" s="240" customFormat="1" ht="20.25" customHeight="1" x14ac:dyDescent="0.3">
      <c r="A109" s="682" t="s">
        <v>44</v>
      </c>
      <c r="B109" s="684" t="s">
        <v>478</v>
      </c>
      <c r="C109" s="686"/>
      <c r="D109" s="687"/>
      <c r="E109" s="687"/>
      <c r="F109" s="688"/>
      <c r="G109" s="212"/>
    </row>
    <row r="110" spans="1:7" ht="20.25" customHeight="1" x14ac:dyDescent="0.3">
      <c r="A110" s="683"/>
      <c r="B110" s="685"/>
      <c r="C110" s="679"/>
      <c r="D110" s="680"/>
      <c r="E110" s="680"/>
      <c r="F110" s="681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460</v>
      </c>
      <c r="C112" s="243">
        <f t="shared" ref="C112:D120" si="16">+C98+C86+C74+C62+C50+C38+C26+C14</f>
        <v>1534370</v>
      </c>
      <c r="D112" s="243">
        <f t="shared" si="16"/>
        <v>1301248</v>
      </c>
      <c r="E112" s="243">
        <f t="shared" ref="E112:E122" si="17">D112-C112</f>
        <v>-233122</v>
      </c>
      <c r="F112" s="244">
        <f t="shared" ref="F112:F122" si="18">IF(C112=0,0,E112/C112)</f>
        <v>-0.15193336678897529</v>
      </c>
    </row>
    <row r="113" spans="1:6" ht="20.25" customHeight="1" x14ac:dyDescent="0.3">
      <c r="A113" s="249"/>
      <c r="B113" s="250" t="s">
        <v>461</v>
      </c>
      <c r="C113" s="243">
        <f t="shared" si="16"/>
        <v>631163</v>
      </c>
      <c r="D113" s="243">
        <f t="shared" si="16"/>
        <v>461166</v>
      </c>
      <c r="E113" s="243">
        <f t="shared" si="17"/>
        <v>-169997</v>
      </c>
      <c r="F113" s="244">
        <f t="shared" si="18"/>
        <v>-0.26933929904002613</v>
      </c>
    </row>
    <row r="114" spans="1:6" ht="20.25" customHeight="1" x14ac:dyDescent="0.3">
      <c r="A114" s="249"/>
      <c r="B114" s="250" t="s">
        <v>462</v>
      </c>
      <c r="C114" s="243">
        <f t="shared" si="16"/>
        <v>6014985</v>
      </c>
      <c r="D114" s="243">
        <f t="shared" si="16"/>
        <v>6247212</v>
      </c>
      <c r="E114" s="243">
        <f t="shared" si="17"/>
        <v>232227</v>
      </c>
      <c r="F114" s="244">
        <f t="shared" si="18"/>
        <v>3.8608076329367406E-2</v>
      </c>
    </row>
    <row r="115" spans="1:6" ht="20.25" customHeight="1" x14ac:dyDescent="0.3">
      <c r="A115" s="249"/>
      <c r="B115" s="250" t="s">
        <v>463</v>
      </c>
      <c r="C115" s="243">
        <f t="shared" si="16"/>
        <v>1733605</v>
      </c>
      <c r="D115" s="243">
        <f t="shared" si="16"/>
        <v>1795078</v>
      </c>
      <c r="E115" s="243">
        <f t="shared" si="17"/>
        <v>61473</v>
      </c>
      <c r="F115" s="244">
        <f t="shared" si="18"/>
        <v>3.5459634691870412E-2</v>
      </c>
    </row>
    <row r="116" spans="1:6" ht="20.25" customHeight="1" x14ac:dyDescent="0.3">
      <c r="A116" s="249"/>
      <c r="B116" s="250" t="s">
        <v>464</v>
      </c>
      <c r="C116" s="252">
        <f t="shared" si="16"/>
        <v>151</v>
      </c>
      <c r="D116" s="252">
        <f t="shared" si="16"/>
        <v>136</v>
      </c>
      <c r="E116" s="252">
        <f t="shared" si="17"/>
        <v>-15</v>
      </c>
      <c r="F116" s="244">
        <f t="shared" si="18"/>
        <v>-9.9337748344370855E-2</v>
      </c>
    </row>
    <row r="117" spans="1:6" ht="20.25" customHeight="1" x14ac:dyDescent="0.3">
      <c r="A117" s="249"/>
      <c r="B117" s="250" t="s">
        <v>465</v>
      </c>
      <c r="C117" s="252">
        <f t="shared" si="16"/>
        <v>422</v>
      </c>
      <c r="D117" s="252">
        <f t="shared" si="16"/>
        <v>347</v>
      </c>
      <c r="E117" s="252">
        <f t="shared" si="17"/>
        <v>-75</v>
      </c>
      <c r="F117" s="244">
        <f t="shared" si="18"/>
        <v>-0.17772511848341233</v>
      </c>
    </row>
    <row r="118" spans="1:6" ht="39.950000000000003" customHeight="1" x14ac:dyDescent="0.3">
      <c r="A118" s="249"/>
      <c r="B118" s="250" t="s">
        <v>466</v>
      </c>
      <c r="C118" s="252">
        <f t="shared" si="16"/>
        <v>3695</v>
      </c>
      <c r="D118" s="252">
        <f t="shared" si="16"/>
        <v>3597</v>
      </c>
      <c r="E118" s="252">
        <f t="shared" si="17"/>
        <v>-98</v>
      </c>
      <c r="F118" s="244">
        <f t="shared" si="18"/>
        <v>-2.652232746955345E-2</v>
      </c>
    </row>
    <row r="119" spans="1:6" ht="39.950000000000003" customHeight="1" x14ac:dyDescent="0.3">
      <c r="A119" s="249"/>
      <c r="B119" s="250" t="s">
        <v>467</v>
      </c>
      <c r="C119" s="252">
        <f t="shared" si="16"/>
        <v>1887</v>
      </c>
      <c r="D119" s="252">
        <f t="shared" si="16"/>
        <v>2035</v>
      </c>
      <c r="E119" s="252">
        <f t="shared" si="17"/>
        <v>148</v>
      </c>
      <c r="F119" s="244">
        <f t="shared" si="18"/>
        <v>7.8431372549019607E-2</v>
      </c>
    </row>
    <row r="120" spans="1:6" ht="39.950000000000003" customHeight="1" x14ac:dyDescent="0.3">
      <c r="A120" s="249"/>
      <c r="B120" s="250" t="s">
        <v>468</v>
      </c>
      <c r="C120" s="252">
        <f t="shared" si="16"/>
        <v>20</v>
      </c>
      <c r="D120" s="252">
        <f t="shared" si="16"/>
        <v>22</v>
      </c>
      <c r="E120" s="252">
        <f t="shared" si="17"/>
        <v>2</v>
      </c>
      <c r="F120" s="244">
        <f t="shared" si="18"/>
        <v>0.1</v>
      </c>
    </row>
    <row r="121" spans="1:6" ht="39.950000000000003" customHeight="1" x14ac:dyDescent="0.3">
      <c r="A121" s="249"/>
      <c r="B121" s="242" t="s">
        <v>441</v>
      </c>
      <c r="C121" s="243">
        <f>+C112+C114</f>
        <v>7549355</v>
      </c>
      <c r="D121" s="243">
        <f>+D112+D114</f>
        <v>7548460</v>
      </c>
      <c r="E121" s="243">
        <f t="shared" si="17"/>
        <v>-895</v>
      </c>
      <c r="F121" s="244">
        <f t="shared" si="18"/>
        <v>-1.1855317441026419E-4</v>
      </c>
    </row>
    <row r="122" spans="1:6" ht="39.950000000000003" customHeight="1" x14ac:dyDescent="0.3">
      <c r="A122" s="249"/>
      <c r="B122" s="242" t="s">
        <v>470</v>
      </c>
      <c r="C122" s="243">
        <f>+C113+C115</f>
        <v>2364768</v>
      </c>
      <c r="D122" s="243">
        <f>+D113+D115</f>
        <v>2256244</v>
      </c>
      <c r="E122" s="243">
        <f t="shared" si="17"/>
        <v>-108524</v>
      </c>
      <c r="F122" s="244">
        <f t="shared" si="18"/>
        <v>-4.5892028308908102E-2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FILING&amp;RNEW MILFORD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479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480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41061454</v>
      </c>
      <c r="D13" s="23">
        <v>56787869</v>
      </c>
      <c r="E13" s="23">
        <f t="shared" ref="E13:E22" si="0">D13-C13</f>
        <v>15726415</v>
      </c>
      <c r="F13" s="24">
        <f t="shared" ref="F13:F22" si="1">IF(C13=0,0,E13/C13)</f>
        <v>0.38299703171738636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5.1" customHeight="1" x14ac:dyDescent="0.2">
      <c r="A15" s="21">
        <v>3</v>
      </c>
      <c r="B15" s="22" t="s">
        <v>18</v>
      </c>
      <c r="C15" s="23">
        <v>66087968</v>
      </c>
      <c r="D15" s="23">
        <v>74395713</v>
      </c>
      <c r="E15" s="23">
        <f t="shared" si="0"/>
        <v>8307745</v>
      </c>
      <c r="F15" s="24">
        <f t="shared" si="1"/>
        <v>0.12570737535764454</v>
      </c>
    </row>
    <row r="16" spans="1:8" ht="35.1" customHeight="1" x14ac:dyDescent="0.2">
      <c r="A16" s="21">
        <v>4</v>
      </c>
      <c r="B16" s="22" t="s">
        <v>19</v>
      </c>
      <c r="C16" s="23">
        <v>3802296</v>
      </c>
      <c r="D16" s="23">
        <v>2780279</v>
      </c>
      <c r="E16" s="23">
        <f t="shared" si="0"/>
        <v>-1022017</v>
      </c>
      <c r="F16" s="24">
        <f t="shared" si="1"/>
        <v>-0.26878943669824756</v>
      </c>
    </row>
    <row r="17" spans="1:11" ht="24" customHeight="1" x14ac:dyDescent="0.2">
      <c r="A17" s="21">
        <v>5</v>
      </c>
      <c r="B17" s="22" t="s">
        <v>20</v>
      </c>
      <c r="C17" s="23">
        <v>15058487</v>
      </c>
      <c r="D17" s="23">
        <v>0</v>
      </c>
      <c r="E17" s="23">
        <f t="shared" si="0"/>
        <v>-15058487</v>
      </c>
      <c r="F17" s="24">
        <f t="shared" si="1"/>
        <v>-1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10647373</v>
      </c>
      <c r="D19" s="23">
        <v>12213567</v>
      </c>
      <c r="E19" s="23">
        <f t="shared" si="0"/>
        <v>1566194</v>
      </c>
      <c r="F19" s="24">
        <f t="shared" si="1"/>
        <v>0.14709675334939426</v>
      </c>
    </row>
    <row r="20" spans="1:11" ht="24" customHeight="1" x14ac:dyDescent="0.2">
      <c r="A20" s="21">
        <v>8</v>
      </c>
      <c r="B20" s="22" t="s">
        <v>23</v>
      </c>
      <c r="C20" s="23">
        <v>11701548</v>
      </c>
      <c r="D20" s="23">
        <v>16364779</v>
      </c>
      <c r="E20" s="23">
        <f t="shared" si="0"/>
        <v>4663231</v>
      </c>
      <c r="F20" s="24">
        <f t="shared" si="1"/>
        <v>0.39851402566566407</v>
      </c>
    </row>
    <row r="21" spans="1:11" ht="24" customHeight="1" x14ac:dyDescent="0.2">
      <c r="A21" s="21">
        <v>9</v>
      </c>
      <c r="B21" s="22" t="s">
        <v>24</v>
      </c>
      <c r="C21" s="23">
        <v>1143377</v>
      </c>
      <c r="D21" s="23">
        <v>1768111</v>
      </c>
      <c r="E21" s="23">
        <f t="shared" si="0"/>
        <v>624734</v>
      </c>
      <c r="F21" s="24">
        <f t="shared" si="1"/>
        <v>0.54639370916154517</v>
      </c>
    </row>
    <row r="22" spans="1:11" ht="24" customHeight="1" x14ac:dyDescent="0.25">
      <c r="A22" s="25"/>
      <c r="B22" s="26" t="s">
        <v>25</v>
      </c>
      <c r="C22" s="27">
        <f>SUM(C13:C21)</f>
        <v>149502503</v>
      </c>
      <c r="D22" s="27">
        <f>SUM(D13:D21)</f>
        <v>164310318</v>
      </c>
      <c r="E22" s="27">
        <f t="shared" si="0"/>
        <v>14807815</v>
      </c>
      <c r="F22" s="28">
        <f t="shared" si="1"/>
        <v>9.9047271469428169E-2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6901020</v>
      </c>
      <c r="D25" s="23">
        <v>6439298</v>
      </c>
      <c r="E25" s="23">
        <f>D25-C25</f>
        <v>-461722</v>
      </c>
      <c r="F25" s="24">
        <f>IF(C25=0,0,E25/C25)</f>
        <v>-6.6906341381418974E-2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68042366</v>
      </c>
      <c r="D28" s="23">
        <v>182369612</v>
      </c>
      <c r="E28" s="23">
        <f>D28-C28</f>
        <v>114327246</v>
      </c>
      <c r="F28" s="24">
        <f>IF(C28=0,0,E28/C28)</f>
        <v>1.6802361928449108</v>
      </c>
    </row>
    <row r="29" spans="1:11" ht="35.1" customHeight="1" x14ac:dyDescent="0.25">
      <c r="A29" s="25"/>
      <c r="B29" s="26" t="s">
        <v>32</v>
      </c>
      <c r="C29" s="27">
        <f>SUM(C25:C28)</f>
        <v>74943386</v>
      </c>
      <c r="D29" s="27">
        <f>SUM(D25:D28)</f>
        <v>188808910</v>
      </c>
      <c r="E29" s="27">
        <f>D29-C29</f>
        <v>113865524</v>
      </c>
      <c r="F29" s="28">
        <f>IF(C29=0,0,E29/C29)</f>
        <v>1.5193538760044816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234672059</v>
      </c>
      <c r="D32" s="23">
        <v>210629807</v>
      </c>
      <c r="E32" s="23">
        <f>D32-C32</f>
        <v>-24042252</v>
      </c>
      <c r="F32" s="24">
        <f>IF(C32=0,0,E32/C32)</f>
        <v>-0.10245042423222613</v>
      </c>
    </row>
    <row r="33" spans="1:8" ht="24" customHeight="1" x14ac:dyDescent="0.2">
      <c r="A33" s="21">
        <v>7</v>
      </c>
      <c r="B33" s="22" t="s">
        <v>35</v>
      </c>
      <c r="C33" s="23">
        <v>15258295</v>
      </c>
      <c r="D33" s="23">
        <v>25794210</v>
      </c>
      <c r="E33" s="23">
        <f>D33-C33</f>
        <v>10535915</v>
      </c>
      <c r="F33" s="24">
        <f>IF(C33=0,0,E33/C33)</f>
        <v>0.69050408318884904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555435509</v>
      </c>
      <c r="D36" s="23">
        <v>627841143</v>
      </c>
      <c r="E36" s="23">
        <f>D36-C36</f>
        <v>72405634</v>
      </c>
      <c r="F36" s="24">
        <f>IF(C36=0,0,E36/C36)</f>
        <v>0.13035830951888241</v>
      </c>
    </row>
    <row r="37" spans="1:8" ht="24" customHeight="1" x14ac:dyDescent="0.2">
      <c r="A37" s="21">
        <v>2</v>
      </c>
      <c r="B37" s="22" t="s">
        <v>39</v>
      </c>
      <c r="C37" s="23">
        <v>352143546</v>
      </c>
      <c r="D37" s="23">
        <v>388704091</v>
      </c>
      <c r="E37" s="23">
        <f>D37-C37</f>
        <v>36560545</v>
      </c>
      <c r="F37" s="23">
        <f>IF(C37=0,0,E37/C37)</f>
        <v>0.10382284558468097</v>
      </c>
    </row>
    <row r="38" spans="1:8" ht="24" customHeight="1" x14ac:dyDescent="0.25">
      <c r="A38" s="25"/>
      <c r="B38" s="26" t="s">
        <v>40</v>
      </c>
      <c r="C38" s="27">
        <f>C36-C37</f>
        <v>203291963</v>
      </c>
      <c r="D38" s="27">
        <f>D36-D37</f>
        <v>239137052</v>
      </c>
      <c r="E38" s="27">
        <f>D38-C38</f>
        <v>35845089</v>
      </c>
      <c r="F38" s="28">
        <f>IF(C38=0,0,E38/C38)</f>
        <v>0.17632319778426261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21879446</v>
      </c>
      <c r="D40" s="23">
        <v>27578848</v>
      </c>
      <c r="E40" s="23">
        <f>D40-C40</f>
        <v>5699402</v>
      </c>
      <c r="F40" s="24">
        <f>IF(C40=0,0,E40/C40)</f>
        <v>0.26049114771918813</v>
      </c>
    </row>
    <row r="41" spans="1:8" ht="24" customHeight="1" x14ac:dyDescent="0.25">
      <c r="A41" s="25"/>
      <c r="B41" s="26" t="s">
        <v>42</v>
      </c>
      <c r="C41" s="27">
        <f>+C38+C40</f>
        <v>225171409</v>
      </c>
      <c r="D41" s="27">
        <f>+D38+D40</f>
        <v>266715900</v>
      </c>
      <c r="E41" s="27">
        <f>D41-C41</f>
        <v>41544491</v>
      </c>
      <c r="F41" s="28">
        <f>IF(C41=0,0,E41/C41)</f>
        <v>0.18450162560380834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699547652</v>
      </c>
      <c r="D43" s="27">
        <f>D22+D29+D31+D32+D33+D41</f>
        <v>856259145</v>
      </c>
      <c r="E43" s="27">
        <f>D43-C43</f>
        <v>156711493</v>
      </c>
      <c r="F43" s="28">
        <f>IF(C43=0,0,E43/C43)</f>
        <v>0.22401832463015686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37457932</v>
      </c>
      <c r="D49" s="23">
        <v>41087673</v>
      </c>
      <c r="E49" s="23">
        <f t="shared" ref="E49:E56" si="2">D49-C49</f>
        <v>3629741</v>
      </c>
      <c r="F49" s="24">
        <f t="shared" ref="F49:F56" si="3">IF(C49=0,0,E49/C49)</f>
        <v>9.6901799063546804E-2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16877046</v>
      </c>
      <c r="D50" s="23">
        <v>28131050</v>
      </c>
      <c r="E50" s="23">
        <f t="shared" si="2"/>
        <v>11254004</v>
      </c>
      <c r="F50" s="24">
        <f t="shared" si="3"/>
        <v>0.66682309214539082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14882325</v>
      </c>
      <c r="D51" s="23">
        <v>15337343</v>
      </c>
      <c r="E51" s="23">
        <f t="shared" si="2"/>
        <v>455018</v>
      </c>
      <c r="F51" s="24">
        <f t="shared" si="3"/>
        <v>3.0574389418320053E-2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6455637</v>
      </c>
      <c r="D53" s="23">
        <v>3024773</v>
      </c>
      <c r="E53" s="23">
        <f t="shared" si="2"/>
        <v>-3430864</v>
      </c>
      <c r="F53" s="24">
        <f t="shared" si="3"/>
        <v>-0.5314524345157573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31870000</v>
      </c>
      <c r="D55" s="23">
        <v>0</v>
      </c>
      <c r="E55" s="23">
        <f t="shared" si="2"/>
        <v>-31870000</v>
      </c>
      <c r="F55" s="24">
        <f t="shared" si="3"/>
        <v>-1</v>
      </c>
    </row>
    <row r="56" spans="1:6" ht="24" customHeight="1" x14ac:dyDescent="0.25">
      <c r="A56" s="25"/>
      <c r="B56" s="26" t="s">
        <v>54</v>
      </c>
      <c r="C56" s="27">
        <f>SUM(C49:C55)</f>
        <v>107542940</v>
      </c>
      <c r="D56" s="27">
        <f>SUM(D49:D55)</f>
        <v>87580839</v>
      </c>
      <c r="E56" s="27">
        <f t="shared" si="2"/>
        <v>-19962101</v>
      </c>
      <c r="F56" s="28">
        <f t="shared" si="3"/>
        <v>-0.18561981846507078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0</v>
      </c>
      <c r="D59" s="23">
        <v>0</v>
      </c>
      <c r="E59" s="23">
        <f>D59-C59</f>
        <v>0</v>
      </c>
      <c r="F59" s="24">
        <f>IF(C59=0,0,E59/C59)</f>
        <v>0</v>
      </c>
    </row>
    <row r="60" spans="1:6" ht="24" customHeight="1" x14ac:dyDescent="0.2">
      <c r="A60" s="21">
        <v>2</v>
      </c>
      <c r="B60" s="22" t="s">
        <v>57</v>
      </c>
      <c r="C60" s="23">
        <v>92471763</v>
      </c>
      <c r="D60" s="23">
        <v>253514718</v>
      </c>
      <c r="E60" s="23">
        <f>D60-C60</f>
        <v>161042955</v>
      </c>
      <c r="F60" s="24">
        <f>IF(C60=0,0,E60/C60)</f>
        <v>1.7415365488381571</v>
      </c>
    </row>
    <row r="61" spans="1:6" ht="24" customHeight="1" x14ac:dyDescent="0.25">
      <c r="A61" s="25"/>
      <c r="B61" s="26" t="s">
        <v>58</v>
      </c>
      <c r="C61" s="27">
        <f>SUM(C59:C60)</f>
        <v>92471763</v>
      </c>
      <c r="D61" s="27">
        <f>SUM(D59:D60)</f>
        <v>253514718</v>
      </c>
      <c r="E61" s="27">
        <f>D61-C61</f>
        <v>161042955</v>
      </c>
      <c r="F61" s="28">
        <f>IF(C61=0,0,E61/C61)</f>
        <v>1.7415365488381571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0</v>
      </c>
      <c r="D63" s="23">
        <v>0</v>
      </c>
      <c r="E63" s="23">
        <f>D63-C63</f>
        <v>0</v>
      </c>
      <c r="F63" s="24">
        <f>IF(C63=0,0,E63/C63)</f>
        <v>0</v>
      </c>
    </row>
    <row r="64" spans="1:6" ht="24" customHeight="1" x14ac:dyDescent="0.2">
      <c r="A64" s="21">
        <v>4</v>
      </c>
      <c r="B64" s="22" t="s">
        <v>60</v>
      </c>
      <c r="C64" s="23">
        <v>187819681</v>
      </c>
      <c r="D64" s="23">
        <v>166759146</v>
      </c>
      <c r="E64" s="23">
        <f>D64-C64</f>
        <v>-21060535</v>
      </c>
      <c r="F64" s="24">
        <f>IF(C64=0,0,E64/C64)</f>
        <v>-0.11213167271857948</v>
      </c>
    </row>
    <row r="65" spans="1:6" ht="24" customHeight="1" x14ac:dyDescent="0.25">
      <c r="A65" s="25"/>
      <c r="B65" s="26" t="s">
        <v>61</v>
      </c>
      <c r="C65" s="27">
        <f>SUM(C61:C64)</f>
        <v>280291444</v>
      </c>
      <c r="D65" s="27">
        <f>SUM(D61:D64)</f>
        <v>420273864</v>
      </c>
      <c r="E65" s="27">
        <f>D65-C65</f>
        <v>139982420</v>
      </c>
      <c r="F65" s="28">
        <f>IF(C65=0,0,E65/C65)</f>
        <v>0.49941738499873722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246220345</v>
      </c>
      <c r="D70" s="23">
        <v>286369831</v>
      </c>
      <c r="E70" s="23">
        <f>D70-C70</f>
        <v>40149486</v>
      </c>
      <c r="F70" s="24">
        <f>IF(C70=0,0,E70/C70)</f>
        <v>0.16306323508725487</v>
      </c>
    </row>
    <row r="71" spans="1:6" ht="24" customHeight="1" x14ac:dyDescent="0.2">
      <c r="A71" s="21">
        <v>2</v>
      </c>
      <c r="B71" s="22" t="s">
        <v>65</v>
      </c>
      <c r="C71" s="23">
        <v>33595748</v>
      </c>
      <c r="D71" s="23">
        <v>30149404</v>
      </c>
      <c r="E71" s="23">
        <f>D71-C71</f>
        <v>-3446344</v>
      </c>
      <c r="F71" s="24">
        <f>IF(C71=0,0,E71/C71)</f>
        <v>-0.10258274350670805</v>
      </c>
    </row>
    <row r="72" spans="1:6" ht="24" customHeight="1" x14ac:dyDescent="0.2">
      <c r="A72" s="21">
        <v>3</v>
      </c>
      <c r="B72" s="22" t="s">
        <v>66</v>
      </c>
      <c r="C72" s="23">
        <v>31897175</v>
      </c>
      <c r="D72" s="23">
        <v>31885207</v>
      </c>
      <c r="E72" s="23">
        <f>D72-C72</f>
        <v>-11968</v>
      </c>
      <c r="F72" s="24">
        <f>IF(C72=0,0,E72/C72)</f>
        <v>-3.7520564125192904E-4</v>
      </c>
    </row>
    <row r="73" spans="1:6" ht="24" customHeight="1" x14ac:dyDescent="0.25">
      <c r="A73" s="21"/>
      <c r="B73" s="26" t="s">
        <v>67</v>
      </c>
      <c r="C73" s="27">
        <f>SUM(C70:C72)</f>
        <v>311713268</v>
      </c>
      <c r="D73" s="27">
        <f>SUM(D70:D72)</f>
        <v>348404442</v>
      </c>
      <c r="E73" s="27">
        <f>D73-C73</f>
        <v>36691174</v>
      </c>
      <c r="F73" s="28">
        <f>IF(C73=0,0,E73/C73)</f>
        <v>0.11770809191221208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699547652</v>
      </c>
      <c r="D75" s="27">
        <f>D56+D65+D67+D73</f>
        <v>856259145</v>
      </c>
      <c r="E75" s="27">
        <f>D75-C75</f>
        <v>156711493</v>
      </c>
      <c r="F75" s="28">
        <f>IF(C75=0,0,E75/C75)</f>
        <v>0.22401832463015686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FILING&amp;RWESTERN CONNECTICUT HEALTH NETWORK INC.(FORMERLY WESTERN CONNECTICUT HEALTHCARE, INC.)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479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481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1350505746</v>
      </c>
      <c r="D12" s="51">
        <v>1620897693</v>
      </c>
      <c r="E12" s="51">
        <f t="shared" ref="E12:E19" si="0">D12-C12</f>
        <v>270391947</v>
      </c>
      <c r="F12" s="70">
        <f t="shared" ref="F12:F19" si="1">IF(C12=0,0,E12/C12)</f>
        <v>0.20021532511124909</v>
      </c>
    </row>
    <row r="13" spans="1:8" ht="23.1" customHeight="1" x14ac:dyDescent="0.2">
      <c r="A13" s="25">
        <v>2</v>
      </c>
      <c r="B13" s="48" t="s">
        <v>72</v>
      </c>
      <c r="C13" s="51">
        <v>728277143</v>
      </c>
      <c r="D13" s="51">
        <v>884704840</v>
      </c>
      <c r="E13" s="51">
        <f t="shared" si="0"/>
        <v>156427697</v>
      </c>
      <c r="F13" s="70">
        <f t="shared" si="1"/>
        <v>0.2147914410105275</v>
      </c>
    </row>
    <row r="14" spans="1:8" ht="23.1" customHeight="1" x14ac:dyDescent="0.2">
      <c r="A14" s="25">
        <v>3</v>
      </c>
      <c r="B14" s="48" t="s">
        <v>73</v>
      </c>
      <c r="C14" s="51">
        <v>15362625</v>
      </c>
      <c r="D14" s="51">
        <v>15667675</v>
      </c>
      <c r="E14" s="51">
        <f t="shared" si="0"/>
        <v>305050</v>
      </c>
      <c r="F14" s="70">
        <f t="shared" si="1"/>
        <v>1.9856632574185726E-2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606865978</v>
      </c>
      <c r="D16" s="27">
        <f>D12-D13-D14-D15</f>
        <v>720525178</v>
      </c>
      <c r="E16" s="27">
        <f t="shared" si="0"/>
        <v>113659200</v>
      </c>
      <c r="F16" s="28">
        <f t="shared" si="1"/>
        <v>0.18728879871397239</v>
      </c>
    </row>
    <row r="17" spans="1:7" ht="23.1" customHeight="1" x14ac:dyDescent="0.2">
      <c r="A17" s="25">
        <v>5</v>
      </c>
      <c r="B17" s="48" t="s">
        <v>76</v>
      </c>
      <c r="C17" s="51">
        <v>15295373</v>
      </c>
      <c r="D17" s="51">
        <v>14009110</v>
      </c>
      <c r="E17" s="51">
        <f t="shared" si="0"/>
        <v>-1286263</v>
      </c>
      <c r="F17" s="70">
        <f t="shared" si="1"/>
        <v>-8.4094908963645409E-2</v>
      </c>
      <c r="G17" s="64"/>
    </row>
    <row r="18" spans="1:7" ht="33" customHeight="1" x14ac:dyDescent="0.2">
      <c r="A18" s="25">
        <v>6</v>
      </c>
      <c r="B18" s="45" t="s">
        <v>77</v>
      </c>
      <c r="C18" s="51">
        <v>2790050</v>
      </c>
      <c r="D18" s="51">
        <v>3167079</v>
      </c>
      <c r="E18" s="51">
        <f t="shared" si="0"/>
        <v>377029</v>
      </c>
      <c r="F18" s="70">
        <f t="shared" si="1"/>
        <v>0.13513342054801886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624951401</v>
      </c>
      <c r="D19" s="27">
        <f>SUM(D16:D18)</f>
        <v>737701367</v>
      </c>
      <c r="E19" s="27">
        <f t="shared" si="0"/>
        <v>112749966</v>
      </c>
      <c r="F19" s="28">
        <f t="shared" si="1"/>
        <v>0.18041397430197936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361252292</v>
      </c>
      <c r="D22" s="51">
        <v>458708798</v>
      </c>
      <c r="E22" s="51">
        <f t="shared" ref="E22:E31" si="2">D22-C22</f>
        <v>97456506</v>
      </c>
      <c r="F22" s="70">
        <f t="shared" ref="F22:F31" si="3">IF(C22=0,0,E22/C22)</f>
        <v>0.26977408353716409</v>
      </c>
    </row>
    <row r="23" spans="1:7" ht="23.1" customHeight="1" x14ac:dyDescent="0.2">
      <c r="A23" s="25">
        <v>2</v>
      </c>
      <c r="B23" s="48" t="s">
        <v>81</v>
      </c>
      <c r="C23" s="51">
        <v>0</v>
      </c>
      <c r="D23" s="51">
        <v>0</v>
      </c>
      <c r="E23" s="51">
        <f t="shared" si="2"/>
        <v>0</v>
      </c>
      <c r="F23" s="70">
        <f t="shared" si="3"/>
        <v>0</v>
      </c>
    </row>
    <row r="24" spans="1:7" ht="23.1" customHeight="1" x14ac:dyDescent="0.2">
      <c r="A24" s="25">
        <v>3</v>
      </c>
      <c r="B24" s="48" t="s">
        <v>82</v>
      </c>
      <c r="C24" s="51">
        <v>0</v>
      </c>
      <c r="D24" s="51">
        <v>0</v>
      </c>
      <c r="E24" s="51">
        <f t="shared" si="2"/>
        <v>0</v>
      </c>
      <c r="F24" s="70">
        <f t="shared" si="3"/>
        <v>0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0</v>
      </c>
      <c r="D25" s="51">
        <v>0</v>
      </c>
      <c r="E25" s="51">
        <f t="shared" si="2"/>
        <v>0</v>
      </c>
      <c r="F25" s="70">
        <f t="shared" si="3"/>
        <v>0</v>
      </c>
    </row>
    <row r="26" spans="1:7" ht="23.1" customHeight="1" x14ac:dyDescent="0.2">
      <c r="A26" s="25">
        <v>5</v>
      </c>
      <c r="B26" s="48" t="s">
        <v>84</v>
      </c>
      <c r="C26" s="51">
        <v>33299043</v>
      </c>
      <c r="D26" s="51">
        <v>36236656</v>
      </c>
      <c r="E26" s="51">
        <f t="shared" si="2"/>
        <v>2937613</v>
      </c>
      <c r="F26" s="70">
        <f t="shared" si="3"/>
        <v>8.8219141913477808E-2</v>
      </c>
    </row>
    <row r="27" spans="1:7" ht="23.1" customHeight="1" x14ac:dyDescent="0.2">
      <c r="A27" s="25">
        <v>6</v>
      </c>
      <c r="B27" s="48" t="s">
        <v>85</v>
      </c>
      <c r="C27" s="51">
        <v>14229424</v>
      </c>
      <c r="D27" s="51">
        <v>26465527</v>
      </c>
      <c r="E27" s="51">
        <f t="shared" si="2"/>
        <v>12236103</v>
      </c>
      <c r="F27" s="70">
        <f t="shared" si="3"/>
        <v>0.85991555244962836</v>
      </c>
    </row>
    <row r="28" spans="1:7" ht="23.1" customHeight="1" x14ac:dyDescent="0.2">
      <c r="A28" s="25">
        <v>7</v>
      </c>
      <c r="B28" s="48" t="s">
        <v>86</v>
      </c>
      <c r="C28" s="51">
        <v>5539104</v>
      </c>
      <c r="D28" s="51">
        <v>5333933</v>
      </c>
      <c r="E28" s="51">
        <f t="shared" si="2"/>
        <v>-205171</v>
      </c>
      <c r="F28" s="70">
        <f t="shared" si="3"/>
        <v>-3.7040467194694303E-2</v>
      </c>
    </row>
    <row r="29" spans="1:7" ht="23.1" customHeight="1" x14ac:dyDescent="0.2">
      <c r="A29" s="25">
        <v>8</v>
      </c>
      <c r="B29" s="48" t="s">
        <v>87</v>
      </c>
      <c r="C29" s="51">
        <v>0</v>
      </c>
      <c r="D29" s="51">
        <v>0</v>
      </c>
      <c r="E29" s="51">
        <f t="shared" si="2"/>
        <v>0</v>
      </c>
      <c r="F29" s="70">
        <f t="shared" si="3"/>
        <v>0</v>
      </c>
    </row>
    <row r="30" spans="1:7" ht="23.1" customHeight="1" x14ac:dyDescent="0.2">
      <c r="A30" s="25">
        <v>9</v>
      </c>
      <c r="B30" s="48" t="s">
        <v>88</v>
      </c>
      <c r="C30" s="51">
        <v>188884825</v>
      </c>
      <c r="D30" s="51">
        <v>219356406</v>
      </c>
      <c r="E30" s="51">
        <f t="shared" si="2"/>
        <v>30471581</v>
      </c>
      <c r="F30" s="70">
        <f t="shared" si="3"/>
        <v>0.16132360553580732</v>
      </c>
    </row>
    <row r="31" spans="1:7" ht="23.1" customHeight="1" x14ac:dyDescent="0.25">
      <c r="A31" s="29"/>
      <c r="B31" s="71" t="s">
        <v>89</v>
      </c>
      <c r="C31" s="27">
        <f>SUM(C22:C30)</f>
        <v>603204688</v>
      </c>
      <c r="D31" s="27">
        <f>SUM(D22:D30)</f>
        <v>746101320</v>
      </c>
      <c r="E31" s="27">
        <f t="shared" si="2"/>
        <v>142896632</v>
      </c>
      <c r="F31" s="28">
        <f t="shared" si="3"/>
        <v>0.23689575834331048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21746713</v>
      </c>
      <c r="D33" s="27">
        <f>+D19-D31</f>
        <v>-8399953</v>
      </c>
      <c r="E33" s="27">
        <f>D33-C33</f>
        <v>-30146666</v>
      </c>
      <c r="F33" s="28">
        <f>IF(C33=0,0,E33/C33)</f>
        <v>-1.3862631101996885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7688148</v>
      </c>
      <c r="D36" s="51">
        <v>9355429</v>
      </c>
      <c r="E36" s="51">
        <f>D36-C36</f>
        <v>1667281</v>
      </c>
      <c r="F36" s="70">
        <f>IF(C36=0,0,E36/C36)</f>
        <v>0.21686380126917432</v>
      </c>
    </row>
    <row r="37" spans="1:6" ht="23.1" customHeight="1" x14ac:dyDescent="0.2">
      <c r="A37" s="44">
        <v>2</v>
      </c>
      <c r="B37" s="48" t="s">
        <v>93</v>
      </c>
      <c r="C37" s="51">
        <v>3404377</v>
      </c>
      <c r="D37" s="51">
        <v>3166972</v>
      </c>
      <c r="E37" s="51">
        <f>D37-C37</f>
        <v>-237405</v>
      </c>
      <c r="F37" s="70">
        <f>IF(C37=0,0,E37/C37)</f>
        <v>-6.9735226151510246E-2</v>
      </c>
    </row>
    <row r="38" spans="1:6" ht="23.1" customHeight="1" x14ac:dyDescent="0.2">
      <c r="A38" s="44">
        <v>3</v>
      </c>
      <c r="B38" s="48" t="s">
        <v>94</v>
      </c>
      <c r="C38" s="51">
        <v>10722195</v>
      </c>
      <c r="D38" s="51">
        <v>-6929617</v>
      </c>
      <c r="E38" s="51">
        <f>D38-C38</f>
        <v>-17651812</v>
      </c>
      <c r="F38" s="70">
        <f>IF(C38=0,0,E38/C38)</f>
        <v>-1.6462871641487586</v>
      </c>
    </row>
    <row r="39" spans="1:6" ht="23.1" customHeight="1" x14ac:dyDescent="0.25">
      <c r="A39" s="20"/>
      <c r="B39" s="71" t="s">
        <v>95</v>
      </c>
      <c r="C39" s="27">
        <f>SUM(C36:C38)</f>
        <v>21814720</v>
      </c>
      <c r="D39" s="27">
        <f>SUM(D36:D38)</f>
        <v>5592784</v>
      </c>
      <c r="E39" s="27">
        <f>D39-C39</f>
        <v>-16221936</v>
      </c>
      <c r="F39" s="28">
        <f>IF(C39=0,0,E39/C39)</f>
        <v>-0.7436233882442681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43561433</v>
      </c>
      <c r="D41" s="27">
        <f>D33+D39</f>
        <v>-2807169</v>
      </c>
      <c r="E41" s="27">
        <f>D41-C41</f>
        <v>-46368602</v>
      </c>
      <c r="F41" s="28">
        <f>IF(C41=0,0,E41/C41)</f>
        <v>-1.0644416128367493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43561433</v>
      </c>
      <c r="D48" s="27">
        <f>D41+D46</f>
        <v>-2807169</v>
      </c>
      <c r="E48" s="27">
        <f>D48-C48</f>
        <v>-46368602</v>
      </c>
      <c r="F48" s="28">
        <f>IF(C48=0,0,E48/C48)</f>
        <v>-1.0644416128367493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/>
  <headerFooter>
    <oddHeader>&amp;L&amp;8OFFICE OF HEALTH CARE ACCESS&amp;C&amp;8TWELVE MONTHS ACTUAL FILING&amp;R&amp;8WESTERN CONNECTICUT HEALTH NETWORK INC.(FORMERLY WESTERN CONNECTICUT HEALTHCARE, INC.)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2012-06-28T12:44:04Z</cp:lastPrinted>
  <dcterms:created xsi:type="dcterms:W3CDTF">2006-08-03T13:49:12Z</dcterms:created>
  <dcterms:modified xsi:type="dcterms:W3CDTF">2012-06-28T12:44:26Z</dcterms:modified>
</cp:coreProperties>
</file>