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0" i="14"/>
  <c r="D229" i="14"/>
  <c r="D226" i="14"/>
  <c r="D227" i="14" s="1"/>
  <c r="D223" i="14"/>
  <c r="D204" i="14"/>
  <c r="D285" i="14" s="1"/>
  <c r="D203" i="14"/>
  <c r="D283" i="14" s="1"/>
  <c r="D267" i="14"/>
  <c r="D198" i="14"/>
  <c r="D290" i="14"/>
  <c r="D191" i="14"/>
  <c r="D264" i="14"/>
  <c r="D189" i="14"/>
  <c r="D262" i="14"/>
  <c r="D188" i="14"/>
  <c r="D214" i="14" s="1"/>
  <c r="D254" i="14" s="1"/>
  <c r="D180" i="14"/>
  <c r="D179" i="14"/>
  <c r="D181" i="14" s="1"/>
  <c r="D171" i="14"/>
  <c r="D172" i="14"/>
  <c r="D170" i="14"/>
  <c r="D165" i="14"/>
  <c r="D164" i="14"/>
  <c r="D159" i="14"/>
  <c r="D158" i="14"/>
  <c r="D155" i="14"/>
  <c r="D145" i="14"/>
  <c r="D144" i="14"/>
  <c r="D146" i="14" s="1"/>
  <c r="D136" i="14"/>
  <c r="D137" i="14" s="1"/>
  <c r="D135" i="14"/>
  <c r="D130" i="14"/>
  <c r="D129" i="14"/>
  <c r="D123" i="14"/>
  <c r="D192" i="14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68" i="14" s="1"/>
  <c r="D59" i="14"/>
  <c r="D60" i="14" s="1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 s="1"/>
  <c r="D32" i="14" s="1"/>
  <c r="D29" i="14"/>
  <c r="D24" i="14"/>
  <c r="D23" i="14"/>
  <c r="D20" i="14"/>
  <c r="D21" i="14"/>
  <c r="D49" i="14" s="1"/>
  <c r="D50" i="14" s="1"/>
  <c r="D17" i="14"/>
  <c r="E97" i="19"/>
  <c r="D97" i="19"/>
  <c r="C97" i="19"/>
  <c r="E96" i="19"/>
  <c r="D96" i="19"/>
  <c r="D98" i="19" s="1"/>
  <c r="C96" i="19"/>
  <c r="C98" i="19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E88" i="19" s="1"/>
  <c r="D86" i="19"/>
  <c r="C86" i="19"/>
  <c r="C88" i="19" s="1"/>
  <c r="E83" i="19"/>
  <c r="D83" i="19"/>
  <c r="C83" i="19"/>
  <c r="E76" i="19"/>
  <c r="E102" i="19" s="1"/>
  <c r="D76" i="19"/>
  <c r="C76" i="19"/>
  <c r="E75" i="19"/>
  <c r="E77" i="19" s="1"/>
  <c r="D75" i="19"/>
  <c r="D77" i="19" s="1"/>
  <c r="C75" i="19"/>
  <c r="C77" i="19" s="1"/>
  <c r="C108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D23" i="19"/>
  <c r="D46" i="19" s="1"/>
  <c r="D22" i="19"/>
  <c r="D53" i="19" s="1"/>
  <c r="E21" i="19"/>
  <c r="D21" i="19"/>
  <c r="C21" i="19"/>
  <c r="E12" i="19"/>
  <c r="E34" i="19"/>
  <c r="D12" i="19"/>
  <c r="D33" i="19"/>
  <c r="C12" i="19"/>
  <c r="C34" i="19" s="1"/>
  <c r="C33" i="19"/>
  <c r="D21" i="18"/>
  <c r="C21" i="18"/>
  <c r="D19" i="18"/>
  <c r="C19" i="18"/>
  <c r="E17" i="18"/>
  <c r="F17" i="18"/>
  <c r="E15" i="18"/>
  <c r="F15" i="18" s="1"/>
  <c r="D45" i="17"/>
  <c r="E45" i="17" s="1"/>
  <c r="C45" i="17"/>
  <c r="D44" i="17"/>
  <c r="E44" i="17" s="1"/>
  <c r="C44" i="17"/>
  <c r="D43" i="17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E30" i="17"/>
  <c r="F30" i="17" s="1"/>
  <c r="E29" i="17"/>
  <c r="F29" i="17"/>
  <c r="E28" i="17"/>
  <c r="F28" i="17" s="1"/>
  <c r="E27" i="17"/>
  <c r="F27" i="17" s="1"/>
  <c r="D25" i="17"/>
  <c r="D39" i="17" s="1"/>
  <c r="C25" i="17"/>
  <c r="E24" i="17"/>
  <c r="F24" i="17" s="1"/>
  <c r="E23" i="17"/>
  <c r="F23" i="17" s="1"/>
  <c r="E22" i="17"/>
  <c r="F22" i="17" s="1"/>
  <c r="D19" i="17"/>
  <c r="D20" i="17" s="1"/>
  <c r="C19" i="17"/>
  <c r="E18" i="17"/>
  <c r="F18" i="17" s="1"/>
  <c r="D16" i="17"/>
  <c r="C16" i="17"/>
  <c r="E15" i="17"/>
  <c r="F15" i="17" s="1"/>
  <c r="E13" i="17"/>
  <c r="F13" i="17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/>
  <c r="C65" i="16" s="1"/>
  <c r="C114" i="16" s="1"/>
  <c r="C116" i="16" s="1"/>
  <c r="C119" i="16" s="1"/>
  <c r="C123" i="16" s="1"/>
  <c r="C36" i="16"/>
  <c r="C33" i="16"/>
  <c r="C32" i="16"/>
  <c r="C21" i="16"/>
  <c r="C37" i="16" s="1"/>
  <c r="C38" i="16" s="1"/>
  <c r="C127" i="16" s="1"/>
  <c r="C129" i="16" s="1"/>
  <c r="C133" i="16" s="1"/>
  <c r="E328" i="15"/>
  <c r="E325" i="15"/>
  <c r="D324" i="15"/>
  <c r="E324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C293" i="15"/>
  <c r="E293" i="15"/>
  <c r="D292" i="15"/>
  <c r="C292" i="15"/>
  <c r="D291" i="15"/>
  <c r="C291" i="15"/>
  <c r="D290" i="15"/>
  <c r="E290" i="15"/>
  <c r="C290" i="15"/>
  <c r="D288" i="15"/>
  <c r="C288" i="15"/>
  <c r="D287" i="15"/>
  <c r="E287" i="15" s="1"/>
  <c r="C287" i="15"/>
  <c r="D282" i="15"/>
  <c r="C282" i="15"/>
  <c r="E282" i="15" s="1"/>
  <c r="D281" i="15"/>
  <c r="E281" i="15"/>
  <c r="C281" i="15"/>
  <c r="D280" i="15"/>
  <c r="E280" i="15" s="1"/>
  <c r="C280" i="15"/>
  <c r="D279" i="15"/>
  <c r="C279" i="15"/>
  <c r="D278" i="15"/>
  <c r="C278" i="15"/>
  <c r="D277" i="15"/>
  <c r="E277" i="15" s="1"/>
  <c r="C277" i="15"/>
  <c r="D276" i="15"/>
  <c r="C276" i="15"/>
  <c r="E270" i="15"/>
  <c r="D265" i="15"/>
  <c r="D302" i="15"/>
  <c r="C265" i="15"/>
  <c r="D262" i="15"/>
  <c r="E262" i="15" s="1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D228" i="15"/>
  <c r="C228" i="15"/>
  <c r="E228" i="15" s="1"/>
  <c r="D227" i="15"/>
  <c r="E227" i="15" s="1"/>
  <c r="C227" i="15"/>
  <c r="D221" i="15"/>
  <c r="D245" i="15" s="1"/>
  <c r="C221" i="15"/>
  <c r="D220" i="15"/>
  <c r="D244" i="15" s="1"/>
  <c r="C220" i="15"/>
  <c r="C244" i="15" s="1"/>
  <c r="D219" i="15"/>
  <c r="D243" i="15" s="1"/>
  <c r="C219" i="15"/>
  <c r="C243" i="15" s="1"/>
  <c r="D218" i="15"/>
  <c r="C218" i="15"/>
  <c r="C242" i="15" s="1"/>
  <c r="D216" i="15"/>
  <c r="D240" i="15" s="1"/>
  <c r="E240" i="15" s="1"/>
  <c r="C216" i="15"/>
  <c r="C240" i="15" s="1"/>
  <c r="D215" i="15"/>
  <c r="D239" i="15" s="1"/>
  <c r="E239" i="15" s="1"/>
  <c r="C215" i="15"/>
  <c r="C239" i="15" s="1"/>
  <c r="E209" i="15"/>
  <c r="E208" i="15"/>
  <c r="E207" i="15"/>
  <c r="E206" i="15"/>
  <c r="D205" i="15"/>
  <c r="D229" i="15" s="1"/>
  <c r="C205" i="15"/>
  <c r="C229" i="15" s="1"/>
  <c r="E204" i="15"/>
  <c r="E203" i="15"/>
  <c r="E197" i="15"/>
  <c r="E196" i="15"/>
  <c r="D195" i="15"/>
  <c r="E195" i="15" s="1"/>
  <c r="C195" i="15"/>
  <c r="C260" i="15" s="1"/>
  <c r="E194" i="15"/>
  <c r="E193" i="15"/>
  <c r="E192" i="15"/>
  <c r="E191" i="15"/>
  <c r="E190" i="15"/>
  <c r="D188" i="15"/>
  <c r="D189" i="15" s="1"/>
  <c r="C188" i="15"/>
  <c r="C261" i="15" s="1"/>
  <c r="E186" i="15"/>
  <c r="E185" i="15"/>
  <c r="D179" i="15"/>
  <c r="C179" i="15"/>
  <c r="D178" i="15"/>
  <c r="C178" i="15"/>
  <c r="D177" i="15"/>
  <c r="E177" i="15" s="1"/>
  <c r="C177" i="15"/>
  <c r="D176" i="15"/>
  <c r="C176" i="15"/>
  <c r="D174" i="15"/>
  <c r="C174" i="15"/>
  <c r="E174" i="15" s="1"/>
  <c r="D173" i="15"/>
  <c r="C173" i="15"/>
  <c r="D167" i="15"/>
  <c r="C167" i="15"/>
  <c r="E167" i="15" s="1"/>
  <c r="D166" i="15"/>
  <c r="E166" i="15"/>
  <c r="C166" i="15"/>
  <c r="D165" i="15"/>
  <c r="E165" i="15" s="1"/>
  <c r="C165" i="15"/>
  <c r="D164" i="15"/>
  <c r="C164" i="15"/>
  <c r="D162" i="15"/>
  <c r="E162" i="15" s="1"/>
  <c r="C162" i="15"/>
  <c r="D161" i="15"/>
  <c r="E161" i="15" s="1"/>
  <c r="C161" i="15"/>
  <c r="E155" i="15"/>
  <c r="E154" i="15"/>
  <c r="E153" i="15"/>
  <c r="E152" i="15"/>
  <c r="D151" i="15"/>
  <c r="D156" i="15"/>
  <c r="D157" i="15" s="1"/>
  <c r="C151" i="15"/>
  <c r="E151" i="15" s="1"/>
  <c r="E150" i="15"/>
  <c r="E149" i="15"/>
  <c r="E143" i="15"/>
  <c r="E142" i="15"/>
  <c r="E141" i="15"/>
  <c r="E140" i="15"/>
  <c r="D139" i="15"/>
  <c r="C139" i="15"/>
  <c r="C175" i="15" s="1"/>
  <c r="E138" i="15"/>
  <c r="E137" i="15"/>
  <c r="D75" i="15"/>
  <c r="E75" i="15" s="1"/>
  <c r="C75" i="15"/>
  <c r="D74" i="15"/>
  <c r="C74" i="15"/>
  <c r="D73" i="15"/>
  <c r="C73" i="15"/>
  <c r="E73" i="15"/>
  <c r="D72" i="15"/>
  <c r="C72" i="15"/>
  <c r="D70" i="15"/>
  <c r="C70" i="15"/>
  <c r="D69" i="15"/>
  <c r="C69" i="15"/>
  <c r="E69" i="15" s="1"/>
  <c r="E64" i="15"/>
  <c r="E63" i="15"/>
  <c r="E62" i="15"/>
  <c r="E61" i="15"/>
  <c r="D60" i="15"/>
  <c r="D65" i="15" s="1"/>
  <c r="D66" i="15" s="1"/>
  <c r="C60" i="15"/>
  <c r="E59" i="15"/>
  <c r="E58" i="15"/>
  <c r="D54" i="15"/>
  <c r="D55" i="15" s="1"/>
  <c r="C54" i="15"/>
  <c r="E53" i="15"/>
  <c r="E52" i="15"/>
  <c r="E51" i="15"/>
  <c r="E50" i="15"/>
  <c r="E49" i="15"/>
  <c r="E48" i="15"/>
  <c r="E47" i="15"/>
  <c r="D42" i="15"/>
  <c r="C42" i="15"/>
  <c r="D41" i="15"/>
  <c r="C41" i="15"/>
  <c r="E41" i="15" s="1"/>
  <c r="D40" i="15"/>
  <c r="E40" i="15" s="1"/>
  <c r="C40" i="15"/>
  <c r="D39" i="15"/>
  <c r="C39" i="15"/>
  <c r="D38" i="15"/>
  <c r="C38" i="15"/>
  <c r="D37" i="15"/>
  <c r="D43" i="15" s="1"/>
  <c r="C37" i="15"/>
  <c r="D36" i="15"/>
  <c r="E36" i="15" s="1"/>
  <c r="C36" i="15"/>
  <c r="D32" i="15"/>
  <c r="C32" i="15"/>
  <c r="E31" i="15"/>
  <c r="E30" i="15"/>
  <c r="E29" i="15"/>
  <c r="E28" i="15"/>
  <c r="E27" i="15"/>
  <c r="E26" i="15"/>
  <c r="E25" i="15"/>
  <c r="D21" i="15"/>
  <c r="C21" i="15"/>
  <c r="E21" i="15" s="1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F332" i="14"/>
  <c r="E332" i="14"/>
  <c r="E331" i="14"/>
  <c r="F331" i="14" s="1"/>
  <c r="E330" i="14"/>
  <c r="F330" i="14" s="1"/>
  <c r="F329" i="14"/>
  <c r="E329" i="14"/>
  <c r="F316" i="14"/>
  <c r="E316" i="14"/>
  <c r="C311" i="14"/>
  <c r="F308" i="14"/>
  <c r="E308" i="14"/>
  <c r="C307" i="14"/>
  <c r="C299" i="14"/>
  <c r="C298" i="14"/>
  <c r="C297" i="14"/>
  <c r="E297" i="14" s="1"/>
  <c r="F297" i="14" s="1"/>
  <c r="C296" i="14"/>
  <c r="E296" i="14" s="1"/>
  <c r="C295" i="14"/>
  <c r="E295" i="14" s="1"/>
  <c r="C294" i="14"/>
  <c r="C250" i="14"/>
  <c r="E249" i="14"/>
  <c r="F249" i="14" s="1"/>
  <c r="E248" i="14"/>
  <c r="F248" i="14"/>
  <c r="E245" i="14"/>
  <c r="F245" i="14" s="1"/>
  <c r="E244" i="14"/>
  <c r="F244" i="14" s="1"/>
  <c r="E243" i="14"/>
  <c r="F243" i="14" s="1"/>
  <c r="C238" i="14"/>
  <c r="E238" i="14" s="1"/>
  <c r="C237" i="14"/>
  <c r="E237" i="14" s="1"/>
  <c r="F237" i="14" s="1"/>
  <c r="F234" i="14"/>
  <c r="E234" i="14"/>
  <c r="E233" i="14"/>
  <c r="F233" i="14" s="1"/>
  <c r="C230" i="14"/>
  <c r="E230" i="14" s="1"/>
  <c r="C229" i="14"/>
  <c r="E229" i="14" s="1"/>
  <c r="F229" i="14" s="1"/>
  <c r="E228" i="14"/>
  <c r="F228" i="14" s="1"/>
  <c r="C226" i="14"/>
  <c r="C227" i="14" s="1"/>
  <c r="E227" i="14" s="1"/>
  <c r="E225" i="14"/>
  <c r="F225" i="14"/>
  <c r="E224" i="14"/>
  <c r="F224" i="14" s="1"/>
  <c r="C223" i="14"/>
  <c r="E223" i="14" s="1"/>
  <c r="E222" i="14"/>
  <c r="F222" i="14" s="1"/>
  <c r="E221" i="14"/>
  <c r="F221" i="14" s="1"/>
  <c r="C204" i="14"/>
  <c r="C269" i="14"/>
  <c r="C203" i="14"/>
  <c r="C198" i="14"/>
  <c r="C274" i="14" s="1"/>
  <c r="C191" i="14"/>
  <c r="E191" i="14" s="1"/>
  <c r="F191" i="14" s="1"/>
  <c r="C189" i="14"/>
  <c r="C188" i="14"/>
  <c r="C277" i="14" s="1"/>
  <c r="C180" i="14"/>
  <c r="E180" i="14" s="1"/>
  <c r="C179" i="14"/>
  <c r="E179" i="14"/>
  <c r="F179" i="14" s="1"/>
  <c r="C171" i="14"/>
  <c r="E171" i="14" s="1"/>
  <c r="E170" i="14"/>
  <c r="C170" i="14"/>
  <c r="E169" i="14"/>
  <c r="F169" i="14" s="1"/>
  <c r="E168" i="14"/>
  <c r="F168" i="14" s="1"/>
  <c r="C165" i="14"/>
  <c r="E165" i="14" s="1"/>
  <c r="F165" i="14" s="1"/>
  <c r="C164" i="14"/>
  <c r="E164" i="14" s="1"/>
  <c r="F164" i="14" s="1"/>
  <c r="E163" i="14"/>
  <c r="F163" i="14" s="1"/>
  <c r="C158" i="14"/>
  <c r="E158" i="14" s="1"/>
  <c r="F158" i="14" s="1"/>
  <c r="E157" i="14"/>
  <c r="F157" i="14" s="1"/>
  <c r="E156" i="14"/>
  <c r="F156" i="14" s="1"/>
  <c r="F155" i="14"/>
  <c r="C155" i="14"/>
  <c r="E155" i="14" s="1"/>
  <c r="F154" i="14"/>
  <c r="E154" i="14"/>
  <c r="F153" i="14"/>
  <c r="E153" i="14"/>
  <c r="C145" i="14"/>
  <c r="E145" i="14" s="1"/>
  <c r="C144" i="14"/>
  <c r="E144" i="14" s="1"/>
  <c r="C136" i="14"/>
  <c r="E136" i="14" s="1"/>
  <c r="C135" i="14"/>
  <c r="E135" i="14" s="1"/>
  <c r="E134" i="14"/>
  <c r="F134" i="14"/>
  <c r="E133" i="14"/>
  <c r="F133" i="14"/>
  <c r="C130" i="14"/>
  <c r="E130" i="14" s="1"/>
  <c r="C129" i="14"/>
  <c r="E129" i="14" s="1"/>
  <c r="E128" i="14"/>
  <c r="F128" i="14" s="1"/>
  <c r="C123" i="14"/>
  <c r="E123" i="14" s="1"/>
  <c r="E122" i="14"/>
  <c r="F122" i="14" s="1"/>
  <c r="E121" i="14"/>
  <c r="F121" i="14"/>
  <c r="C120" i="14"/>
  <c r="E120" i="14"/>
  <c r="F120" i="14" s="1"/>
  <c r="E119" i="14"/>
  <c r="F119" i="14" s="1"/>
  <c r="E118" i="14"/>
  <c r="F118" i="14" s="1"/>
  <c r="C110" i="14"/>
  <c r="C109" i="14"/>
  <c r="E109" i="14" s="1"/>
  <c r="C101" i="14"/>
  <c r="E101" i="14" s="1"/>
  <c r="C100" i="14"/>
  <c r="E100" i="14" s="1"/>
  <c r="F100" i="14" s="1"/>
  <c r="E99" i="14"/>
  <c r="F99" i="14" s="1"/>
  <c r="E98" i="14"/>
  <c r="F98" i="14" s="1"/>
  <c r="C95" i="14"/>
  <c r="E95" i="14" s="1"/>
  <c r="C94" i="14"/>
  <c r="E93" i="14"/>
  <c r="F93" i="14" s="1"/>
  <c r="C88" i="14"/>
  <c r="C89" i="14" s="1"/>
  <c r="E89" i="14" s="1"/>
  <c r="E87" i="14"/>
  <c r="F87" i="14" s="1"/>
  <c r="E86" i="14"/>
  <c r="F86" i="14" s="1"/>
  <c r="C85" i="14"/>
  <c r="E85" i="14" s="1"/>
  <c r="F85" i="14" s="1"/>
  <c r="E84" i="14"/>
  <c r="F84" i="14" s="1"/>
  <c r="E83" i="14"/>
  <c r="F83" i="14" s="1"/>
  <c r="C76" i="14"/>
  <c r="C77" i="14" s="1"/>
  <c r="E77" i="14" s="1"/>
  <c r="E74" i="14"/>
  <c r="F74" i="14" s="1"/>
  <c r="E73" i="14"/>
  <c r="F73" i="14" s="1"/>
  <c r="C67" i="14"/>
  <c r="E67" i="14" s="1"/>
  <c r="C66" i="14"/>
  <c r="E66" i="14" s="1"/>
  <c r="C59" i="14"/>
  <c r="C60" i="14"/>
  <c r="C58" i="14"/>
  <c r="E58" i="14" s="1"/>
  <c r="E57" i="14"/>
  <c r="F57" i="14" s="1"/>
  <c r="E56" i="14"/>
  <c r="F56" i="14" s="1"/>
  <c r="C53" i="14"/>
  <c r="E53" i="14" s="1"/>
  <c r="C52" i="14"/>
  <c r="E52" i="14" s="1"/>
  <c r="E51" i="14"/>
  <c r="F51" i="14" s="1"/>
  <c r="C47" i="14"/>
  <c r="C48" i="14" s="1"/>
  <c r="E46" i="14"/>
  <c r="F46" i="14" s="1"/>
  <c r="E45" i="14"/>
  <c r="F45" i="14" s="1"/>
  <c r="C44" i="14"/>
  <c r="E44" i="14" s="1"/>
  <c r="E43" i="14"/>
  <c r="F43" i="14" s="1"/>
  <c r="E42" i="14"/>
  <c r="F42" i="14" s="1"/>
  <c r="C36" i="14"/>
  <c r="E36" i="14" s="1"/>
  <c r="C35" i="14"/>
  <c r="E35" i="14" s="1"/>
  <c r="C30" i="14"/>
  <c r="C31" i="14"/>
  <c r="C29" i="14"/>
  <c r="E29" i="14" s="1"/>
  <c r="E28" i="14"/>
  <c r="F28" i="14" s="1"/>
  <c r="E27" i="14"/>
  <c r="F27" i="14" s="1"/>
  <c r="C24" i="14"/>
  <c r="E24" i="14" s="1"/>
  <c r="C23" i="14"/>
  <c r="E23" i="14" s="1"/>
  <c r="F23" i="14" s="1"/>
  <c r="E22" i="14"/>
  <c r="F22" i="14" s="1"/>
  <c r="C21" i="14"/>
  <c r="C20" i="14"/>
  <c r="E20" i="14" s="1"/>
  <c r="F20" i="14" s="1"/>
  <c r="F19" i="14"/>
  <c r="E19" i="14"/>
  <c r="F18" i="14"/>
  <c r="E18" i="14"/>
  <c r="C17" i="14"/>
  <c r="E17" i="14" s="1"/>
  <c r="F17" i="14" s="1"/>
  <c r="E16" i="14"/>
  <c r="F16" i="14"/>
  <c r="E15" i="14"/>
  <c r="F15" i="14"/>
  <c r="D21" i="13"/>
  <c r="C21" i="13"/>
  <c r="E20" i="13"/>
  <c r="F20" i="13"/>
  <c r="D17" i="13"/>
  <c r="C17" i="13"/>
  <c r="E16" i="13"/>
  <c r="F16" i="13"/>
  <c r="D13" i="13"/>
  <c r="C13" i="13"/>
  <c r="E12" i="13"/>
  <c r="F12" i="13"/>
  <c r="D99" i="12"/>
  <c r="C99" i="12"/>
  <c r="E99" i="12" s="1"/>
  <c r="E98" i="12"/>
  <c r="F98" i="12" s="1"/>
  <c r="E97" i="12"/>
  <c r="F97" i="12" s="1"/>
  <c r="E96" i="12"/>
  <c r="F96" i="12" s="1"/>
  <c r="D92" i="12"/>
  <c r="C92" i="12"/>
  <c r="E91" i="12"/>
  <c r="F91" i="12" s="1"/>
  <c r="F90" i="12"/>
  <c r="E90" i="12"/>
  <c r="E89" i="12"/>
  <c r="F89" i="12" s="1"/>
  <c r="E88" i="12"/>
  <c r="F88" i="12" s="1"/>
  <c r="E87" i="12"/>
  <c r="F87" i="12" s="1"/>
  <c r="D84" i="12"/>
  <c r="C84" i="12"/>
  <c r="E84" i="12"/>
  <c r="F83" i="12"/>
  <c r="E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69" i="12"/>
  <c r="F69" i="12" s="1"/>
  <c r="E68" i="12"/>
  <c r="F68" i="12" s="1"/>
  <c r="D65" i="12"/>
  <c r="E65" i="12" s="1"/>
  <c r="C65" i="12"/>
  <c r="E64" i="12"/>
  <c r="F64" i="12" s="1"/>
  <c r="E63" i="12"/>
  <c r="F63" i="12" s="1"/>
  <c r="D60" i="12"/>
  <c r="C60" i="12"/>
  <c r="F60" i="12"/>
  <c r="F59" i="12"/>
  <c r="E59" i="12"/>
  <c r="F58" i="12"/>
  <c r="E58" i="12"/>
  <c r="E60" i="12" s="1"/>
  <c r="D55" i="12"/>
  <c r="C55" i="12"/>
  <c r="F54" i="12"/>
  <c r="E54" i="12"/>
  <c r="E53" i="12"/>
  <c r="F53" i="12"/>
  <c r="D50" i="12"/>
  <c r="C50" i="12"/>
  <c r="E50" i="12" s="1"/>
  <c r="E49" i="12"/>
  <c r="F49" i="12" s="1"/>
  <c r="E48" i="12"/>
  <c r="F48" i="12"/>
  <c r="D45" i="12"/>
  <c r="E45" i="12" s="1"/>
  <c r="C45" i="12"/>
  <c r="F45" i="12"/>
  <c r="F44" i="12"/>
  <c r="E44" i="12"/>
  <c r="F43" i="12"/>
  <c r="E43" i="12"/>
  <c r="D37" i="12"/>
  <c r="C37" i="12"/>
  <c r="E37" i="12" s="1"/>
  <c r="F36" i="12"/>
  <c r="E36" i="12"/>
  <c r="F35" i="12"/>
  <c r="E35" i="12"/>
  <c r="E34" i="12"/>
  <c r="F34" i="12" s="1"/>
  <c r="F33" i="12"/>
  <c r="E33" i="12"/>
  <c r="D30" i="12"/>
  <c r="E30" i="12" s="1"/>
  <c r="C30" i="12"/>
  <c r="F30" i="12" s="1"/>
  <c r="F29" i="12"/>
  <c r="E29" i="12"/>
  <c r="F28" i="12"/>
  <c r="E28" i="12"/>
  <c r="F27" i="12"/>
  <c r="E27" i="12"/>
  <c r="F26" i="12"/>
  <c r="E26" i="12"/>
  <c r="D23" i="12"/>
  <c r="E23" i="12" s="1"/>
  <c r="C23" i="12"/>
  <c r="F22" i="12"/>
  <c r="E22" i="12"/>
  <c r="E21" i="12"/>
  <c r="F21" i="12" s="1"/>
  <c r="E20" i="12"/>
  <c r="F20" i="12" s="1"/>
  <c r="E19" i="12"/>
  <c r="F19" i="12" s="1"/>
  <c r="D16" i="12"/>
  <c r="E16" i="12" s="1"/>
  <c r="C16" i="12"/>
  <c r="F15" i="12"/>
  <c r="E15" i="12"/>
  <c r="E14" i="12"/>
  <c r="F14" i="12" s="1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 s="1"/>
  <c r="E36" i="11" s="1"/>
  <c r="E38" i="11" s="1"/>
  <c r="E40" i="11" s="1"/>
  <c r="D17" i="11"/>
  <c r="D31" i="11" s="1"/>
  <c r="C17" i="11"/>
  <c r="C31" i="11" s="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 s="1"/>
  <c r="E77" i="10" s="1"/>
  <c r="D78" i="10"/>
  <c r="C78" i="10"/>
  <c r="C80" i="10" s="1"/>
  <c r="C77" i="10" s="1"/>
  <c r="E73" i="10"/>
  <c r="E75" i="10" s="1"/>
  <c r="D73" i="10"/>
  <c r="D75" i="10" s="1"/>
  <c r="D69" i="10" s="1"/>
  <c r="C73" i="10"/>
  <c r="C75" i="10"/>
  <c r="E71" i="10"/>
  <c r="D71" i="10"/>
  <c r="C71" i="10"/>
  <c r="C69" i="10"/>
  <c r="E66" i="10"/>
  <c r="D66" i="10"/>
  <c r="C66" i="10"/>
  <c r="E65" i="10"/>
  <c r="D65" i="10"/>
  <c r="C65" i="10"/>
  <c r="E60" i="10"/>
  <c r="D60" i="10"/>
  <c r="C60" i="10"/>
  <c r="E58" i="10"/>
  <c r="D58" i="10"/>
  <c r="C58" i="10"/>
  <c r="E55" i="10"/>
  <c r="D55" i="10"/>
  <c r="C55" i="10"/>
  <c r="E54" i="10"/>
  <c r="D54" i="10"/>
  <c r="C54" i="10"/>
  <c r="D50" i="10"/>
  <c r="C50" i="10"/>
  <c r="E46" i="10"/>
  <c r="D46" i="10"/>
  <c r="D48" i="10" s="1"/>
  <c r="D42" i="10" s="1"/>
  <c r="C46" i="10"/>
  <c r="E45" i="10"/>
  <c r="D45" i="10"/>
  <c r="C45" i="10"/>
  <c r="E38" i="10"/>
  <c r="D38" i="10"/>
  <c r="C38" i="10"/>
  <c r="E34" i="10"/>
  <c r="D34" i="10"/>
  <c r="E33" i="10"/>
  <c r="D33" i="10"/>
  <c r="E26" i="10"/>
  <c r="D26" i="10"/>
  <c r="C26" i="10"/>
  <c r="E13" i="10"/>
  <c r="D13" i="10"/>
  <c r="D25" i="10" s="1"/>
  <c r="D27" i="10" s="1"/>
  <c r="C13" i="10"/>
  <c r="D46" i="9"/>
  <c r="C46" i="9"/>
  <c r="F46" i="9"/>
  <c r="F45" i="9"/>
  <c r="E45" i="9"/>
  <c r="F44" i="9"/>
  <c r="E44" i="9"/>
  <c r="D39" i="9"/>
  <c r="E39" i="9" s="1"/>
  <c r="C39" i="9"/>
  <c r="F39" i="9"/>
  <c r="F38" i="9"/>
  <c r="E38" i="9"/>
  <c r="F37" i="9"/>
  <c r="E37" i="9"/>
  <c r="F36" i="9"/>
  <c r="E36" i="9"/>
  <c r="D31" i="9"/>
  <c r="C31" i="9"/>
  <c r="F31" i="9" s="1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D19" i="9" s="1"/>
  <c r="D33" i="9" s="1"/>
  <c r="D41" i="9" s="1"/>
  <c r="D48" i="9" s="1"/>
  <c r="C16" i="9"/>
  <c r="C19" i="9" s="1"/>
  <c r="F19" i="9" s="1"/>
  <c r="F16" i="9"/>
  <c r="F15" i="9"/>
  <c r="E15" i="9"/>
  <c r="F14" i="9"/>
  <c r="E14" i="9"/>
  <c r="F13" i="9"/>
  <c r="E13" i="9"/>
  <c r="F12" i="9"/>
  <c r="E12" i="9"/>
  <c r="D73" i="8"/>
  <c r="C73" i="8"/>
  <c r="F73" i="8" s="1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E61" i="8" s="1"/>
  <c r="C61" i="8"/>
  <c r="F61" i="8" s="1"/>
  <c r="F60" i="8"/>
  <c r="E60" i="8"/>
  <c r="F59" i="8"/>
  <c r="E59" i="8"/>
  <c r="D56" i="8"/>
  <c r="C56" i="8"/>
  <c r="F56" i="8"/>
  <c r="F55" i="8"/>
  <c r="E55" i="8"/>
  <c r="F54" i="8"/>
  <c r="E54" i="8"/>
  <c r="F53" i="8"/>
  <c r="E53" i="8"/>
  <c r="F52" i="8"/>
  <c r="E52" i="8"/>
  <c r="F51" i="8"/>
  <c r="E51" i="8"/>
  <c r="F50" i="8"/>
  <c r="E50" i="8"/>
  <c r="A50" i="8"/>
  <c r="A51" i="8"/>
  <c r="A52" i="8" s="1"/>
  <c r="A53" i="8" s="1"/>
  <c r="A54" i="8" s="1"/>
  <c r="A55" i="8" s="1"/>
  <c r="F49" i="8"/>
  <c r="E49" i="8"/>
  <c r="F40" i="8"/>
  <c r="E40" i="8"/>
  <c r="D38" i="8"/>
  <c r="D41" i="8" s="1"/>
  <c r="C38" i="8"/>
  <c r="F38" i="8"/>
  <c r="F37" i="8"/>
  <c r="E37" i="8"/>
  <c r="F36" i="8"/>
  <c r="E36" i="8"/>
  <c r="F33" i="8"/>
  <c r="E33" i="8"/>
  <c r="F32" i="8"/>
  <c r="E32" i="8"/>
  <c r="F31" i="8"/>
  <c r="E31" i="8"/>
  <c r="D29" i="8"/>
  <c r="C29" i="8"/>
  <c r="F29" i="8" s="1"/>
  <c r="F28" i="8"/>
  <c r="E28" i="8"/>
  <c r="F27" i="8"/>
  <c r="E27" i="8"/>
  <c r="F26" i="8"/>
  <c r="E26" i="8"/>
  <c r="F25" i="8"/>
  <c r="E25" i="8"/>
  <c r="D22" i="8"/>
  <c r="D43" i="8" s="1"/>
  <c r="C22" i="8"/>
  <c r="F22" i="8" s="1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C120" i="7"/>
  <c r="E120" i="7"/>
  <c r="D119" i="7"/>
  <c r="C119" i="7"/>
  <c r="E119" i="7" s="1"/>
  <c r="D118" i="7"/>
  <c r="C118" i="7"/>
  <c r="D117" i="7"/>
  <c r="E117" i="7" s="1"/>
  <c r="C117" i="7"/>
  <c r="D116" i="7"/>
  <c r="C116" i="7"/>
  <c r="E116" i="7"/>
  <c r="D115" i="7"/>
  <c r="C115" i="7"/>
  <c r="E115" i="7" s="1"/>
  <c r="D114" i="7"/>
  <c r="E114" i="7" s="1"/>
  <c r="C114" i="7"/>
  <c r="D113" i="7"/>
  <c r="E113" i="7" s="1"/>
  <c r="C113" i="7"/>
  <c r="D112" i="7"/>
  <c r="D121" i="7" s="1"/>
  <c r="C112" i="7"/>
  <c r="D108" i="7"/>
  <c r="C108" i="7"/>
  <c r="E108" i="7"/>
  <c r="D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D95" i="7"/>
  <c r="C95" i="7"/>
  <c r="E95" i="7" s="1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 s="1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 s="1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C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 s="1"/>
  <c r="D23" i="7"/>
  <c r="C23" i="7"/>
  <c r="E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D206" i="6"/>
  <c r="C206" i="6"/>
  <c r="E206" i="6" s="1"/>
  <c r="D205" i="6"/>
  <c r="C205" i="6"/>
  <c r="E205" i="6" s="1"/>
  <c r="D204" i="6"/>
  <c r="C204" i="6"/>
  <c r="D203" i="6"/>
  <c r="C203" i="6"/>
  <c r="E203" i="6"/>
  <c r="D202" i="6"/>
  <c r="C202" i="6"/>
  <c r="E202" i="6" s="1"/>
  <c r="D201" i="6"/>
  <c r="E201" i="6" s="1"/>
  <c r="C201" i="6"/>
  <c r="D200" i="6"/>
  <c r="E200" i="6" s="1"/>
  <c r="C200" i="6"/>
  <c r="D199" i="6"/>
  <c r="D208" i="6" s="1"/>
  <c r="C199" i="6"/>
  <c r="C208" i="6"/>
  <c r="D198" i="6"/>
  <c r="D207" i="6" s="1"/>
  <c r="C198" i="6"/>
  <c r="D193" i="6"/>
  <c r="C193" i="6"/>
  <c r="E193" i="6" s="1"/>
  <c r="D192" i="6"/>
  <c r="C192" i="6"/>
  <c r="E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E180" i="6" s="1"/>
  <c r="D179" i="6"/>
  <c r="C179" i="6"/>
  <c r="E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 s="1"/>
  <c r="D166" i="6"/>
  <c r="C166" i="6"/>
  <c r="E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E154" i="6" s="1"/>
  <c r="D153" i="6"/>
  <c r="C153" i="6"/>
  <c r="E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 s="1"/>
  <c r="D140" i="6"/>
  <c r="C140" i="6"/>
  <c r="E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E128" i="6" s="1"/>
  <c r="D127" i="6"/>
  <c r="C127" i="6"/>
  <c r="E127" i="6" s="1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C115" i="6"/>
  <c r="D114" i="6"/>
  <c r="C114" i="6"/>
  <c r="F113" i="6"/>
  <c r="E113" i="6"/>
  <c r="E112" i="6"/>
  <c r="F112" i="6" s="1"/>
  <c r="F111" i="6"/>
  <c r="E111" i="6"/>
  <c r="F110" i="6"/>
  <c r="E110" i="6"/>
  <c r="F109" i="6"/>
  <c r="E109" i="6"/>
  <c r="E108" i="6"/>
  <c r="F108" i="6" s="1"/>
  <c r="E107" i="6"/>
  <c r="F107" i="6" s="1"/>
  <c r="F106" i="6"/>
  <c r="E106" i="6"/>
  <c r="F105" i="6"/>
  <c r="E105" i="6"/>
  <c r="D102" i="6"/>
  <c r="C102" i="6"/>
  <c r="D101" i="6"/>
  <c r="E101" i="6" s="1"/>
  <c r="C101" i="6"/>
  <c r="E100" i="6"/>
  <c r="F100" i="6" s="1"/>
  <c r="E99" i="6"/>
  <c r="F99" i="6" s="1"/>
  <c r="E98" i="6"/>
  <c r="F98" i="6" s="1"/>
  <c r="E97" i="6"/>
  <c r="F97" i="6" s="1"/>
  <c r="E96" i="6"/>
  <c r="F96" i="6" s="1"/>
  <c r="F95" i="6"/>
  <c r="E95" i="6"/>
  <c r="E94" i="6"/>
  <c r="F94" i="6" s="1"/>
  <c r="E93" i="6"/>
  <c r="F93" i="6" s="1"/>
  <c r="E92" i="6"/>
  <c r="F92" i="6" s="1"/>
  <c r="D89" i="6"/>
  <c r="E89" i="6" s="1"/>
  <c r="F89" i="6" s="1"/>
  <c r="C89" i="6"/>
  <c r="D88" i="6"/>
  <c r="E88" i="6" s="1"/>
  <c r="F88" i="6" s="1"/>
  <c r="C88" i="6"/>
  <c r="F87" i="6"/>
  <c r="E87" i="6"/>
  <c r="E86" i="6"/>
  <c r="F86" i="6" s="1"/>
  <c r="E85" i="6"/>
  <c r="F85" i="6" s="1"/>
  <c r="E84" i="6"/>
  <c r="F84" i="6" s="1"/>
  <c r="E83" i="6"/>
  <c r="F83" i="6" s="1"/>
  <c r="E82" i="6"/>
  <c r="F82" i="6" s="1"/>
  <c r="F81" i="6"/>
  <c r="E81" i="6"/>
  <c r="E80" i="6"/>
  <c r="F80" i="6" s="1"/>
  <c r="E79" i="6"/>
  <c r="F79" i="6" s="1"/>
  <c r="D76" i="6"/>
  <c r="C76" i="6"/>
  <c r="E76" i="6" s="1"/>
  <c r="D75" i="6"/>
  <c r="E75" i="6" s="1"/>
  <c r="C75" i="6"/>
  <c r="E74" i="6"/>
  <c r="F74" i="6" s="1"/>
  <c r="E73" i="6"/>
  <c r="F73" i="6" s="1"/>
  <c r="E72" i="6"/>
  <c r="F72" i="6" s="1"/>
  <c r="F71" i="6"/>
  <c r="E71" i="6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D62" i="6"/>
  <c r="E62" i="6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 s="1"/>
  <c r="F50" i="6" s="1"/>
  <c r="C50" i="6"/>
  <c r="D49" i="6"/>
  <c r="E49" i="6" s="1"/>
  <c r="F49" i="6" s="1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E37" i="6" s="1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F24" i="6" s="1"/>
  <c r="C24" i="6"/>
  <c r="D23" i="6"/>
  <c r="E23" i="6" s="1"/>
  <c r="F23" i="6" s="1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 s="1"/>
  <c r="D164" i="5"/>
  <c r="D160" i="5"/>
  <c r="C164" i="5"/>
  <c r="C160" i="5" s="1"/>
  <c r="E162" i="5"/>
  <c r="D162" i="5"/>
  <c r="C162" i="5"/>
  <c r="E161" i="5"/>
  <c r="D161" i="5"/>
  <c r="C161" i="5"/>
  <c r="E147" i="5"/>
  <c r="D147" i="5"/>
  <c r="D143" i="5" s="1"/>
  <c r="C147" i="5"/>
  <c r="C143" i="5" s="1"/>
  <c r="C149" i="5" s="1"/>
  <c r="E145" i="5"/>
  <c r="D145" i="5"/>
  <c r="C145" i="5"/>
  <c r="E144" i="5"/>
  <c r="D144" i="5"/>
  <c r="C144" i="5"/>
  <c r="E143" i="5"/>
  <c r="E149" i="5" s="1"/>
  <c r="E126" i="5"/>
  <c r="D126" i="5"/>
  <c r="C126" i="5"/>
  <c r="E119" i="5"/>
  <c r="D119" i="5"/>
  <c r="C119" i="5"/>
  <c r="E108" i="5"/>
  <c r="D108" i="5"/>
  <c r="C108" i="5"/>
  <c r="E107" i="5"/>
  <c r="D107" i="5"/>
  <c r="D109" i="5" s="1"/>
  <c r="D106" i="5" s="1"/>
  <c r="C107" i="5"/>
  <c r="C109" i="5"/>
  <c r="C106" i="5" s="1"/>
  <c r="E102" i="5"/>
  <c r="E104" i="5" s="1"/>
  <c r="D102" i="5"/>
  <c r="D104" i="5" s="1"/>
  <c r="C102" i="5"/>
  <c r="C104" i="5" s="1"/>
  <c r="E100" i="5"/>
  <c r="D100" i="5"/>
  <c r="C100" i="5"/>
  <c r="E95" i="5"/>
  <c r="D95" i="5"/>
  <c r="C95" i="5"/>
  <c r="C94" i="5"/>
  <c r="E94" i="5"/>
  <c r="D94" i="5"/>
  <c r="E89" i="5"/>
  <c r="D89" i="5"/>
  <c r="C89" i="5"/>
  <c r="E87" i="5"/>
  <c r="D87" i="5"/>
  <c r="C87" i="5"/>
  <c r="E84" i="5"/>
  <c r="D84" i="5"/>
  <c r="C84" i="5"/>
  <c r="E83" i="5"/>
  <c r="E79" i="5" s="1"/>
  <c r="D83" i="5"/>
  <c r="C83" i="5"/>
  <c r="E75" i="5"/>
  <c r="E77" i="5" s="1"/>
  <c r="D75" i="5"/>
  <c r="D88" i="5"/>
  <c r="D90" i="5" s="1"/>
  <c r="D86" i="5" s="1"/>
  <c r="C75" i="5"/>
  <c r="C88" i="5" s="1"/>
  <c r="C90" i="5" s="1"/>
  <c r="C86" i="5" s="1"/>
  <c r="C77" i="5"/>
  <c r="C71" i="5" s="1"/>
  <c r="E74" i="5"/>
  <c r="D74" i="5"/>
  <c r="C74" i="5"/>
  <c r="E67" i="5"/>
  <c r="D67" i="5"/>
  <c r="C67" i="5"/>
  <c r="E38" i="5"/>
  <c r="E53" i="5" s="1"/>
  <c r="D38" i="5"/>
  <c r="D43" i="5" s="1"/>
  <c r="C38" i="5"/>
  <c r="C57" i="5"/>
  <c r="C62" i="5" s="1"/>
  <c r="E33" i="5"/>
  <c r="E34" i="5" s="1"/>
  <c r="D33" i="5"/>
  <c r="D34" i="5" s="1"/>
  <c r="E26" i="5"/>
  <c r="D26" i="5"/>
  <c r="C26" i="5"/>
  <c r="E13" i="5"/>
  <c r="E25" i="5" s="1"/>
  <c r="E27" i="5" s="1"/>
  <c r="E21" i="5" s="1"/>
  <c r="D13" i="5"/>
  <c r="D25" i="5"/>
  <c r="D27" i="5" s="1"/>
  <c r="C13" i="5"/>
  <c r="C15" i="5" s="1"/>
  <c r="F174" i="4"/>
  <c r="E174" i="4"/>
  <c r="D171" i="4"/>
  <c r="E171" i="4" s="1"/>
  <c r="C171" i="4"/>
  <c r="E170" i="4"/>
  <c r="F170" i="4" s="1"/>
  <c r="E169" i="4"/>
  <c r="F169" i="4" s="1"/>
  <c r="F168" i="4"/>
  <c r="E168" i="4"/>
  <c r="E167" i="4"/>
  <c r="F167" i="4" s="1"/>
  <c r="F166" i="4"/>
  <c r="E166" i="4"/>
  <c r="F165" i="4"/>
  <c r="E165" i="4"/>
  <c r="E164" i="4"/>
  <c r="F164" i="4" s="1"/>
  <c r="E163" i="4"/>
  <c r="F163" i="4" s="1"/>
  <c r="E162" i="4"/>
  <c r="F162" i="4" s="1"/>
  <c r="F161" i="4"/>
  <c r="E161" i="4"/>
  <c r="F160" i="4"/>
  <c r="E160" i="4"/>
  <c r="E159" i="4"/>
  <c r="F159" i="4" s="1"/>
  <c r="E158" i="4"/>
  <c r="F158" i="4" s="1"/>
  <c r="D155" i="4"/>
  <c r="C155" i="4"/>
  <c r="E154" i="4"/>
  <c r="F154" i="4" s="1"/>
  <c r="F153" i="4"/>
  <c r="E153" i="4"/>
  <c r="E152" i="4"/>
  <c r="F152" i="4" s="1"/>
  <c r="E151" i="4"/>
  <c r="F151" i="4" s="1"/>
  <c r="E150" i="4"/>
  <c r="F150" i="4" s="1"/>
  <c r="E149" i="4"/>
  <c r="F149" i="4" s="1"/>
  <c r="E148" i="4"/>
  <c r="F148" i="4" s="1"/>
  <c r="F147" i="4"/>
  <c r="E147" i="4"/>
  <c r="E146" i="4"/>
  <c r="F146" i="4" s="1"/>
  <c r="E145" i="4"/>
  <c r="F145" i="4" s="1"/>
  <c r="E144" i="4"/>
  <c r="F144" i="4" s="1"/>
  <c r="F143" i="4"/>
  <c r="E143" i="4"/>
  <c r="E142" i="4"/>
  <c r="F142" i="4" s="1"/>
  <c r="F141" i="4"/>
  <c r="E141" i="4"/>
  <c r="E140" i="4"/>
  <c r="F140" i="4" s="1"/>
  <c r="F139" i="4"/>
  <c r="E139" i="4"/>
  <c r="E138" i="4"/>
  <c r="F138" i="4" s="1"/>
  <c r="F137" i="4"/>
  <c r="E137" i="4"/>
  <c r="E136" i="4"/>
  <c r="F136" i="4" s="1"/>
  <c r="F135" i="4"/>
  <c r="E135" i="4"/>
  <c r="F134" i="4"/>
  <c r="E134" i="4"/>
  <c r="E133" i="4"/>
  <c r="F133" i="4" s="1"/>
  <c r="E132" i="4"/>
  <c r="F132" i="4" s="1"/>
  <c r="E131" i="4"/>
  <c r="F131" i="4" s="1"/>
  <c r="E130" i="4"/>
  <c r="F130" i="4" s="1"/>
  <c r="E129" i="4"/>
  <c r="F129" i="4" s="1"/>
  <c r="E128" i="4"/>
  <c r="F128" i="4" s="1"/>
  <c r="E127" i="4"/>
  <c r="F127" i="4" s="1"/>
  <c r="F126" i="4"/>
  <c r="E126" i="4"/>
  <c r="E125" i="4"/>
  <c r="F125" i="4" s="1"/>
  <c r="F124" i="4"/>
  <c r="E124" i="4"/>
  <c r="E123" i="4"/>
  <c r="F123" i="4" s="1"/>
  <c r="E122" i="4"/>
  <c r="F122" i="4" s="1"/>
  <c r="E121" i="4"/>
  <c r="F121" i="4" s="1"/>
  <c r="D118" i="4"/>
  <c r="E118" i="4" s="1"/>
  <c r="C118" i="4"/>
  <c r="F118" i="4" s="1"/>
  <c r="E117" i="4"/>
  <c r="F117" i="4" s="1"/>
  <c r="E116" i="4"/>
  <c r="F116" i="4" s="1"/>
  <c r="E115" i="4"/>
  <c r="F115" i="4" s="1"/>
  <c r="E114" i="4"/>
  <c r="F114" i="4" s="1"/>
  <c r="F113" i="4"/>
  <c r="E113" i="4"/>
  <c r="E112" i="4"/>
  <c r="F112" i="4" s="1"/>
  <c r="D109" i="4"/>
  <c r="C109" i="4"/>
  <c r="E109" i="4" s="1"/>
  <c r="F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E81" i="4"/>
  <c r="F81" i="4" s="1"/>
  <c r="D78" i="4"/>
  <c r="E78" i="4" s="1"/>
  <c r="C78" i="4"/>
  <c r="F77" i="4"/>
  <c r="E77" i="4"/>
  <c r="E76" i="4"/>
  <c r="F76" i="4" s="1"/>
  <c r="E75" i="4"/>
  <c r="F75" i="4" s="1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 s="1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 s="1"/>
  <c r="C41" i="4"/>
  <c r="F40" i="4"/>
  <c r="E40" i="4"/>
  <c r="F39" i="4"/>
  <c r="E39" i="4"/>
  <c r="F38" i="4"/>
  <c r="E38" i="4"/>
  <c r="D35" i="4"/>
  <c r="E35" i="4" s="1"/>
  <c r="F35" i="4" s="1"/>
  <c r="C35" i="4"/>
  <c r="F34" i="4"/>
  <c r="E34" i="4"/>
  <c r="F33" i="4"/>
  <c r="E33" i="4"/>
  <c r="D30" i="4"/>
  <c r="E30" i="4" s="1"/>
  <c r="F30" i="4" s="1"/>
  <c r="C30" i="4"/>
  <c r="F29" i="4"/>
  <c r="E29" i="4"/>
  <c r="F28" i="4"/>
  <c r="E28" i="4"/>
  <c r="F27" i="4"/>
  <c r="E27" i="4"/>
  <c r="D24" i="4"/>
  <c r="E24" i="4" s="1"/>
  <c r="C24" i="4"/>
  <c r="F23" i="4"/>
  <c r="E23" i="4"/>
  <c r="F22" i="4"/>
  <c r="E22" i="4"/>
  <c r="F21" i="4"/>
  <c r="E21" i="4"/>
  <c r="D18" i="4"/>
  <c r="E18" i="4" s="1"/>
  <c r="F18" i="4" s="1"/>
  <c r="C18" i="4"/>
  <c r="F17" i="4"/>
  <c r="E17" i="4"/>
  <c r="F16" i="4"/>
  <c r="E16" i="4"/>
  <c r="F15" i="4"/>
  <c r="E15" i="4"/>
  <c r="D179" i="3"/>
  <c r="E179" i="3" s="1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 s="1"/>
  <c r="F166" i="3" s="1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 s="1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 s="1"/>
  <c r="F137" i="3" s="1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 s="1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C111" i="3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C95" i="3" s="1"/>
  <c r="D81" i="3"/>
  <c r="C81" i="3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38" i="3"/>
  <c r="C38" i="3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E46" i="2" s="1"/>
  <c r="C46" i="2"/>
  <c r="F46" i="2" s="1"/>
  <c r="F45" i="2"/>
  <c r="E45" i="2"/>
  <c r="F44" i="2"/>
  <c r="E44" i="2"/>
  <c r="D39" i="2"/>
  <c r="E39" i="2" s="1"/>
  <c r="F39" i="2" s="1"/>
  <c r="C39" i="2"/>
  <c r="F38" i="2"/>
  <c r="E38" i="2"/>
  <c r="F37" i="2"/>
  <c r="E37" i="2"/>
  <c r="F36" i="2"/>
  <c r="E36" i="2"/>
  <c r="D31" i="2"/>
  <c r="E31" i="2" s="1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E16" i="2" s="1"/>
  <c r="C16" i="2"/>
  <c r="F15" i="2"/>
  <c r="E15" i="2"/>
  <c r="F14" i="2"/>
  <c r="E14" i="2"/>
  <c r="F13" i="2"/>
  <c r="E13" i="2"/>
  <c r="F12" i="2"/>
  <c r="E12" i="2"/>
  <c r="D73" i="1"/>
  <c r="E73" i="1" s="1"/>
  <c r="F73" i="1" s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E61" i="1" s="1"/>
  <c r="C61" i="1"/>
  <c r="F60" i="1"/>
  <c r="E60" i="1"/>
  <c r="F59" i="1"/>
  <c r="E59" i="1"/>
  <c r="D56" i="1"/>
  <c r="E56" i="1" s="1"/>
  <c r="C56" i="1"/>
  <c r="F55" i="1"/>
  <c r="E55" i="1"/>
  <c r="F54" i="1"/>
  <c r="E54" i="1"/>
  <c r="F53" i="1"/>
  <c r="E53" i="1"/>
  <c r="F52" i="1"/>
  <c r="E52" i="1"/>
  <c r="F51" i="1"/>
  <c r="E51" i="1"/>
  <c r="E50" i="1"/>
  <c r="F50" i="1" s="1"/>
  <c r="A50" i="1"/>
  <c r="A51" i="1" s="1"/>
  <c r="A52" i="1" s="1"/>
  <c r="A53" i="1" s="1"/>
  <c r="A54" i="1" s="1"/>
  <c r="A55" i="1" s="1"/>
  <c r="F49" i="1"/>
  <c r="E49" i="1"/>
  <c r="F40" i="1"/>
  <c r="E40" i="1"/>
  <c r="D38" i="1"/>
  <c r="E38" i="1" s="1"/>
  <c r="F38" i="1" s="1"/>
  <c r="C38" i="1"/>
  <c r="C41" i="1" s="1"/>
  <c r="F37" i="1"/>
  <c r="E37" i="1"/>
  <c r="F36" i="1"/>
  <c r="E36" i="1"/>
  <c r="F33" i="1"/>
  <c r="E33" i="1"/>
  <c r="F32" i="1"/>
  <c r="E32" i="1"/>
  <c r="F31" i="1"/>
  <c r="E31" i="1"/>
  <c r="D29" i="1"/>
  <c r="C29" i="1"/>
  <c r="F29" i="1" s="1"/>
  <c r="F28" i="1"/>
  <c r="E28" i="1"/>
  <c r="F27" i="1"/>
  <c r="E27" i="1"/>
  <c r="F26" i="1"/>
  <c r="E26" i="1"/>
  <c r="F25" i="1"/>
  <c r="E25" i="1"/>
  <c r="D22" i="1"/>
  <c r="C22" i="1"/>
  <c r="E21" i="1"/>
  <c r="F21" i="1" s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E14" i="1"/>
  <c r="F14" i="1" s="1"/>
  <c r="E13" i="1"/>
  <c r="F13" i="1" s="1"/>
  <c r="D173" i="14"/>
  <c r="D111" i="14"/>
  <c r="D190" i="14"/>
  <c r="D215" i="14"/>
  <c r="D255" i="14" s="1"/>
  <c r="D278" i="14"/>
  <c r="D91" i="14"/>
  <c r="D92" i="14" s="1"/>
  <c r="D199" i="14"/>
  <c r="D269" i="14"/>
  <c r="D270" i="14" s="1"/>
  <c r="F29" i="14"/>
  <c r="D206" i="14"/>
  <c r="D205" i="14"/>
  <c r="D239" i="14"/>
  <c r="D261" i="14"/>
  <c r="C140" i="5"/>
  <c r="C136" i="5"/>
  <c r="C139" i="5"/>
  <c r="C135" i="5"/>
  <c r="C138" i="5"/>
  <c r="C137" i="5"/>
  <c r="D21" i="10"/>
  <c r="D22" i="10"/>
  <c r="D20" i="10"/>
  <c r="C24" i="5"/>
  <c r="C17" i="5"/>
  <c r="F62" i="6"/>
  <c r="D21" i="5"/>
  <c r="E138" i="5"/>
  <c r="E137" i="5"/>
  <c r="E140" i="5"/>
  <c r="E136" i="5"/>
  <c r="E139" i="5"/>
  <c r="E135" i="5"/>
  <c r="E141" i="5" s="1"/>
  <c r="E25" i="10"/>
  <c r="E27" i="10" s="1"/>
  <c r="E15" i="10"/>
  <c r="E60" i="14"/>
  <c r="F60" i="14" s="1"/>
  <c r="C61" i="14"/>
  <c r="D52" i="3"/>
  <c r="D95" i="3"/>
  <c r="C52" i="3"/>
  <c r="E52" i="3" s="1"/>
  <c r="F52" i="3" s="1"/>
  <c r="C83" i="4"/>
  <c r="C176" i="4"/>
  <c r="D15" i="5"/>
  <c r="C49" i="5"/>
  <c r="E57" i="5"/>
  <c r="E62" i="5" s="1"/>
  <c r="F101" i="6"/>
  <c r="E114" i="6"/>
  <c r="F114" i="6" s="1"/>
  <c r="E115" i="6"/>
  <c r="F115" i="6" s="1"/>
  <c r="F200" i="6"/>
  <c r="F36" i="7"/>
  <c r="F95" i="7"/>
  <c r="F113" i="7"/>
  <c r="F117" i="7"/>
  <c r="C121" i="7"/>
  <c r="E22" i="8"/>
  <c r="E38" i="8"/>
  <c r="E16" i="9"/>
  <c r="C33" i="9"/>
  <c r="F16" i="12"/>
  <c r="F23" i="12"/>
  <c r="E48" i="10"/>
  <c r="E42" i="10" s="1"/>
  <c r="E59" i="10"/>
  <c r="E61" i="10" s="1"/>
  <c r="E57" i="10" s="1"/>
  <c r="E31" i="14"/>
  <c r="F31" i="14" s="1"/>
  <c r="C32" i="14"/>
  <c r="D83" i="4"/>
  <c r="E83" i="4" s="1"/>
  <c r="F83" i="4" s="1"/>
  <c r="C43" i="5"/>
  <c r="D77" i="5"/>
  <c r="D71" i="5"/>
  <c r="D41" i="1"/>
  <c r="E155" i="4"/>
  <c r="F155" i="4" s="1"/>
  <c r="C53" i="5"/>
  <c r="F75" i="6"/>
  <c r="E199" i="6"/>
  <c r="F201" i="6"/>
  <c r="F205" i="6"/>
  <c r="E47" i="7"/>
  <c r="E59" i="7"/>
  <c r="E71" i="7"/>
  <c r="E83" i="7"/>
  <c r="F114" i="7"/>
  <c r="E29" i="8"/>
  <c r="C41" i="8"/>
  <c r="E56" i="8"/>
  <c r="C65" i="8"/>
  <c r="F65" i="8" s="1"/>
  <c r="E73" i="8"/>
  <c r="E31" i="9"/>
  <c r="E46" i="9"/>
  <c r="C33" i="11"/>
  <c r="F65" i="12"/>
  <c r="E75" i="12"/>
  <c r="F75" i="12" s="1"/>
  <c r="C15" i="10"/>
  <c r="C25" i="10"/>
  <c r="C27" i="10" s="1"/>
  <c r="F76" i="6"/>
  <c r="F202" i="6"/>
  <c r="F206" i="6"/>
  <c r="F23" i="7"/>
  <c r="F108" i="7"/>
  <c r="F115" i="7"/>
  <c r="F119" i="7"/>
  <c r="C122" i="7"/>
  <c r="C43" i="8"/>
  <c r="F43" i="8" s="1"/>
  <c r="E19" i="9"/>
  <c r="C59" i="10"/>
  <c r="C61" i="10" s="1"/>
  <c r="C57" i="10" s="1"/>
  <c r="C48" i="10"/>
  <c r="C42" i="10"/>
  <c r="F199" i="6"/>
  <c r="F203" i="6"/>
  <c r="C207" i="6"/>
  <c r="F24" i="7"/>
  <c r="F35" i="7"/>
  <c r="F116" i="7"/>
  <c r="F120" i="7"/>
  <c r="F37" i="12"/>
  <c r="F50" i="12"/>
  <c r="C278" i="14"/>
  <c r="C215" i="14"/>
  <c r="C283" i="14"/>
  <c r="C205" i="14"/>
  <c r="E311" i="14"/>
  <c r="F311" i="14"/>
  <c r="D294" i="15"/>
  <c r="E32" i="15"/>
  <c r="C71" i="15"/>
  <c r="C65" i="15"/>
  <c r="C66" i="15" s="1"/>
  <c r="C289" i="15"/>
  <c r="E70" i="15"/>
  <c r="D163" i="15"/>
  <c r="D175" i="15"/>
  <c r="E175" i="15" s="1"/>
  <c r="E139" i="15"/>
  <c r="D253" i="15"/>
  <c r="E233" i="15"/>
  <c r="D109" i="19"/>
  <c r="D108" i="19"/>
  <c r="D175" i="14"/>
  <c r="D62" i="14"/>
  <c r="D105" i="14"/>
  <c r="E92" i="12"/>
  <c r="F92" i="12" s="1"/>
  <c r="E13" i="13"/>
  <c r="F13" i="13"/>
  <c r="E21" i="13"/>
  <c r="F21" i="13"/>
  <c r="F36" i="14"/>
  <c r="F95" i="14"/>
  <c r="C146" i="14"/>
  <c r="C214" i="14"/>
  <c r="F227" i="14"/>
  <c r="C222" i="15"/>
  <c r="D286" i="14"/>
  <c r="E298" i="14"/>
  <c r="F298" i="14"/>
  <c r="C33" i="15"/>
  <c r="C294" i="15"/>
  <c r="C144" i="15"/>
  <c r="C163" i="15"/>
  <c r="D242" i="15"/>
  <c r="E242" i="15"/>
  <c r="E218" i="15"/>
  <c r="D217" i="15"/>
  <c r="D303" i="15"/>
  <c r="D104" i="14"/>
  <c r="D174" i="14"/>
  <c r="F84" i="12"/>
  <c r="F99" i="12"/>
  <c r="E30" i="14"/>
  <c r="F30" i="14" s="1"/>
  <c r="E48" i="14"/>
  <c r="F48" i="14" s="1"/>
  <c r="E59" i="14"/>
  <c r="F59" i="14" s="1"/>
  <c r="C68" i="14"/>
  <c r="C90" i="14"/>
  <c r="F145" i="14"/>
  <c r="F180" i="14"/>
  <c r="E204" i="14"/>
  <c r="F204" i="14"/>
  <c r="C206" i="14"/>
  <c r="F223" i="14"/>
  <c r="C239" i="14"/>
  <c r="C262" i="14"/>
  <c r="C267" i="14"/>
  <c r="C285" i="14"/>
  <c r="F295" i="14"/>
  <c r="E42" i="15"/>
  <c r="E54" i="15"/>
  <c r="E65" i="15"/>
  <c r="C76" i="15"/>
  <c r="C77" i="15"/>
  <c r="C223" i="15"/>
  <c r="D252" i="15"/>
  <c r="D288" i="14"/>
  <c r="C261" i="14"/>
  <c r="C254" i="14"/>
  <c r="E188" i="14"/>
  <c r="F188" i="14" s="1"/>
  <c r="E294" i="14"/>
  <c r="F294" i="14" s="1"/>
  <c r="C43" i="15"/>
  <c r="C259" i="15" s="1"/>
  <c r="E37" i="15"/>
  <c r="C55" i="15"/>
  <c r="E55" i="15" s="1"/>
  <c r="C283" i="15"/>
  <c r="D261" i="15"/>
  <c r="E261" i="15"/>
  <c r="E188" i="15"/>
  <c r="C245" i="15"/>
  <c r="E245" i="15" s="1"/>
  <c r="E221" i="15"/>
  <c r="D254" i="15"/>
  <c r="E251" i="15"/>
  <c r="E265" i="15"/>
  <c r="C302" i="15"/>
  <c r="E302" i="15" s="1"/>
  <c r="D207" i="14"/>
  <c r="D138" i="14"/>
  <c r="D272" i="14"/>
  <c r="E262" i="14"/>
  <c r="F24" i="14"/>
  <c r="F44" i="14"/>
  <c r="F53" i="14"/>
  <c r="F67" i="14"/>
  <c r="F89" i="14"/>
  <c r="C102" i="14"/>
  <c r="C190" i="14"/>
  <c r="C306" i="14"/>
  <c r="C290" i="14"/>
  <c r="C199" i="14"/>
  <c r="D22" i="15"/>
  <c r="D283" i="15"/>
  <c r="E283" i="15" s="1"/>
  <c r="D289" i="15"/>
  <c r="E289" i="15" s="1"/>
  <c r="E60" i="15"/>
  <c r="D320" i="15"/>
  <c r="E320" i="15" s="1"/>
  <c r="E316" i="15"/>
  <c r="D41" i="17"/>
  <c r="E109" i="19"/>
  <c r="E108" i="19"/>
  <c r="F17" i="11"/>
  <c r="E21" i="14"/>
  <c r="F21" i="14" s="1"/>
  <c r="F35" i="14"/>
  <c r="C37" i="14"/>
  <c r="C49" i="14"/>
  <c r="C91" i="14"/>
  <c r="E94" i="14"/>
  <c r="F94" i="14" s="1"/>
  <c r="F101" i="14"/>
  <c r="F136" i="14"/>
  <c r="C159" i="14"/>
  <c r="C161" i="14" s="1"/>
  <c r="C160" i="14"/>
  <c r="F170" i="14"/>
  <c r="F171" i="14"/>
  <c r="C181" i="14"/>
  <c r="E189" i="14"/>
  <c r="F189" i="14" s="1"/>
  <c r="E203" i="14"/>
  <c r="F203" i="14"/>
  <c r="E226" i="14"/>
  <c r="F226" i="14" s="1"/>
  <c r="F238" i="14"/>
  <c r="E250" i="14"/>
  <c r="F250" i="14"/>
  <c r="C255" i="14"/>
  <c r="E299" i="14"/>
  <c r="F299" i="14" s="1"/>
  <c r="D33" i="15"/>
  <c r="E38" i="15"/>
  <c r="D71" i="15"/>
  <c r="E71" i="15" s="1"/>
  <c r="E74" i="15"/>
  <c r="D144" i="15"/>
  <c r="E215" i="15"/>
  <c r="C217" i="15"/>
  <c r="C241" i="15" s="1"/>
  <c r="E243" i="15"/>
  <c r="D222" i="15"/>
  <c r="D223" i="15"/>
  <c r="E276" i="15"/>
  <c r="E40" i="17"/>
  <c r="F40" i="17" s="1"/>
  <c r="E206" i="14"/>
  <c r="D268" i="14"/>
  <c r="C22" i="16"/>
  <c r="C39" i="17"/>
  <c r="E22" i="19"/>
  <c r="D34" i="19"/>
  <c r="D54" i="19"/>
  <c r="C101" i="19"/>
  <c r="D102" i="19"/>
  <c r="C109" i="19"/>
  <c r="D110" i="19"/>
  <c r="D161" i="14"/>
  <c r="D193" i="14"/>
  <c r="D263" i="14"/>
  <c r="D271" i="14"/>
  <c r="D277" i="14"/>
  <c r="E314" i="15"/>
  <c r="C49" i="16"/>
  <c r="F33" i="17"/>
  <c r="E23" i="19"/>
  <c r="D29" i="19"/>
  <c r="D35" i="19"/>
  <c r="D39" i="19"/>
  <c r="D45" i="19"/>
  <c r="D111" i="19"/>
  <c r="D124" i="14"/>
  <c r="D160" i="14"/>
  <c r="D200" i="14"/>
  <c r="D274" i="14"/>
  <c r="E274" i="14"/>
  <c r="F274" i="14" s="1"/>
  <c r="D280" i="14"/>
  <c r="D30" i="19"/>
  <c r="E33" i="19"/>
  <c r="D36" i="19"/>
  <c r="D40" i="19"/>
  <c r="D139" i="14"/>
  <c r="E269" i="14"/>
  <c r="F269" i="14" s="1"/>
  <c r="D216" i="14"/>
  <c r="D247" i="15"/>
  <c r="E223" i="15"/>
  <c r="E54" i="19"/>
  <c r="E46" i="19"/>
  <c r="E40" i="19"/>
  <c r="E36" i="19"/>
  <c r="E30" i="19"/>
  <c r="E111" i="19"/>
  <c r="D194" i="14"/>
  <c r="E37" i="14"/>
  <c r="F37" i="14" s="1"/>
  <c r="D284" i="15"/>
  <c r="D208" i="14"/>
  <c r="C126" i="15"/>
  <c r="C122" i="15"/>
  <c r="C115" i="15"/>
  <c r="C111" i="15"/>
  <c r="C127" i="15"/>
  <c r="C123" i="15"/>
  <c r="C112" i="15"/>
  <c r="C121" i="15"/>
  <c r="C110" i="15"/>
  <c r="C124" i="15"/>
  <c r="C113" i="15"/>
  <c r="C125" i="15"/>
  <c r="C114" i="15"/>
  <c r="C109" i="15"/>
  <c r="C270" i="14"/>
  <c r="E267" i="14"/>
  <c r="F267" i="14"/>
  <c r="C216" i="14"/>
  <c r="E214" i="14"/>
  <c r="F214" i="14" s="1"/>
  <c r="D106" i="14"/>
  <c r="D176" i="14"/>
  <c r="C286" i="14"/>
  <c r="E283" i="14"/>
  <c r="F283" i="14" s="1"/>
  <c r="E24" i="10"/>
  <c r="E17" i="10"/>
  <c r="E28" i="10" s="1"/>
  <c r="E70" i="10" s="1"/>
  <c r="E72" i="10" s="1"/>
  <c r="E69" i="10" s="1"/>
  <c r="E160" i="14"/>
  <c r="F160" i="14" s="1"/>
  <c r="C44" i="15"/>
  <c r="F206" i="14"/>
  <c r="E286" i="14"/>
  <c r="C287" i="14"/>
  <c r="D43" i="1"/>
  <c r="E43" i="8"/>
  <c r="D145" i="15"/>
  <c r="D168" i="15"/>
  <c r="E144" i="15"/>
  <c r="D47" i="19"/>
  <c r="D37" i="19"/>
  <c r="D112" i="19"/>
  <c r="D55" i="19"/>
  <c r="C41" i="17"/>
  <c r="D295" i="15"/>
  <c r="E33" i="15"/>
  <c r="E49" i="14"/>
  <c r="F49" i="14"/>
  <c r="C50" i="14"/>
  <c r="E190" i="14"/>
  <c r="F190" i="14" s="1"/>
  <c r="C268" i="14"/>
  <c r="E261" i="14"/>
  <c r="F261" i="14" s="1"/>
  <c r="C271" i="14"/>
  <c r="C263" i="14"/>
  <c r="E217" i="15"/>
  <c r="D241" i="15"/>
  <c r="E241" i="15" s="1"/>
  <c r="C145" i="15"/>
  <c r="E205" i="14"/>
  <c r="F205" i="14" s="1"/>
  <c r="E278" i="14"/>
  <c r="F278" i="14" s="1"/>
  <c r="C288" i="14"/>
  <c r="E32" i="14"/>
  <c r="F32" i="14"/>
  <c r="C62" i="14"/>
  <c r="F33" i="9"/>
  <c r="E33" i="9"/>
  <c r="C41" i="9"/>
  <c r="D24" i="5"/>
  <c r="D20" i="5"/>
  <c r="D17" i="5"/>
  <c r="E39" i="17"/>
  <c r="E41" i="17" s="1"/>
  <c r="F41" i="17" s="1"/>
  <c r="D300" i="14"/>
  <c r="D140" i="14"/>
  <c r="E163" i="15"/>
  <c r="C279" i="14"/>
  <c r="D246" i="15"/>
  <c r="E222" i="15"/>
  <c r="E254" i="14"/>
  <c r="F254" i="14"/>
  <c r="E285" i="14"/>
  <c r="F285" i="14" s="1"/>
  <c r="E68" i="14"/>
  <c r="F68" i="14" s="1"/>
  <c r="E146" i="14"/>
  <c r="F146" i="14" s="1"/>
  <c r="D63" i="14"/>
  <c r="E62" i="14"/>
  <c r="E215" i="14"/>
  <c r="F215" i="14" s="1"/>
  <c r="E207" i="6"/>
  <c r="F207" i="6" s="1"/>
  <c r="C36" i="11"/>
  <c r="C38" i="11"/>
  <c r="C40" i="11" s="1"/>
  <c r="G33" i="11"/>
  <c r="G36" i="11" s="1"/>
  <c r="G38" i="11" s="1"/>
  <c r="G40" i="11" s="1"/>
  <c r="C112" i="5"/>
  <c r="C111" i="5" s="1"/>
  <c r="C28" i="5"/>
  <c r="D282" i="14"/>
  <c r="C253" i="15"/>
  <c r="D304" i="14"/>
  <c r="D273" i="14"/>
  <c r="E110" i="19"/>
  <c r="E53" i="19"/>
  <c r="E45" i="19"/>
  <c r="E39" i="19"/>
  <c r="E35" i="19"/>
  <c r="E29" i="19"/>
  <c r="E181" i="14"/>
  <c r="F181" i="14" s="1"/>
  <c r="E91" i="14"/>
  <c r="F91" i="14" s="1"/>
  <c r="C92" i="14"/>
  <c r="E290" i="14"/>
  <c r="F290" i="14" s="1"/>
  <c r="E306" i="14"/>
  <c r="E239" i="14"/>
  <c r="F239" i="14"/>
  <c r="D113" i="19"/>
  <c r="D56" i="19"/>
  <c r="D48" i="19"/>
  <c r="D38" i="19"/>
  <c r="D287" i="14"/>
  <c r="D279" i="14"/>
  <c r="E279" i="14" s="1"/>
  <c r="F279" i="14" s="1"/>
  <c r="D284" i="14"/>
  <c r="E277" i="14"/>
  <c r="F277" i="14" s="1"/>
  <c r="D162" i="14"/>
  <c r="E159" i="14"/>
  <c r="F159" i="14"/>
  <c r="E199" i="14"/>
  <c r="F199" i="14"/>
  <c r="E102" i="14"/>
  <c r="F102" i="14"/>
  <c r="C103" i="14"/>
  <c r="C272" i="14"/>
  <c r="E272" i="14" s="1"/>
  <c r="F272" i="14" s="1"/>
  <c r="F262" i="14"/>
  <c r="D306" i="15"/>
  <c r="C17" i="10"/>
  <c r="C28" i="10" s="1"/>
  <c r="C70" i="10" s="1"/>
  <c r="C72" i="10" s="1"/>
  <c r="C24" i="10"/>
  <c r="F41" i="8"/>
  <c r="E41" i="8"/>
  <c r="E61" i="14"/>
  <c r="F61" i="14" s="1"/>
  <c r="E268" i="14"/>
  <c r="D266" i="14"/>
  <c r="E43" i="15"/>
  <c r="D126" i="14"/>
  <c r="C304" i="14"/>
  <c r="C246" i="15"/>
  <c r="D76" i="15"/>
  <c r="E294" i="15"/>
  <c r="C75" i="8"/>
  <c r="F75" i="8" s="1"/>
  <c r="C284" i="14"/>
  <c r="E121" i="7"/>
  <c r="F121" i="7" s="1"/>
  <c r="C141" i="5"/>
  <c r="E92" i="14"/>
  <c r="F92" i="14"/>
  <c r="F41" i="9"/>
  <c r="C48" i="9"/>
  <c r="E41" i="9"/>
  <c r="C99" i="15"/>
  <c r="C95" i="15"/>
  <c r="C88" i="15"/>
  <c r="C84" i="15"/>
  <c r="C100" i="15"/>
  <c r="C96" i="15"/>
  <c r="C89" i="15"/>
  <c r="C85" i="15"/>
  <c r="C98" i="15"/>
  <c r="C87" i="15"/>
  <c r="C101" i="15"/>
  <c r="C258" i="15"/>
  <c r="C83" i="15"/>
  <c r="C97" i="15"/>
  <c r="C86" i="15"/>
  <c r="F268" i="14"/>
  <c r="C128" i="15"/>
  <c r="D310" i="15"/>
  <c r="D127" i="14"/>
  <c r="E103" i="14"/>
  <c r="F103" i="14"/>
  <c r="E47" i="19"/>
  <c r="E37" i="19"/>
  <c r="E112" i="19"/>
  <c r="E55" i="19"/>
  <c r="E304" i="14"/>
  <c r="E50" i="14"/>
  <c r="F50" i="14" s="1"/>
  <c r="D169" i="15"/>
  <c r="E145" i="15"/>
  <c r="C291" i="14"/>
  <c r="C289" i="14"/>
  <c r="D210" i="14"/>
  <c r="D209" i="14"/>
  <c r="D196" i="14"/>
  <c r="D195" i="14"/>
  <c r="E284" i="14"/>
  <c r="F284" i="14" s="1"/>
  <c r="E263" i="14"/>
  <c r="F263" i="14" s="1"/>
  <c r="D281" i="14"/>
  <c r="E253" i="15"/>
  <c r="D70" i="14"/>
  <c r="D112" i="5"/>
  <c r="D111" i="5"/>
  <c r="D28" i="5"/>
  <c r="C273" i="14"/>
  <c r="E273" i="14" s="1"/>
  <c r="F273" i="14" s="1"/>
  <c r="C129" i="15"/>
  <c r="D265" i="14"/>
  <c r="E76" i="15"/>
  <c r="D259" i="15"/>
  <c r="D77" i="15"/>
  <c r="F304" i="14"/>
  <c r="D183" i="14"/>
  <c r="D323" i="14"/>
  <c r="E287" i="14"/>
  <c r="F287" i="14" s="1"/>
  <c r="D291" i="14"/>
  <c r="D289" i="14"/>
  <c r="C99" i="5"/>
  <c r="C101" i="5" s="1"/>
  <c r="C98" i="5" s="1"/>
  <c r="D141" i="14"/>
  <c r="F62" i="14"/>
  <c r="C63" i="14"/>
  <c r="C70" i="14" s="1"/>
  <c r="E70" i="14" s="1"/>
  <c r="D113" i="14"/>
  <c r="D324" i="14"/>
  <c r="F216" i="14"/>
  <c r="E216" i="14"/>
  <c r="E48" i="19"/>
  <c r="E38" i="19"/>
  <c r="E113" i="19"/>
  <c r="E56" i="19"/>
  <c r="C104" i="14"/>
  <c r="E271" i="14"/>
  <c r="F271" i="14" s="1"/>
  <c r="E246" i="15"/>
  <c r="C105" i="14"/>
  <c r="F39" i="17"/>
  <c r="E288" i="14"/>
  <c r="F288" i="14" s="1"/>
  <c r="F286" i="14"/>
  <c r="C116" i="15"/>
  <c r="C117" i="15" s="1"/>
  <c r="C131" i="15" s="1"/>
  <c r="D197" i="14"/>
  <c r="C102" i="15"/>
  <c r="C103" i="15"/>
  <c r="E63" i="14"/>
  <c r="F63" i="14" s="1"/>
  <c r="D211" i="14"/>
  <c r="C305" i="14"/>
  <c r="F70" i="14"/>
  <c r="E291" i="14"/>
  <c r="F291" i="14"/>
  <c r="D305" i="14"/>
  <c r="C90" i="15"/>
  <c r="F48" i="9"/>
  <c r="E48" i="9"/>
  <c r="C106" i="14"/>
  <c r="E106" i="14" s="1"/>
  <c r="F106" i="14" s="1"/>
  <c r="E105" i="14"/>
  <c r="F105" i="14" s="1"/>
  <c r="D322" i="14"/>
  <c r="D127" i="15"/>
  <c r="E127" i="15" s="1"/>
  <c r="D123" i="15"/>
  <c r="E123" i="15" s="1"/>
  <c r="D112" i="15"/>
  <c r="E112" i="15" s="1"/>
  <c r="E77" i="15"/>
  <c r="D124" i="15"/>
  <c r="E124" i="15"/>
  <c r="D113" i="15"/>
  <c r="E113" i="15"/>
  <c r="D109" i="15"/>
  <c r="D126" i="15"/>
  <c r="E126" i="15" s="1"/>
  <c r="D115" i="15"/>
  <c r="E115" i="15"/>
  <c r="D121" i="15"/>
  <c r="D110" i="15"/>
  <c r="D122" i="15"/>
  <c r="D111" i="15"/>
  <c r="E111" i="15" s="1"/>
  <c r="D125" i="15"/>
  <c r="E125" i="15" s="1"/>
  <c r="D114" i="15"/>
  <c r="E114" i="15" s="1"/>
  <c r="E104" i="14"/>
  <c r="F104" i="14" s="1"/>
  <c r="D99" i="5"/>
  <c r="D101" i="5" s="1"/>
  <c r="D98" i="5" s="1"/>
  <c r="D22" i="5"/>
  <c r="D148" i="14"/>
  <c r="C91" i="15"/>
  <c r="C105" i="15" s="1"/>
  <c r="E289" i="14"/>
  <c r="F289" i="14" s="1"/>
  <c r="C113" i="14"/>
  <c r="E121" i="15"/>
  <c r="E109" i="15"/>
  <c r="C309" i="14"/>
  <c r="C310" i="14" s="1"/>
  <c r="E122" i="15"/>
  <c r="D309" i="14"/>
  <c r="E309" i="14" s="1"/>
  <c r="F309" i="14" s="1"/>
  <c r="E305" i="14"/>
  <c r="F305" i="14"/>
  <c r="D325" i="14"/>
  <c r="E113" i="14"/>
  <c r="E66" i="15" l="1"/>
  <c r="C295" i="15"/>
  <c r="E295" i="15" s="1"/>
  <c r="C22" i="10"/>
  <c r="C21" i="10"/>
  <c r="C20" i="10"/>
  <c r="E20" i="10"/>
  <c r="E21" i="10"/>
  <c r="E22" i="10"/>
  <c r="D116" i="15"/>
  <c r="E116" i="15" s="1"/>
  <c r="C247" i="15"/>
  <c r="E247" i="15" s="1"/>
  <c r="D310" i="14"/>
  <c r="D312" i="14" s="1"/>
  <c r="F113" i="14"/>
  <c r="E252" i="15"/>
  <c r="E255" i="14"/>
  <c r="F255" i="14" s="1"/>
  <c r="E270" i="14"/>
  <c r="F270" i="14" s="1"/>
  <c r="E22" i="1"/>
  <c r="F22" i="1" s="1"/>
  <c r="E29" i="1"/>
  <c r="E25" i="3"/>
  <c r="F25" i="3" s="1"/>
  <c r="E38" i="3"/>
  <c r="F38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68" i="3"/>
  <c r="F68" i="3" s="1"/>
  <c r="E81" i="3"/>
  <c r="F81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111" i="3"/>
  <c r="F111" i="3" s="1"/>
  <c r="E71" i="5"/>
  <c r="C79" i="5"/>
  <c r="E109" i="5"/>
  <c r="E106" i="5" s="1"/>
  <c r="D149" i="5"/>
  <c r="C166" i="5"/>
  <c r="E63" i="6"/>
  <c r="F63" i="6" s="1"/>
  <c r="E102" i="6"/>
  <c r="F102" i="6" s="1"/>
  <c r="E204" i="6"/>
  <c r="F204" i="6" s="1"/>
  <c r="E60" i="7"/>
  <c r="E84" i="7"/>
  <c r="E96" i="7"/>
  <c r="F96" i="7" s="1"/>
  <c r="E107" i="7"/>
  <c r="F107" i="7" s="1"/>
  <c r="E112" i="7"/>
  <c r="F112" i="7" s="1"/>
  <c r="E50" i="10"/>
  <c r="D80" i="10"/>
  <c r="D77" i="10" s="1"/>
  <c r="F130" i="14"/>
  <c r="C137" i="14"/>
  <c r="E137" i="14" s="1"/>
  <c r="F137" i="14" s="1"/>
  <c r="C200" i="14"/>
  <c r="E200" i="14" s="1"/>
  <c r="F200" i="14" s="1"/>
  <c r="C280" i="14"/>
  <c r="E39" i="15"/>
  <c r="E72" i="15"/>
  <c r="E164" i="15"/>
  <c r="E173" i="15"/>
  <c r="E176" i="15"/>
  <c r="E178" i="15"/>
  <c r="E179" i="15"/>
  <c r="C189" i="15"/>
  <c r="E189" i="15" s="1"/>
  <c r="D260" i="15"/>
  <c r="E229" i="15"/>
  <c r="E230" i="15"/>
  <c r="E231" i="15"/>
  <c r="E278" i="15"/>
  <c r="E279" i="15"/>
  <c r="E288" i="15"/>
  <c r="E291" i="15"/>
  <c r="E292" i="15"/>
  <c r="D326" i="15"/>
  <c r="E16" i="17"/>
  <c r="F16" i="17" s="1"/>
  <c r="E43" i="17"/>
  <c r="C102" i="19"/>
  <c r="C103" i="19" s="1"/>
  <c r="E101" i="19"/>
  <c r="E103" i="19" s="1"/>
  <c r="D88" i="19"/>
  <c r="D93" i="19"/>
  <c r="D176" i="4"/>
  <c r="E176" i="4" s="1"/>
  <c r="F176" i="4" s="1"/>
  <c r="F171" i="4"/>
  <c r="D79" i="5"/>
  <c r="D166" i="5"/>
  <c r="E166" i="5"/>
  <c r="E208" i="6"/>
  <c r="F208" i="6" s="1"/>
  <c r="E118" i="7"/>
  <c r="F118" i="7" s="1"/>
  <c r="E55" i="12"/>
  <c r="F55" i="12" s="1"/>
  <c r="E70" i="12"/>
  <c r="F70" i="12" s="1"/>
  <c r="E17" i="13"/>
  <c r="F17" i="13" s="1"/>
  <c r="F47" i="14"/>
  <c r="E47" i="14"/>
  <c r="E110" i="14"/>
  <c r="F110" i="14" s="1"/>
  <c r="C264" i="14"/>
  <c r="E264" i="14" s="1"/>
  <c r="C210" i="15"/>
  <c r="C252" i="15"/>
  <c r="C254" i="15" s="1"/>
  <c r="E254" i="15" s="1"/>
  <c r="E36" i="17"/>
  <c r="F36" i="17" s="1"/>
  <c r="D46" i="17"/>
  <c r="F44" i="17"/>
  <c r="F45" i="17"/>
  <c r="E19" i="18"/>
  <c r="F19" i="18" s="1"/>
  <c r="E21" i="18"/>
  <c r="F21" i="18" s="1"/>
  <c r="C22" i="19"/>
  <c r="C23" i="19"/>
  <c r="D101" i="19"/>
  <c r="D103" i="19" s="1"/>
  <c r="E98" i="19"/>
  <c r="D313" i="14"/>
  <c r="E310" i="14"/>
  <c r="C312" i="14"/>
  <c r="F310" i="14"/>
  <c r="D117" i="15"/>
  <c r="D128" i="15"/>
  <c r="E110" i="15"/>
  <c r="C324" i="14"/>
  <c r="C43" i="1"/>
  <c r="E41" i="1"/>
  <c r="F41" i="1" s="1"/>
  <c r="F56" i="1"/>
  <c r="F61" i="1"/>
  <c r="F16" i="2"/>
  <c r="F31" i="2"/>
  <c r="C162" i="14"/>
  <c r="E161" i="14"/>
  <c r="F161" i="14" s="1"/>
  <c r="C263" i="15"/>
  <c r="E259" i="15"/>
  <c r="E95" i="3"/>
  <c r="F95" i="3" s="1"/>
  <c r="F93" i="3"/>
  <c r="D125" i="14"/>
  <c r="C303" i="15"/>
  <c r="C65" i="1"/>
  <c r="D65" i="1"/>
  <c r="E65" i="1" s="1"/>
  <c r="C19" i="2"/>
  <c r="D19" i="2"/>
  <c r="E93" i="3"/>
  <c r="E94" i="3"/>
  <c r="F94" i="3" s="1"/>
  <c r="F124" i="3"/>
  <c r="F153" i="3"/>
  <c r="F179" i="3"/>
  <c r="F24" i="4"/>
  <c r="F41" i="4"/>
  <c r="F59" i="4"/>
  <c r="F78" i="4"/>
  <c r="F31" i="11"/>
  <c r="E15" i="5"/>
  <c r="C25" i="5"/>
  <c r="C27" i="5" s="1"/>
  <c r="D49" i="5"/>
  <c r="D53" i="5"/>
  <c r="E88" i="5"/>
  <c r="E90" i="5" s="1"/>
  <c r="E86" i="5" s="1"/>
  <c r="F127" i="6"/>
  <c r="F128" i="6"/>
  <c r="F140" i="6"/>
  <c r="F141" i="6"/>
  <c r="F153" i="6"/>
  <c r="F154" i="6"/>
  <c r="F166" i="6"/>
  <c r="F167" i="6"/>
  <c r="F179" i="6"/>
  <c r="F180" i="6"/>
  <c r="F192" i="6"/>
  <c r="F193" i="6"/>
  <c r="E198" i="6"/>
  <c r="F198" i="6" s="1"/>
  <c r="E48" i="7"/>
  <c r="E72" i="7"/>
  <c r="D59" i="10"/>
  <c r="D61" i="10" s="1"/>
  <c r="D57" i="10" s="1"/>
  <c r="F52" i="14"/>
  <c r="F58" i="14"/>
  <c r="F66" i="14"/>
  <c r="E76" i="14"/>
  <c r="F76" i="14" s="1"/>
  <c r="E88" i="14"/>
  <c r="F88" i="14" s="1"/>
  <c r="C193" i="14"/>
  <c r="C192" i="14"/>
  <c r="C124" i="14"/>
  <c r="F123" i="14"/>
  <c r="F129" i="14"/>
  <c r="F135" i="14"/>
  <c r="C138" i="14"/>
  <c r="D57" i="5"/>
  <c r="D62" i="5" s="1"/>
  <c r="E43" i="5"/>
  <c r="E49" i="5"/>
  <c r="D122" i="7"/>
  <c r="E122" i="7" s="1"/>
  <c r="F122" i="7" s="1"/>
  <c r="D65" i="8"/>
  <c r="D15" i="10"/>
  <c r="D33" i="11"/>
  <c r="E31" i="11"/>
  <c r="G31" i="11" s="1"/>
  <c r="G17" i="11"/>
  <c r="F109" i="14"/>
  <c r="C111" i="14"/>
  <c r="F144" i="14"/>
  <c r="C172" i="14"/>
  <c r="E198" i="14"/>
  <c r="F198" i="14" s="1"/>
  <c r="F230" i="14"/>
  <c r="C300" i="14"/>
  <c r="F264" i="14"/>
  <c r="F296" i="14"/>
  <c r="E307" i="14"/>
  <c r="F307" i="14" s="1"/>
  <c r="C22" i="15"/>
  <c r="D44" i="15"/>
  <c r="C156" i="15"/>
  <c r="D210" i="15"/>
  <c r="E205" i="15"/>
  <c r="E216" i="15"/>
  <c r="E219" i="15"/>
  <c r="E244" i="15"/>
  <c r="D90" i="14"/>
  <c r="E90" i="14" s="1"/>
  <c r="F90" i="14" s="1"/>
  <c r="E220" i="15"/>
  <c r="E19" i="17"/>
  <c r="F19" i="17" s="1"/>
  <c r="C54" i="19"/>
  <c r="C111" i="19"/>
  <c r="C20" i="17"/>
  <c r="E25" i="17"/>
  <c r="F25" i="17" s="1"/>
  <c r="C45" i="19" l="1"/>
  <c r="C53" i="19"/>
  <c r="C110" i="19"/>
  <c r="C35" i="19"/>
  <c r="C39" i="19"/>
  <c r="C29" i="19"/>
  <c r="C234" i="15"/>
  <c r="C211" i="15"/>
  <c r="C180" i="15"/>
  <c r="E155" i="5"/>
  <c r="E157" i="5"/>
  <c r="E156" i="5"/>
  <c r="E152" i="5"/>
  <c r="E154" i="5"/>
  <c r="E153" i="5"/>
  <c r="D263" i="15"/>
  <c r="E260" i="15"/>
  <c r="E280" i="14"/>
  <c r="F280" i="14"/>
  <c r="D137" i="5"/>
  <c r="D136" i="5"/>
  <c r="D139" i="5"/>
  <c r="D140" i="5"/>
  <c r="D138" i="5"/>
  <c r="D135" i="5"/>
  <c r="D141" i="5" s="1"/>
  <c r="C46" i="19"/>
  <c r="C30" i="19"/>
  <c r="C40" i="19"/>
  <c r="C36" i="19"/>
  <c r="D157" i="5"/>
  <c r="D156" i="5"/>
  <c r="D155" i="5"/>
  <c r="D154" i="5"/>
  <c r="D153" i="5"/>
  <c r="D152" i="5"/>
  <c r="D158" i="5" s="1"/>
  <c r="E46" i="17"/>
  <c r="F46" i="17" s="1"/>
  <c r="F43" i="17"/>
  <c r="E326" i="15"/>
  <c r="D330" i="15"/>
  <c r="E330" i="15" s="1"/>
  <c r="C157" i="5"/>
  <c r="C156" i="5"/>
  <c r="C154" i="5"/>
  <c r="C153" i="5"/>
  <c r="C152" i="5"/>
  <c r="C155" i="5"/>
  <c r="E20" i="17"/>
  <c r="F20" i="17"/>
  <c r="C157" i="15"/>
  <c r="E156" i="15"/>
  <c r="C168" i="15"/>
  <c r="E168" i="15" s="1"/>
  <c r="E22" i="15"/>
  <c r="C284" i="15"/>
  <c r="E284" i="15" s="1"/>
  <c r="E300" i="14"/>
  <c r="F300" i="14" s="1"/>
  <c r="E111" i="14"/>
  <c r="F111" i="14" s="1"/>
  <c r="F33" i="11"/>
  <c r="F36" i="11" s="1"/>
  <c r="F38" i="11" s="1"/>
  <c r="F40" i="11" s="1"/>
  <c r="D36" i="11"/>
  <c r="D38" i="11" s="1"/>
  <c r="D40" i="11" s="1"/>
  <c r="D75" i="8"/>
  <c r="E75" i="8" s="1"/>
  <c r="E65" i="8"/>
  <c r="C126" i="14"/>
  <c r="C125" i="14"/>
  <c r="C194" i="14"/>
  <c r="E193" i="14"/>
  <c r="F193" i="14" s="1"/>
  <c r="C266" i="14"/>
  <c r="C282" i="14"/>
  <c r="E17" i="5"/>
  <c r="E24" i="5"/>
  <c r="E20" i="5" s="1"/>
  <c r="D33" i="2"/>
  <c r="E19" i="2"/>
  <c r="D75" i="1"/>
  <c r="C306" i="15"/>
  <c r="E303" i="15"/>
  <c r="C264" i="15"/>
  <c r="C266" i="15" s="1"/>
  <c r="C267" i="15" s="1"/>
  <c r="E263" i="15"/>
  <c r="E43" i="1"/>
  <c r="F43" i="1" s="1"/>
  <c r="E324" i="14"/>
  <c r="F324" i="14" s="1"/>
  <c r="E128" i="15"/>
  <c r="D129" i="15"/>
  <c r="E129" i="15" s="1"/>
  <c r="E117" i="15"/>
  <c r="C313" i="14"/>
  <c r="E312" i="14"/>
  <c r="F312" i="14" s="1"/>
  <c r="E210" i="15"/>
  <c r="D211" i="15"/>
  <c r="D234" i="15"/>
  <c r="E234" i="15" s="1"/>
  <c r="D180" i="15"/>
  <c r="E180" i="15" s="1"/>
  <c r="D96" i="15"/>
  <c r="D85" i="15"/>
  <c r="E85" i="15" s="1"/>
  <c r="D97" i="15"/>
  <c r="E97" i="15" s="1"/>
  <c r="D258" i="15"/>
  <c r="D99" i="15"/>
  <c r="E99" i="15" s="1"/>
  <c r="D98" i="15"/>
  <c r="E98" i="15" s="1"/>
  <c r="D95" i="15"/>
  <c r="D100" i="15"/>
  <c r="E100" i="15" s="1"/>
  <c r="D89" i="15"/>
  <c r="E89" i="15" s="1"/>
  <c r="D101" i="15"/>
  <c r="E101" i="15" s="1"/>
  <c r="D86" i="15"/>
  <c r="E86" i="15" s="1"/>
  <c r="D83" i="15"/>
  <c r="D88" i="15"/>
  <c r="E88" i="15" s="1"/>
  <c r="D87" i="15"/>
  <c r="E87" i="15" s="1"/>
  <c r="D84" i="15"/>
  <c r="E44" i="15"/>
  <c r="C173" i="14"/>
  <c r="E172" i="14"/>
  <c r="F172" i="14" s="1"/>
  <c r="C207" i="14"/>
  <c r="D17" i="10"/>
  <c r="D28" i="10" s="1"/>
  <c r="D70" i="10" s="1"/>
  <c r="D72" i="10" s="1"/>
  <c r="D24" i="10"/>
  <c r="E138" i="14"/>
  <c r="F138" i="14" s="1"/>
  <c r="C140" i="14"/>
  <c r="C139" i="14"/>
  <c r="E192" i="14"/>
  <c r="F192" i="14" s="1"/>
  <c r="C20" i="5"/>
  <c r="C21" i="5"/>
  <c r="C22" i="5"/>
  <c r="C33" i="2"/>
  <c r="F19" i="2"/>
  <c r="F65" i="1"/>
  <c r="C75" i="1"/>
  <c r="E125" i="14"/>
  <c r="E162" i="14"/>
  <c r="F162" i="14" s="1"/>
  <c r="E124" i="14"/>
  <c r="F124" i="14" s="1"/>
  <c r="D315" i="14"/>
  <c r="E313" i="14"/>
  <c r="D314" i="14"/>
  <c r="D256" i="14"/>
  <c r="D251" i="14"/>
  <c r="C158" i="5" l="1"/>
  <c r="C235" i="15"/>
  <c r="C181" i="15"/>
  <c r="C55" i="19"/>
  <c r="C37" i="19"/>
  <c r="C112" i="19"/>
  <c r="C47" i="19"/>
  <c r="D131" i="15"/>
  <c r="E131" i="15" s="1"/>
  <c r="C56" i="19"/>
  <c r="C38" i="19"/>
  <c r="C48" i="19"/>
  <c r="C113" i="19"/>
  <c r="E158" i="5"/>
  <c r="D318" i="14"/>
  <c r="C41" i="2"/>
  <c r="C141" i="14"/>
  <c r="E140" i="14"/>
  <c r="F140" i="14"/>
  <c r="E207" i="14"/>
  <c r="C208" i="14"/>
  <c r="F207" i="14"/>
  <c r="E83" i="15"/>
  <c r="E258" i="15"/>
  <c r="D264" i="15"/>
  <c r="D235" i="15"/>
  <c r="E235" i="15" s="1"/>
  <c r="E211" i="15"/>
  <c r="D181" i="15"/>
  <c r="E181" i="15" s="1"/>
  <c r="C256" i="14"/>
  <c r="C251" i="14"/>
  <c r="C315" i="14"/>
  <c r="F313" i="14"/>
  <c r="C314" i="14"/>
  <c r="E75" i="1"/>
  <c r="E33" i="2"/>
  <c r="F33" i="2" s="1"/>
  <c r="D41" i="2"/>
  <c r="E112" i="5"/>
  <c r="E111" i="5" s="1"/>
  <c r="E28" i="5"/>
  <c r="C281" i="14"/>
  <c r="E282" i="14"/>
  <c r="F282" i="14" s="1"/>
  <c r="C127" i="14"/>
  <c r="E126" i="14"/>
  <c r="F126" i="14" s="1"/>
  <c r="E315" i="14"/>
  <c r="D257" i="14"/>
  <c r="E256" i="14"/>
  <c r="F75" i="1"/>
  <c r="E139" i="14"/>
  <c r="F139" i="14" s="1"/>
  <c r="C175" i="14"/>
  <c r="E173" i="14"/>
  <c r="F173" i="14" s="1"/>
  <c r="C174" i="14"/>
  <c r="D90" i="15"/>
  <c r="E90" i="15" s="1"/>
  <c r="E84" i="15"/>
  <c r="D103" i="15"/>
  <c r="E103" i="15" s="1"/>
  <c r="E95" i="15"/>
  <c r="E96" i="15"/>
  <c r="D102" i="15"/>
  <c r="E102" i="15" s="1"/>
  <c r="C269" i="15"/>
  <c r="C268" i="15"/>
  <c r="E306" i="15"/>
  <c r="C310" i="15"/>
  <c r="E310" i="15" s="1"/>
  <c r="E266" i="14"/>
  <c r="C265" i="14"/>
  <c r="F266" i="14"/>
  <c r="C195" i="14"/>
  <c r="C196" i="14"/>
  <c r="E194" i="14"/>
  <c r="F194" i="14"/>
  <c r="F125" i="14"/>
  <c r="C169" i="15"/>
  <c r="E169" i="15" s="1"/>
  <c r="E157" i="15"/>
  <c r="E281" i="14" l="1"/>
  <c r="F281" i="14" s="1"/>
  <c r="C318" i="14"/>
  <c r="F315" i="14"/>
  <c r="C257" i="14"/>
  <c r="F256" i="14"/>
  <c r="E264" i="15"/>
  <c r="D266" i="15"/>
  <c r="D91" i="15"/>
  <c r="C209" i="14"/>
  <c r="C210" i="14"/>
  <c r="E208" i="14"/>
  <c r="F208" i="14" s="1"/>
  <c r="C322" i="14"/>
  <c r="E141" i="14"/>
  <c r="F141" i="14" s="1"/>
  <c r="E318" i="14"/>
  <c r="E196" i="14"/>
  <c r="F196" i="14" s="1"/>
  <c r="E195" i="14"/>
  <c r="F195" i="14" s="1"/>
  <c r="E265" i="14"/>
  <c r="F265" i="14" s="1"/>
  <c r="C271" i="15"/>
  <c r="E174" i="14"/>
  <c r="F174" i="14" s="1"/>
  <c r="C176" i="14"/>
  <c r="E175" i="14"/>
  <c r="F175" i="14" s="1"/>
  <c r="E257" i="14"/>
  <c r="C197" i="14"/>
  <c r="C148" i="14"/>
  <c r="E127" i="14"/>
  <c r="F127" i="14" s="1"/>
  <c r="E22" i="5"/>
  <c r="E99" i="5"/>
  <c r="E101" i="5" s="1"/>
  <c r="E98" i="5" s="1"/>
  <c r="E41" i="2"/>
  <c r="F41" i="2" s="1"/>
  <c r="D48" i="2"/>
  <c r="C48" i="2"/>
  <c r="E314" i="14"/>
  <c r="F314" i="14" s="1"/>
  <c r="E251" i="14"/>
  <c r="F251" i="14" s="1"/>
  <c r="E48" i="2" l="1"/>
  <c r="E148" i="14"/>
  <c r="F148" i="14" s="1"/>
  <c r="E176" i="14"/>
  <c r="F176" i="14"/>
  <c r="C323" i="14"/>
  <c r="C183" i="14"/>
  <c r="D105" i="15"/>
  <c r="E105" i="15" s="1"/>
  <c r="E91" i="15"/>
  <c r="F257" i="14"/>
  <c r="F48" i="2"/>
  <c r="E197" i="14"/>
  <c r="F197" i="14" s="1"/>
  <c r="E322" i="14"/>
  <c r="F322" i="14" s="1"/>
  <c r="C325" i="14"/>
  <c r="C211" i="14"/>
  <c r="E210" i="14"/>
  <c r="F210" i="14" s="1"/>
  <c r="E209" i="14"/>
  <c r="F209" i="14" s="1"/>
  <c r="E266" i="15"/>
  <c r="D267" i="15"/>
  <c r="F318" i="14"/>
  <c r="E211" i="14" l="1"/>
  <c r="F211" i="14" s="1"/>
  <c r="E325" i="14"/>
  <c r="F325" i="14" s="1"/>
  <c r="E323" i="14"/>
  <c r="F323" i="14" s="1"/>
  <c r="D269" i="15"/>
  <c r="E269" i="15" s="1"/>
  <c r="D268" i="15"/>
  <c r="E267" i="15"/>
  <c r="E183" i="14"/>
  <c r="F183" i="14"/>
  <c r="D271" i="15" l="1"/>
  <c r="E271" i="15" s="1"/>
  <c r="E268" i="15"/>
</calcChain>
</file>

<file path=xl/sharedStrings.xml><?xml version="1.0" encoding="utf-8"?>
<sst xmlns="http://schemas.openxmlformats.org/spreadsheetml/2006/main" count="2300" uniqueCount="978">
  <si>
    <t>NEW MILFORD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</si>
  <si>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</si>
  <si>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</si>
  <si>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</si>
  <si>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</si>
  <si>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</si>
  <si>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</si>
  <si>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</si>
  <si>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</si>
  <si>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</si>
  <si>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</si>
  <si>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</si>
  <si>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</si>
  <si>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</si>
  <si>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</si>
  <si>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</si>
  <si>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</si>
  <si>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</si>
  <si>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</si>
  <si>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</si>
  <si>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</si>
  <si>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</si>
  <si>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</si>
  <si>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</si>
  <si>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</si>
  <si>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</si>
  <si>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</si>
  <si>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</si>
  <si>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</si>
  <si>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</si>
  <si>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</si>
  <si>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</si>
  <si>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</si>
  <si>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</si>
  <si>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</si>
  <si>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</si>
  <si>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</si>
  <si>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</si>
  <si>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</si>
  <si>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</si>
  <si>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</si>
  <si>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</si>
  <si>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</si>
  <si>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</si>
  <si>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</si>
  <si>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</si>
  <si>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</si>
  <si>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</si>
  <si>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</si>
  <si>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</si>
  <si>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</si>
  <si>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</si>
  <si>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</si>
  <si>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</si>
  <si>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</si>
  <si>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</si>
  <si>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</si>
  <si>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</si>
  <si>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</si>
  <si>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</si>
  <si>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</si>
  <si>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</si>
  <si>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</si>
  <si>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</si>
  <si>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</si>
  <si>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</si>
  <si>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</si>
  <si>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</si>
  <si>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</si>
  <si>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</si>
  <si>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</si>
  <si>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</si>
  <si>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</si>
  <si>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</si>
  <si>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</si>
  <si>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</si>
  <si>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</si>
  <si>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</si>
  <si>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</si>
  <si>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</si>
  <si>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</si>
  <si>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</si>
  <si>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</si>
  <si>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</si>
  <si>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</si>
  <si>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</si>
  <si>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</si>
  <si>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</si>
  <si>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</si>
  <si>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</si>
  <si>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</si>
  <si>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</si>
  <si>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</si>
  <si>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</si>
  <si>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</si>
  <si>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</si>
  <si>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</si>
  <si>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</si>
  <si>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</si>
  <si>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</si>
  <si>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</si>
  <si>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</si>
  <si>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</si>
  <si>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</si>
  <si>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</si>
  <si>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</si>
  <si>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</si>
  <si>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</si>
  <si>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</si>
  <si>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</si>
  <si>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</si>
  <si>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</si>
  <si>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</si>
  <si>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</si>
  <si>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</si>
  <si>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</si>
  <si>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</si>
  <si>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</si>
  <si>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</si>
  <si>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</si>
  <si>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</si>
  <si>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</si>
  <si>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</si>
  <si>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</si>
  <si>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</si>
  <si>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</si>
  <si>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</si>
  <si>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</si>
  <si>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</si>
  <si>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</si>
  <si>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</si>
  <si>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</si>
  <si>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</si>
  <si>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</si>
  <si>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</si>
  <si>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</si>
  <si>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</si>
  <si>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</si>
  <si>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</si>
  <si>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</si>
  <si>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</si>
  <si>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</si>
  <si>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</si>
  <si>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</si>
  <si>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</si>
  <si>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</si>
  <si>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</si>
  <si>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</si>
  <si>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</si>
  <si>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</si>
  <si>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</si>
  <si>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</si>
  <si>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</si>
  <si>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</si>
  <si>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</si>
  <si>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</si>
  <si>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</si>
  <si>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</si>
  <si>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</si>
  <si>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</si>
  <si>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</si>
  <si>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</si>
  <si>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</si>
  <si>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</si>
  <si>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</si>
  <si>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</si>
  <si>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</si>
  <si>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</si>
  <si>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</si>
  <si>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</si>
  <si>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</si>
  <si>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</si>
  <si>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</si>
  <si>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</si>
  <si>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</si>
  <si>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</si>
  <si>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</si>
  <si>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</si>
  <si>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</si>
  <si>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</si>
  <si>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</si>
  <si>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</si>
  <si>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</si>
  <si>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</si>
  <si>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</si>
  <si>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</si>
  <si>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</si>
  <si>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</si>
  <si>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</si>
  <si>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</si>
  <si>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</si>
  <si>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</si>
  <si>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</si>
  <si>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</si>
  <si>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</si>
  <si>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</si>
  <si>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</si>
  <si>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</si>
  <si>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</si>
  <si>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</si>
  <si>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</si>
  <si>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</si>
  <si>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</si>
  <si>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</si>
  <si>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</si>
  <si>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</si>
  <si>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</si>
  <si>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</si>
  <si>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</si>
  <si>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</si>
  <si>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</si>
  <si>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</si>
  <si>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</si>
  <si>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</si>
  <si>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</si>
  <si>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</si>
  <si>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</si>
  <si>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</si>
  <si>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</si>
  <si>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</si>
  <si>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</si>
  <si>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</si>
  <si>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</si>
  <si>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</si>
  <si>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</si>
  <si>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</si>
  <si>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</si>
  <si>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</si>
  <si>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</si>
  <si>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</si>
  <si>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</si>
  <si>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</si>
  <si>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</si>
  <si>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</si>
  <si>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</si>
  <si>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</si>
  <si>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</si>
  <si>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</si>
  <si>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</si>
  <si>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</si>
  <si>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</si>
  <si>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</si>
  <si>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</si>
  <si>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</si>
  <si>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</si>
  <si>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</si>
  <si>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</si>
  <si>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</si>
  <si>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</si>
  <si>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</si>
  <si>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</si>
  <si>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</si>
  <si>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</si>
  <si>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</si>
  <si>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</si>
  <si>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</si>
  <si>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</si>
  <si>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</si>
  <si>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</si>
  <si>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</si>
  <si>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</si>
  <si>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</si>
  <si>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</si>
  <si>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</si>
  <si>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</si>
  <si>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</si>
  <si>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</si>
  <si>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</si>
  <si>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</si>
  <si>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</si>
  <si>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</si>
  <si>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</si>
  <si>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</si>
  <si>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</si>
  <si>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</si>
  <si>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</si>
  <si>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</si>
  <si>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</si>
  <si>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</si>
  <si>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</si>
  <si>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</si>
  <si>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</si>
  <si>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</si>
  <si>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</si>
  <si>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</si>
  <si>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</si>
  <si>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</si>
  <si>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</si>
  <si>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</si>
  <si>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</si>
  <si>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</si>
  <si>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</si>
  <si>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</si>
  <si>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</si>
  <si>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</si>
  <si>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</si>
  <si>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</si>
  <si>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</si>
  <si>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</si>
  <si>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</si>
  <si>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</si>
  <si>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</si>
  <si>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</si>
  <si>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</si>
  <si>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</si>
  <si>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</si>
  <si>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</si>
  <si>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</si>
  <si>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</si>
  <si>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</si>
  <si>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</si>
  <si>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</si>
  <si>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</si>
  <si>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</si>
  <si>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</si>
  <si>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</si>
  <si>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</si>
  <si>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</si>
  <si>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</si>
  <si>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</si>
  <si>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</si>
  <si>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</si>
  <si>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</si>
  <si>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</si>
  <si>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</si>
  <si>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</si>
  <si>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</si>
  <si>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</si>
  <si>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</si>
  <si>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</si>
  <si>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</si>
  <si>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</si>
  <si>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</si>
  <si>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</si>
  <si>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</si>
  <si>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</si>
  <si>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</si>
  <si>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</si>
  <si>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</si>
  <si>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</si>
  <si>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</si>
  <si>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</si>
  <si>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</si>
  <si>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</si>
  <si>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</si>
  <si>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</si>
  <si>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</si>
  <si>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</si>
  <si>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</si>
  <si>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</si>
  <si>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</si>
  <si>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</si>
  <si>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</si>
  <si>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</si>
  <si>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</si>
  <si>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</si>
  <si>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</si>
  <si>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</si>
  <si>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</si>
  <si>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</si>
  <si>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</si>
  <si>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</si>
  <si>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</si>
  <si>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</si>
  <si>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</si>
  <si>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</si>
  <si>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</si>
  <si>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</si>
  <si>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</si>
  <si>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</si>
  <si>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</si>
  <si>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</si>
  <si>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</si>
  <si>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</si>
  <si>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</si>
  <si>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</si>
  <si>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</si>
  <si>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</si>
  <si>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</si>
  <si>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</si>
  <si>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</si>
  <si>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</si>
  <si>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</si>
  <si>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</si>
  <si>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</si>
  <si>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</si>
  <si>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</si>
  <si>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</si>
  <si>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</si>
  <si>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</si>
  <si>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</si>
  <si>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</si>
  <si>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</si>
  <si>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</si>
  <si>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</si>
  <si>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</si>
  <si>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</si>
  <si>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</si>
  <si>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</si>
  <si>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</si>
  <si>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</si>
  <si>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</si>
  <si>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</si>
  <si>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</si>
  <si>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</si>
  <si>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</si>
  <si>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</si>
  <si>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</si>
  <si>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</si>
  <si>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</si>
  <si>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</si>
  <si>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</si>
  <si>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</si>
  <si>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</si>
  <si>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</si>
  <si>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</si>
  <si>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</si>
  <si>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</si>
  <si>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</si>
  <si>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</si>
  <si>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</si>
  <si>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</si>
  <si>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</si>
  <si>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</si>
  <si>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</si>
  <si>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</si>
  <si>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</si>
  <si>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</si>
  <si>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</si>
  <si>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</si>
  <si>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</si>
  <si>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</si>
  <si>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</si>
  <si>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</si>
  <si>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</si>
  <si>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</si>
  <si>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</si>
  <si>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</si>
  <si>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</si>
  <si>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</si>
  <si>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</si>
  <si>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</si>
  <si>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</si>
  <si>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</si>
  <si>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</si>
  <si>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</si>
  <si>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</si>
  <si>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</si>
  <si>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</si>
  <si>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</si>
  <si>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</si>
  <si>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</si>
  <si>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</si>
  <si>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</si>
  <si>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</si>
  <si>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</si>
  <si>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</si>
  <si>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</si>
  <si>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</si>
  <si>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</si>
  <si>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</si>
  <si>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</si>
  <si>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</si>
  <si>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</si>
  <si>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</si>
  <si>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</si>
  <si>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</si>
  <si>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</si>
  <si>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</si>
  <si>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</si>
  <si>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</si>
  <si>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</si>
  <si>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</si>
  <si>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</si>
  <si>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</si>
  <si>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</si>
  <si>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</si>
  <si>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</si>
  <si>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</si>
  <si>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WESTERN CONNECTICUT HEALTHCARE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</si>
  <si>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</si>
  <si>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</si>
  <si>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</si>
  <si>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</si>
  <si>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</si>
  <si>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</si>
  <si>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</si>
  <si>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</si>
  <si>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</si>
  <si>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</si>
  <si>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</si>
  <si>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</si>
  <si>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</si>
  <si>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</si>
  <si>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</si>
  <si>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</si>
  <si>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</si>
  <si>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</si>
  <si>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</si>
  <si>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</si>
  <si>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</si>
  <si>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</si>
  <si>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</si>
  <si>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</si>
  <si>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</si>
  <si>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</si>
  <si>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</si>
  <si>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</si>
  <si>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</si>
  <si>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</si>
  <si>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</si>
  <si>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</si>
  <si>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</si>
  <si>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</si>
  <si>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</si>
  <si>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</si>
  <si>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</si>
  <si>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</si>
  <si>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</si>
  <si>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</si>
  <si>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</si>
  <si>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</si>
  <si>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</si>
  <si>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</si>
  <si>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</si>
  <si>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</si>
  <si>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</si>
  <si>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</si>
  <si>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</si>
  <si>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</si>
  <si>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</si>
  <si>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</si>
  <si>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</si>
  <si>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</si>
  <si>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</si>
  <si>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</si>
  <si>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</si>
  <si>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</si>
  <si>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</si>
  <si>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</si>
  <si>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</si>
  <si>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</si>
  <si>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</si>
  <si>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</si>
  <si>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</si>
  <si>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</si>
  <si>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</si>
  <si>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</si>
  <si>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</si>
  <si>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</si>
  <si>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</si>
  <si>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</si>
  <si>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</si>
  <si>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</si>
  <si>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</si>
  <si>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</si>
  <si>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</si>
  <si>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</si>
  <si>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</si>
  <si>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</si>
  <si>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</si>
  <si>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</si>
  <si>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</si>
  <si>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</si>
  <si>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</si>
  <si>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</si>
  <si>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</si>
  <si>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</si>
  <si>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</si>
  <si>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</si>
  <si>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</si>
  <si>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</si>
  <si>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</si>
  <si>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</si>
  <si>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</si>
  <si>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</si>
  <si>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</si>
  <si>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</si>
  <si>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</si>
  <si>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</si>
  <si>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</si>
  <si>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</si>
  <si>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</si>
  <si>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New Milford Hospital Inc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</si>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</sst>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>
      <selection activeCell="B2" sqref="B2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2513911</v>
      </c>
      <c r="D13" s="23">
        <v>6859877</v>
      </c>
      <c r="E13" s="23">
        <f t="shared" ref="E13:E22" si="0">D13-C13</f>
        <v>4345966</v>
      </c>
      <c r="F13" s="24">
        <f t="shared" ref="F13:F22" si="1">IF(C13=0,0,E13/C13)</f>
        <v>1.7287668497412996</v>
      </c>
    </row>
    <row r="14" spans="1:8" ht="24" customHeight="1" x14ac:dyDescent="0.2">
      <c r="A14" s="21">
        <v>2</v>
      </c>
      <c r="B14" s="22" t="s">
        <v>17</v>
      </c>
      <c r="C14" s="23">
        <v>195420</v>
      </c>
      <c r="D14" s="23">
        <v>198805</v>
      </c>
      <c r="E14" s="23">
        <f t="shared" si="0"/>
        <v>3385</v>
      </c>
      <c r="F14" s="24">
        <f t="shared" si="1"/>
        <v>1.7321666154948318E-2</v>
      </c>
    </row>
    <row r="15" spans="1:8" ht="35.25" customHeight="1" x14ac:dyDescent="0.2">
      <c r="A15" s="21">
        <v>3</v>
      </c>
      <c r="B15" s="22" t="s">
        <v>18</v>
      </c>
      <c r="C15" s="23">
        <v>10792628</v>
      </c>
      <c r="D15" s="23">
        <v>10247728</v>
      </c>
      <c r="E15" s="23">
        <f t="shared" si="0"/>
        <v>-544900</v>
      </c>
      <c r="F15" s="24">
        <f t="shared" si="1"/>
        <v>-5.0488166552205824E-2</v>
      </c>
    </row>
    <row r="16" spans="1:8" ht="24" customHeight="1" x14ac:dyDescent="0.2">
      <c r="A16" s="21">
        <v>4</v>
      </c>
      <c r="B16" s="22" t="s">
        <v>19</v>
      </c>
      <c r="C16" s="23">
        <v>1095852</v>
      </c>
      <c r="D16" s="23">
        <v>922589</v>
      </c>
      <c r="E16" s="23">
        <f t="shared" si="0"/>
        <v>-173263</v>
      </c>
      <c r="F16" s="24">
        <f t="shared" si="1"/>
        <v>-0.15810802918642297</v>
      </c>
    </row>
    <row r="17" spans="1:11" ht="24" customHeight="1" x14ac:dyDescent="0.2">
      <c r="A17" s="21">
        <v>5</v>
      </c>
      <c r="B17" s="22" t="s">
        <v>20</v>
      </c>
      <c r="C17" s="23">
        <v>46292</v>
      </c>
      <c r="D17" s="23">
        <v>43668</v>
      </c>
      <c r="E17" s="23">
        <f t="shared" si="0"/>
        <v>-2624</v>
      </c>
      <c r="F17" s="24">
        <f t="shared" si="1"/>
        <v>-5.6683660243670615E-2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2035077</v>
      </c>
      <c r="D19" s="23">
        <v>2043790</v>
      </c>
      <c r="E19" s="23">
        <f t="shared" si="0"/>
        <v>8713</v>
      </c>
      <c r="F19" s="24">
        <f t="shared" si="1"/>
        <v>4.2814104822569369E-3</v>
      </c>
    </row>
    <row r="20" spans="1:11" ht="24" customHeight="1" x14ac:dyDescent="0.2">
      <c r="A20" s="21">
        <v>8</v>
      </c>
      <c r="B20" s="22" t="s">
        <v>23</v>
      </c>
      <c r="C20" s="23">
        <v>2935422</v>
      </c>
      <c r="D20" s="23">
        <v>1486255</v>
      </c>
      <c r="E20" s="23">
        <f t="shared" si="0"/>
        <v>-1449167</v>
      </c>
      <c r="F20" s="24">
        <f t="shared" si="1"/>
        <v>-0.49368268003714627</v>
      </c>
    </row>
    <row r="21" spans="1:11" ht="24" customHeight="1" x14ac:dyDescent="0.2">
      <c r="A21" s="21">
        <v>9</v>
      </c>
      <c r="B21" s="22" t="s">
        <v>24</v>
      </c>
      <c r="C21" s="23">
        <v>515117</v>
      </c>
      <c r="D21" s="23">
        <v>1074544</v>
      </c>
      <c r="E21" s="23">
        <f t="shared" si="0"/>
        <v>559427</v>
      </c>
      <c r="F21" s="24">
        <f t="shared" si="1"/>
        <v>1.0860192927043759</v>
      </c>
    </row>
    <row r="22" spans="1:11" ht="24" customHeight="1" x14ac:dyDescent="0.25">
      <c r="A22" s="25"/>
      <c r="B22" s="26" t="s">
        <v>25</v>
      </c>
      <c r="C22" s="27">
        <f>SUM(C13:C21)</f>
        <v>20129719</v>
      </c>
      <c r="D22" s="27">
        <f>SUM(D13:D21)</f>
        <v>22877256</v>
      </c>
      <c r="E22" s="27">
        <f t="shared" si="0"/>
        <v>2747537</v>
      </c>
      <c r="F22" s="28">
        <f t="shared" si="1"/>
        <v>0.13649157248543808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14189069</v>
      </c>
      <c r="D31" s="23">
        <v>9274171</v>
      </c>
      <c r="E31" s="23">
        <f>D31-C31</f>
        <v>-4914898</v>
      </c>
      <c r="F31" s="24">
        <f>IF(C31=0,0,E31/C31)</f>
        <v>-0.34638622167529104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3686428</v>
      </c>
      <c r="D33" s="23">
        <v>4015159</v>
      </c>
      <c r="E33" s="23">
        <f>D33-C33</f>
        <v>328731</v>
      </c>
      <c r="F33" s="24">
        <f>IF(C33=0,0,E33/C33)</f>
        <v>8.9173313570751964E-2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91528719</v>
      </c>
      <c r="D36" s="23">
        <v>96644931</v>
      </c>
      <c r="E36" s="23">
        <f>D36-C36</f>
        <v>5116212</v>
      </c>
      <c r="F36" s="24">
        <f>IF(C36=0,0,E36/C36)</f>
        <v>5.5897340811685563E-2</v>
      </c>
    </row>
    <row r="37" spans="1:8" ht="24" customHeight="1" x14ac:dyDescent="0.2">
      <c r="A37" s="21">
        <v>2</v>
      </c>
      <c r="B37" s="22" t="s">
        <v>39</v>
      </c>
      <c r="C37" s="23">
        <v>60489384</v>
      </c>
      <c r="D37" s="23">
        <v>65927031</v>
      </c>
      <c r="E37" s="23">
        <f>D37-C37</f>
        <v>5437647</v>
      </c>
      <c r="F37" s="24">
        <f>IF(C37=0,0,E37/C37)</f>
        <v>8.9894236648202605E-2</v>
      </c>
    </row>
    <row r="38" spans="1:8" ht="24" customHeight="1" x14ac:dyDescent="0.25">
      <c r="A38" s="25"/>
      <c r="B38" s="26" t="s">
        <v>40</v>
      </c>
      <c r="C38" s="27">
        <f>C36-C37</f>
        <v>31039335</v>
      </c>
      <c r="D38" s="27">
        <f>D36-D37</f>
        <v>30717900</v>
      </c>
      <c r="E38" s="27">
        <f>D38-C38</f>
        <v>-321435</v>
      </c>
      <c r="F38" s="28">
        <f>IF(C38=0,0,E38/C38)</f>
        <v>-1.035573088147668E-2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668678</v>
      </c>
      <c r="D40" s="23">
        <v>2034805</v>
      </c>
      <c r="E40" s="23">
        <f>D40-C40</f>
        <v>1366127</v>
      </c>
      <c r="F40" s="24">
        <f>IF(C40=0,0,E40/C40)</f>
        <v>2.0430266884808534</v>
      </c>
    </row>
    <row r="41" spans="1:8" ht="24" customHeight="1" x14ac:dyDescent="0.25">
      <c r="A41" s="25"/>
      <c r="B41" s="26" t="s">
        <v>42</v>
      </c>
      <c r="C41" s="27">
        <f>+C38+C40</f>
        <v>31708013</v>
      </c>
      <c r="D41" s="27">
        <f>+D38+D40</f>
        <v>32752705</v>
      </c>
      <c r="E41" s="27">
        <f>D41-C41</f>
        <v>1044692</v>
      </c>
      <c r="F41" s="28">
        <f>IF(C41=0,0,E41/C41)</f>
        <v>3.2947255319972273E-2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69713229</v>
      </c>
      <c r="D43" s="27">
        <f>D22+D29+D31+D32+D33+D41</f>
        <v>68919291</v>
      </c>
      <c r="E43" s="27">
        <f>D43-C43</f>
        <v>-793938</v>
      </c>
      <c r="F43" s="28">
        <f>IF(C43=0,0,E43/C43)</f>
        <v>-1.1388627544422021E-2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7756646</v>
      </c>
      <c r="D49" s="23">
        <v>4628308</v>
      </c>
      <c r="E49" s="23">
        <f t="shared" ref="E49:E56" si="2">D49-C49</f>
        <v>-3128338</v>
      </c>
      <c r="F49" s="24">
        <f t="shared" ref="F49:F56" si="3">IF(C49=0,0,E49/C49)</f>
        <v>-0.40331065772500124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2869848</v>
      </c>
      <c r="D50" s="23">
        <v>1230303</v>
      </c>
      <c r="E50" s="23">
        <f t="shared" si="2"/>
        <v>-1639545</v>
      </c>
      <c r="F50" s="24">
        <f t="shared" si="3"/>
        <v>-0.57130029186214737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2305128</v>
      </c>
      <c r="D51" s="23">
        <v>3618869</v>
      </c>
      <c r="E51" s="23">
        <f t="shared" si="2"/>
        <v>1313741</v>
      </c>
      <c r="F51" s="24">
        <f t="shared" si="3"/>
        <v>0.56992106295181877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1662730</v>
      </c>
      <c r="D53" s="23">
        <v>2256042</v>
      </c>
      <c r="E53" s="23">
        <f t="shared" si="2"/>
        <v>593312</v>
      </c>
      <c r="F53" s="24">
        <f t="shared" si="3"/>
        <v>0.35683003253685203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1095852</v>
      </c>
      <c r="D55" s="23">
        <v>1922589</v>
      </c>
      <c r="E55" s="23">
        <f t="shared" si="2"/>
        <v>826737</v>
      </c>
      <c r="F55" s="24">
        <f t="shared" si="3"/>
        <v>0.75442395505962478</v>
      </c>
    </row>
    <row r="56" spans="1:6" ht="24" customHeight="1" x14ac:dyDescent="0.25">
      <c r="A56" s="25"/>
      <c r="B56" s="26" t="s">
        <v>54</v>
      </c>
      <c r="C56" s="27">
        <f>SUM(C49:C55)</f>
        <v>15690204</v>
      </c>
      <c r="D56" s="27">
        <f>SUM(D49:D55)</f>
        <v>13656111</v>
      </c>
      <c r="E56" s="27">
        <f t="shared" si="2"/>
        <v>-2034093</v>
      </c>
      <c r="F56" s="28">
        <f t="shared" si="3"/>
        <v>-0.12964095304305795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7543997</v>
      </c>
      <c r="D60" s="23">
        <v>6944190</v>
      </c>
      <c r="E60" s="23">
        <f>D60-C60</f>
        <v>-599807</v>
      </c>
      <c r="F60" s="24">
        <f>IF(C60=0,0,E60/C60)</f>
        <v>-7.9507852402380327E-2</v>
      </c>
    </row>
    <row r="61" spans="1:6" ht="24" customHeight="1" x14ac:dyDescent="0.25">
      <c r="A61" s="25"/>
      <c r="B61" s="26" t="s">
        <v>58</v>
      </c>
      <c r="C61" s="27">
        <f>SUM(C59:C60)</f>
        <v>7543997</v>
      </c>
      <c r="D61" s="27">
        <f>SUM(D59:D60)</f>
        <v>6944190</v>
      </c>
      <c r="E61" s="27">
        <f>D61-C61</f>
        <v>-599807</v>
      </c>
      <c r="F61" s="28">
        <f>IF(C61=0,0,E61/C61)</f>
        <v>-7.9507852402380327E-2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20426162</v>
      </c>
      <c r="D63" s="23">
        <v>10939644</v>
      </c>
      <c r="E63" s="23">
        <f>D63-C63</f>
        <v>-9486518</v>
      </c>
      <c r="F63" s="24">
        <f>IF(C63=0,0,E63/C63)</f>
        <v>-0.46442978372540078</v>
      </c>
    </row>
    <row r="64" spans="1:6" ht="24" customHeight="1" x14ac:dyDescent="0.2">
      <c r="A64" s="21">
        <v>4</v>
      </c>
      <c r="B64" s="22" t="s">
        <v>60</v>
      </c>
      <c r="C64" s="23">
        <v>2284464</v>
      </c>
      <c r="D64" s="23">
        <v>2674742</v>
      </c>
      <c r="E64" s="23">
        <f>D64-C64</f>
        <v>390278</v>
      </c>
      <c r="F64" s="24">
        <f>IF(C64=0,0,E64/C64)</f>
        <v>0.17084007452076286</v>
      </c>
    </row>
    <row r="65" spans="1:6" ht="24" customHeight="1" x14ac:dyDescent="0.25">
      <c r="A65" s="25"/>
      <c r="B65" s="26" t="s">
        <v>61</v>
      </c>
      <c r="C65" s="27">
        <f>SUM(C61:C64)</f>
        <v>30254623</v>
      </c>
      <c r="D65" s="27">
        <f>SUM(D61:D64)</f>
        <v>20558576</v>
      </c>
      <c r="E65" s="27">
        <f>D65-C65</f>
        <v>-9696047</v>
      </c>
      <c r="F65" s="28">
        <f>IF(C65=0,0,E65/C65)</f>
        <v>-0.32048150128990205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13080008</v>
      </c>
      <c r="D70" s="23">
        <v>28931108</v>
      </c>
      <c r="E70" s="23">
        <f>D70-C70</f>
        <v>15851100</v>
      </c>
      <c r="F70" s="24">
        <f>IF(C70=0,0,E70/C70)</f>
        <v>1.2118570569681608</v>
      </c>
    </row>
    <row r="71" spans="1:6" ht="24" customHeight="1" x14ac:dyDescent="0.2">
      <c r="A71" s="21">
        <v>2</v>
      </c>
      <c r="B71" s="22" t="s">
        <v>65</v>
      </c>
      <c r="C71" s="23">
        <v>7033945</v>
      </c>
      <c r="D71" s="23">
        <v>1822932</v>
      </c>
      <c r="E71" s="23">
        <f>D71-C71</f>
        <v>-5211013</v>
      </c>
      <c r="F71" s="24">
        <f>IF(C71=0,0,E71/C71)</f>
        <v>-0.74083789395566779</v>
      </c>
    </row>
    <row r="72" spans="1:6" ht="24" customHeight="1" x14ac:dyDescent="0.2">
      <c r="A72" s="21">
        <v>3</v>
      </c>
      <c r="B72" s="22" t="s">
        <v>66</v>
      </c>
      <c r="C72" s="23">
        <v>3654449</v>
      </c>
      <c r="D72" s="23">
        <v>3950564</v>
      </c>
      <c r="E72" s="23">
        <f>D72-C72</f>
        <v>296115</v>
      </c>
      <c r="F72" s="24">
        <f>IF(C72=0,0,E72/C72)</f>
        <v>8.1028631128796713E-2</v>
      </c>
    </row>
    <row r="73" spans="1:6" ht="24" customHeight="1" x14ac:dyDescent="0.25">
      <c r="A73" s="21"/>
      <c r="B73" s="26" t="s">
        <v>67</v>
      </c>
      <c r="C73" s="27">
        <f>SUM(C70:C72)</f>
        <v>23768402</v>
      </c>
      <c r="D73" s="27">
        <f>SUM(D70:D72)</f>
        <v>34704604</v>
      </c>
      <c r="E73" s="27">
        <f>D73-C73</f>
        <v>10936202</v>
      </c>
      <c r="F73" s="28">
        <f>IF(C73=0,0,E73/C73)</f>
        <v>0.46011515624819876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69713229</v>
      </c>
      <c r="D75" s="27">
        <f>D56+D65+D67+D73</f>
        <v>68919291</v>
      </c>
      <c r="E75" s="27">
        <f>D75-C75</f>
        <v>-793938</v>
      </c>
      <c r="F75" s="28">
        <f>IF(C75=0,0,E75/C75)</f>
        <v>-1.1388627544422021E-2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A3" sqref="A3:E3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0</v>
      </c>
      <c r="D11" s="51">
        <v>0</v>
      </c>
      <c r="E11" s="51">
        <v>606865978</v>
      </c>
      <c r="F11" s="28"/>
    </row>
    <row r="12" spans="1:6" ht="24" customHeight="1" x14ac:dyDescent="0.25">
      <c r="A12" s="44">
        <v>2</v>
      </c>
      <c r="B12" s="48" t="s">
        <v>76</v>
      </c>
      <c r="C12" s="49">
        <v>0</v>
      </c>
      <c r="D12" s="49">
        <v>0</v>
      </c>
      <c r="E12" s="49">
        <v>18085423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0</v>
      </c>
      <c r="D13" s="51">
        <f>+D11+D12</f>
        <v>0</v>
      </c>
      <c r="E13" s="51">
        <f>+E11+E12</f>
        <v>624951401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0</v>
      </c>
      <c r="D14" s="49">
        <v>0</v>
      </c>
      <c r="E14" s="49">
        <v>603204688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0</v>
      </c>
      <c r="D15" s="51">
        <f>+D13-D14</f>
        <v>0</v>
      </c>
      <c r="E15" s="51">
        <f>+E13-E14</f>
        <v>21746713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0</v>
      </c>
      <c r="D16" s="49">
        <v>0</v>
      </c>
      <c r="E16" s="49">
        <v>21814720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0</v>
      </c>
      <c r="D17" s="51">
        <f>D15+D16</f>
        <v>0</v>
      </c>
      <c r="E17" s="51">
        <f>E15+E16</f>
        <v>43561433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0</v>
      </c>
      <c r="D20" s="169">
        <f>IF(+D27=0,0,+D24/+D27)</f>
        <v>0</v>
      </c>
      <c r="E20" s="169">
        <f>IF(+E27=0,0,+E24/+E27)</f>
        <v>3.362376644957258E-2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0</v>
      </c>
      <c r="D21" s="169">
        <f>IF(+D27=0,0,+D26/+D27)</f>
        <v>0</v>
      </c>
      <c r="E21" s="169">
        <f>IF(+E27=0,0,+E26/+E27)</f>
        <v>3.3728915742016731E-2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0</v>
      </c>
      <c r="D22" s="169">
        <f>IF(+D27=0,0,+D28/+D27)</f>
        <v>0</v>
      </c>
      <c r="E22" s="169">
        <f>IF(+E27=0,0,+E28/+E27)</f>
        <v>6.7352682191589311E-2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0</v>
      </c>
      <c r="D24" s="51">
        <f>+D15</f>
        <v>0</v>
      </c>
      <c r="E24" s="51">
        <f>+E15</f>
        <v>21746713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0</v>
      </c>
      <c r="D25" s="51">
        <f>+D13</f>
        <v>0</v>
      </c>
      <c r="E25" s="51">
        <f>+E13</f>
        <v>624951401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0</v>
      </c>
      <c r="D26" s="51">
        <f>+D16</f>
        <v>0</v>
      </c>
      <c r="E26" s="51">
        <f>+E16</f>
        <v>21814720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0</v>
      </c>
      <c r="D27" s="51">
        <f>SUM(D25:D26)</f>
        <v>0</v>
      </c>
      <c r="E27" s="51">
        <f>SUM(E25:E26)</f>
        <v>646766121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0</v>
      </c>
      <c r="D28" s="51">
        <f>+D17</f>
        <v>0</v>
      </c>
      <c r="E28" s="51">
        <f>+E17</f>
        <v>43561433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0</v>
      </c>
      <c r="D31" s="51">
        <v>0</v>
      </c>
      <c r="E31" s="52">
        <v>246220345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0</v>
      </c>
      <c r="D32" s="51">
        <v>0</v>
      </c>
      <c r="E32" s="51">
        <v>311713268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0</v>
      </c>
      <c r="D33" s="51">
        <f>+D32-C32</f>
        <v>0</v>
      </c>
      <c r="E33" s="51">
        <f>+E32-D32</f>
        <v>311713268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</v>
      </c>
      <c r="D34" s="171">
        <f>IF(C32=0,0,+D33/C32)</f>
        <v>0</v>
      </c>
      <c r="E34" s="171">
        <f>IF(D32=0,0,+E33/D32)</f>
        <v>0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0</v>
      </c>
      <c r="D38" s="269">
        <f>IF(+D40=0,0,+D39/+D40)</f>
        <v>0</v>
      </c>
      <c r="E38" s="269">
        <f>IF(+E40=0,0,+E39/+E40)</f>
        <v>1.3901656677788425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0</v>
      </c>
      <c r="D39" s="270">
        <v>0</v>
      </c>
      <c r="E39" s="270">
        <v>149502503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0</v>
      </c>
      <c r="D40" s="270">
        <v>0</v>
      </c>
      <c r="E40" s="270">
        <v>107542940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0</v>
      </c>
      <c r="D42" s="271">
        <f>IF((D48/365)=0,0,+D45/(D48/365))</f>
        <v>0</v>
      </c>
      <c r="E42" s="271">
        <f>IF((E48/365)=0,0,+E45/(E48/365))</f>
        <v>26.298091344576871</v>
      </c>
    </row>
    <row r="43" spans="1:14" ht="24" customHeight="1" x14ac:dyDescent="0.2">
      <c r="A43" s="17">
        <v>5</v>
      </c>
      <c r="B43" s="188" t="s">
        <v>16</v>
      </c>
      <c r="C43" s="272">
        <v>0</v>
      </c>
      <c r="D43" s="272">
        <v>0</v>
      </c>
      <c r="E43" s="272">
        <v>41061454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0</v>
      </c>
      <c r="D45" s="270">
        <f>+D43+D44</f>
        <v>0</v>
      </c>
      <c r="E45" s="270">
        <f>+E43+E44</f>
        <v>41061454</v>
      </c>
    </row>
    <row r="46" spans="1:14" ht="24" customHeight="1" x14ac:dyDescent="0.2">
      <c r="A46" s="17">
        <v>8</v>
      </c>
      <c r="B46" s="45" t="s">
        <v>324</v>
      </c>
      <c r="C46" s="270">
        <f>+C14</f>
        <v>0</v>
      </c>
      <c r="D46" s="270">
        <f>+D14</f>
        <v>0</v>
      </c>
      <c r="E46" s="270">
        <f>+E14</f>
        <v>603204688</v>
      </c>
    </row>
    <row r="47" spans="1:14" ht="24" customHeight="1" x14ac:dyDescent="0.2">
      <c r="A47" s="17">
        <v>9</v>
      </c>
      <c r="B47" s="45" t="s">
        <v>347</v>
      </c>
      <c r="C47" s="270">
        <v>0</v>
      </c>
      <c r="D47" s="270">
        <v>0</v>
      </c>
      <c r="E47" s="270">
        <v>33299043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0</v>
      </c>
      <c r="D48" s="270">
        <f>+D46-D47</f>
        <v>0</v>
      </c>
      <c r="E48" s="270">
        <f>+E46-E47</f>
        <v>569905645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0</v>
      </c>
      <c r="D50" s="278">
        <f>IF((D55/365)=0,0,+D54/(D55/365))</f>
        <v>0</v>
      </c>
      <c r="E50" s="278">
        <f>IF((E55/365)=0,0,+E54/(E55/365))</f>
        <v>30.797672587603849</v>
      </c>
    </row>
    <row r="51" spans="1:5" ht="24" customHeight="1" x14ac:dyDescent="0.2">
      <c r="A51" s="17">
        <v>12</v>
      </c>
      <c r="B51" s="188" t="s">
        <v>350</v>
      </c>
      <c r="C51" s="279">
        <v>0</v>
      </c>
      <c r="D51" s="279">
        <v>0</v>
      </c>
      <c r="E51" s="279">
        <v>66087968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14882325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0</v>
      </c>
      <c r="D54" s="280">
        <f>+D51+D52-D53</f>
        <v>0</v>
      </c>
      <c r="E54" s="280">
        <f>+E51+E52-E53</f>
        <v>51205643</v>
      </c>
    </row>
    <row r="55" spans="1:5" ht="24" customHeight="1" x14ac:dyDescent="0.2">
      <c r="A55" s="17">
        <v>16</v>
      </c>
      <c r="B55" s="45" t="s">
        <v>75</v>
      </c>
      <c r="C55" s="270">
        <f>+C11</f>
        <v>0</v>
      </c>
      <c r="D55" s="270">
        <f>+D11</f>
        <v>0</v>
      </c>
      <c r="E55" s="270">
        <f>+E11</f>
        <v>606865978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0</v>
      </c>
      <c r="D57" s="283">
        <f>IF((D61/365)=0,0,+D58/(D61/365))</f>
        <v>0</v>
      </c>
      <c r="E57" s="283">
        <f>IF((E61/365)=0,0,+E58/(E61/365))</f>
        <v>68.876617461825631</v>
      </c>
    </row>
    <row r="58" spans="1:5" ht="24" customHeight="1" x14ac:dyDescent="0.2">
      <c r="A58" s="17">
        <v>18</v>
      </c>
      <c r="B58" s="45" t="s">
        <v>54</v>
      </c>
      <c r="C58" s="281">
        <f>+C40</f>
        <v>0</v>
      </c>
      <c r="D58" s="281">
        <f>+D40</f>
        <v>0</v>
      </c>
      <c r="E58" s="281">
        <f>+E40</f>
        <v>107542940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0</v>
      </c>
      <c r="D59" s="281">
        <f t="shared" si="0"/>
        <v>0</v>
      </c>
      <c r="E59" s="281">
        <f t="shared" si="0"/>
        <v>603204688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0</v>
      </c>
      <c r="D60" s="176">
        <f t="shared" si="0"/>
        <v>0</v>
      </c>
      <c r="E60" s="176">
        <f t="shared" si="0"/>
        <v>33299043</v>
      </c>
    </row>
    <row r="61" spans="1:5" ht="24" customHeight="1" x14ac:dyDescent="0.2">
      <c r="A61" s="17">
        <v>21</v>
      </c>
      <c r="B61" s="45" t="s">
        <v>353</v>
      </c>
      <c r="C61" s="281">
        <f>+C59-C60</f>
        <v>0</v>
      </c>
      <c r="D61" s="281">
        <f>+D59-D60</f>
        <v>0</v>
      </c>
      <c r="E61" s="281">
        <f>+E59-E60</f>
        <v>569905645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0</v>
      </c>
      <c r="D65" s="284">
        <f>IF(D67=0,0,(D66/D67)*100)</f>
        <v>0</v>
      </c>
      <c r="E65" s="284">
        <f>IF(E67=0,0,(E66/E67)*100)</f>
        <v>44.559261561212416</v>
      </c>
    </row>
    <row r="66" spans="1:5" ht="24" customHeight="1" x14ac:dyDescent="0.2">
      <c r="A66" s="17">
        <v>2</v>
      </c>
      <c r="B66" s="45" t="s">
        <v>67</v>
      </c>
      <c r="C66" s="281">
        <f>+C32</f>
        <v>0</v>
      </c>
      <c r="D66" s="281">
        <f>+D32</f>
        <v>0</v>
      </c>
      <c r="E66" s="281">
        <f>+E32</f>
        <v>311713268</v>
      </c>
    </row>
    <row r="67" spans="1:5" ht="24" customHeight="1" x14ac:dyDescent="0.2">
      <c r="A67" s="17">
        <v>3</v>
      </c>
      <c r="B67" s="45" t="s">
        <v>43</v>
      </c>
      <c r="C67" s="281">
        <v>0</v>
      </c>
      <c r="D67" s="281">
        <v>0</v>
      </c>
      <c r="E67" s="281">
        <v>699547652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0</v>
      </c>
      <c r="D69" s="284">
        <f>IF(D75=0,0,(D72/D75)*100)</f>
        <v>0</v>
      </c>
      <c r="E69" s="284">
        <f>IF(E75=0,0,(E72/E75)*100)</f>
        <v>38.427413008732664</v>
      </c>
    </row>
    <row r="70" spans="1:5" ht="24" customHeight="1" x14ac:dyDescent="0.2">
      <c r="A70" s="17">
        <v>5</v>
      </c>
      <c r="B70" s="45" t="s">
        <v>358</v>
      </c>
      <c r="C70" s="281">
        <f>+C28</f>
        <v>0</v>
      </c>
      <c r="D70" s="281">
        <f>+D28</f>
        <v>0</v>
      </c>
      <c r="E70" s="281">
        <f>+E28</f>
        <v>43561433</v>
      </c>
    </row>
    <row r="71" spans="1:5" ht="24" customHeight="1" x14ac:dyDescent="0.2">
      <c r="A71" s="17">
        <v>6</v>
      </c>
      <c r="B71" s="45" t="s">
        <v>347</v>
      </c>
      <c r="C71" s="176">
        <f>+C47</f>
        <v>0</v>
      </c>
      <c r="D71" s="176">
        <f>+D47</f>
        <v>0</v>
      </c>
      <c r="E71" s="176">
        <f>+E47</f>
        <v>33299043</v>
      </c>
    </row>
    <row r="72" spans="1:5" ht="24" customHeight="1" x14ac:dyDescent="0.2">
      <c r="A72" s="17">
        <v>7</v>
      </c>
      <c r="B72" s="45" t="s">
        <v>359</v>
      </c>
      <c r="C72" s="281">
        <f>+C70+C71</f>
        <v>0</v>
      </c>
      <c r="D72" s="281">
        <f>+D70+D71</f>
        <v>0</v>
      </c>
      <c r="E72" s="281">
        <f>+E70+E71</f>
        <v>76860476</v>
      </c>
    </row>
    <row r="73" spans="1:5" ht="24" customHeight="1" x14ac:dyDescent="0.2">
      <c r="A73" s="17">
        <v>8</v>
      </c>
      <c r="B73" s="45" t="s">
        <v>54</v>
      </c>
      <c r="C73" s="270">
        <f>+C40</f>
        <v>0</v>
      </c>
      <c r="D73" s="270">
        <f>+D40</f>
        <v>0</v>
      </c>
      <c r="E73" s="270">
        <f>+E40</f>
        <v>107542940</v>
      </c>
    </row>
    <row r="74" spans="1:5" ht="24" customHeight="1" x14ac:dyDescent="0.2">
      <c r="A74" s="17">
        <v>9</v>
      </c>
      <c r="B74" s="45" t="s">
        <v>58</v>
      </c>
      <c r="C74" s="281">
        <v>0</v>
      </c>
      <c r="D74" s="281">
        <v>0</v>
      </c>
      <c r="E74" s="281">
        <v>92471763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0</v>
      </c>
      <c r="D75" s="270">
        <f>+D73+D74</f>
        <v>0</v>
      </c>
      <c r="E75" s="270">
        <f>+E73+E74</f>
        <v>200014703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0</v>
      </c>
      <c r="D77" s="286">
        <f>IF(D80=0,0,(D78/D80)*100)</f>
        <v>0</v>
      </c>
      <c r="E77" s="286">
        <f>IF(E80=0,0,(E78/E80)*100)</f>
        <v>22.878571918216338</v>
      </c>
    </row>
    <row r="78" spans="1:5" ht="24" customHeight="1" x14ac:dyDescent="0.2">
      <c r="A78" s="17">
        <v>12</v>
      </c>
      <c r="B78" s="45" t="s">
        <v>58</v>
      </c>
      <c r="C78" s="270">
        <f>+C74</f>
        <v>0</v>
      </c>
      <c r="D78" s="270">
        <f>+D74</f>
        <v>0</v>
      </c>
      <c r="E78" s="270">
        <f>+E74</f>
        <v>92471763</v>
      </c>
    </row>
    <row r="79" spans="1:5" ht="24" customHeight="1" x14ac:dyDescent="0.2">
      <c r="A79" s="17">
        <v>13</v>
      </c>
      <c r="B79" s="45" t="s">
        <v>67</v>
      </c>
      <c r="C79" s="270">
        <f>+C32</f>
        <v>0</v>
      </c>
      <c r="D79" s="270">
        <f>+D32</f>
        <v>0</v>
      </c>
      <c r="E79" s="270">
        <f>+E32</f>
        <v>311713268</v>
      </c>
    </row>
    <row r="80" spans="1:5" ht="24" customHeight="1" x14ac:dyDescent="0.2">
      <c r="A80" s="17">
        <v>14</v>
      </c>
      <c r="B80" s="45" t="s">
        <v>362</v>
      </c>
      <c r="C80" s="270">
        <f>+C78+C79</f>
        <v>0</v>
      </c>
      <c r="D80" s="270">
        <f>+D78+D79</f>
        <v>0</v>
      </c>
      <c r="E80" s="270">
        <f>+E78+E79</f>
        <v>404185031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FILING&amp;R&amp;8WESTERN CONNECTICUT HEALTHCARE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B4" sqref="B4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6890</v>
      </c>
      <c r="D11" s="297">
        <v>20</v>
      </c>
      <c r="E11" s="297">
        <v>63</v>
      </c>
      <c r="F11" s="298">
        <f>IF(D11=0,0,$C11/(D11*365))</f>
        <v>0.94383561643835612</v>
      </c>
      <c r="G11" s="298">
        <f>IF(E11=0,0,$C11/(E11*365))</f>
        <v>0.29963035442487496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1005</v>
      </c>
      <c r="D13" s="297">
        <v>4</v>
      </c>
      <c r="E13" s="297">
        <v>8</v>
      </c>
      <c r="F13" s="298">
        <f>IF(D13=0,0,$C13/(D13*365))</f>
        <v>0.68835616438356162</v>
      </c>
      <c r="G13" s="298">
        <f>IF(E13=0,0,$C13/(E13*365))</f>
        <v>0.34417808219178081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0</v>
      </c>
      <c r="D16" s="297">
        <v>0</v>
      </c>
      <c r="E16" s="297">
        <v>0</v>
      </c>
      <c r="F16" s="298">
        <f t="shared" si="0"/>
        <v>0</v>
      </c>
      <c r="G16" s="298">
        <f t="shared" si="0"/>
        <v>0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1">
        <f t="shared" si="0"/>
        <v>0</v>
      </c>
      <c r="G17" s="301">
        <f t="shared" si="0"/>
        <v>0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759</v>
      </c>
      <c r="D21" s="297">
        <v>3</v>
      </c>
      <c r="E21" s="297">
        <v>8</v>
      </c>
      <c r="F21" s="298">
        <f>IF(D21=0,0,$C21/(D21*365))</f>
        <v>0.69315068493150689</v>
      </c>
      <c r="G21" s="298">
        <f>IF(E21=0,0,$C21/(E21*365))</f>
        <v>0.25993150684931504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706</v>
      </c>
      <c r="D23" s="297">
        <v>2</v>
      </c>
      <c r="E23" s="297">
        <v>10</v>
      </c>
      <c r="F23" s="298">
        <f>IF(D23=0,0,$C23/(D23*365))</f>
        <v>0.9671232876712329</v>
      </c>
      <c r="G23" s="298">
        <f>IF(E23=0,0,$C23/(E23*365))</f>
        <v>0.19342465753424656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22</v>
      </c>
      <c r="D27" s="297">
        <v>1</v>
      </c>
      <c r="E27" s="297">
        <v>6</v>
      </c>
      <c r="F27" s="298">
        <f>IF(D27=0,0,$C27/(D27*365))</f>
        <v>6.0273972602739728E-2</v>
      </c>
      <c r="G27" s="298">
        <f>IF(E27=0,0,$C27/(E27*365))</f>
        <v>1.0045662100456621E-2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8676</v>
      </c>
      <c r="D31" s="300">
        <f>SUM(D10:D29)-D17-D23</f>
        <v>28</v>
      </c>
      <c r="E31" s="300">
        <f>SUM(E10:E29)-E17-E23</f>
        <v>85</v>
      </c>
      <c r="F31" s="301">
        <f>IF(D31=0,0,$C31/(D31*365))</f>
        <v>0.84892367906066535</v>
      </c>
      <c r="G31" s="301">
        <f>IF(E31=0,0,$C31/(E31*365))</f>
        <v>0.27964544721998391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9382</v>
      </c>
      <c r="D33" s="300">
        <f>SUM(D10:D29)-D17</f>
        <v>30</v>
      </c>
      <c r="E33" s="300">
        <f>SUM(E10:E29)-E17</f>
        <v>95</v>
      </c>
      <c r="F33" s="301">
        <f>IF(D33=0,0,$C33/(D33*365))</f>
        <v>0.85680365296803651</v>
      </c>
      <c r="G33" s="301">
        <f>IF(E33=0,0,$C33/(E33*365))</f>
        <v>0.27056957462148523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9382</v>
      </c>
      <c r="D36" s="300">
        <f>+D33</f>
        <v>30</v>
      </c>
      <c r="E36" s="300">
        <f>+E33</f>
        <v>95</v>
      </c>
      <c r="F36" s="301">
        <f>+F33</f>
        <v>0.85680365296803651</v>
      </c>
      <c r="G36" s="301">
        <f>+G33</f>
        <v>0.27056957462148523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9874</v>
      </c>
      <c r="D37" s="302">
        <v>32</v>
      </c>
      <c r="E37" s="302">
        <v>95</v>
      </c>
      <c r="F37" s="301">
        <f>IF(D37=0,0,$C37/(D37*365))</f>
        <v>0.8453767123287671</v>
      </c>
      <c r="G37" s="301">
        <f>IF(E37=0,0,$C37/(E37*365))</f>
        <v>0.28475847152126893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-492</v>
      </c>
      <c r="D38" s="300">
        <f>+D36-D37</f>
        <v>-2</v>
      </c>
      <c r="E38" s="300">
        <f>+E36-E37</f>
        <v>0</v>
      </c>
      <c r="F38" s="301">
        <f>+F36-F37</f>
        <v>1.1426940639269412E-2</v>
      </c>
      <c r="G38" s="301">
        <f>+G36-G37</f>
        <v>-1.4188896899783698E-2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-4.9827830666396594E-2</v>
      </c>
      <c r="D40" s="148">
        <f>IF(D37=0,0,D38/D37)</f>
        <v>-6.25E-2</v>
      </c>
      <c r="E40" s="148">
        <f>IF(E37=0,0,E38/E37)</f>
        <v>0</v>
      </c>
      <c r="F40" s="148">
        <f>IF(F37=0,0,F38/F37)</f>
        <v>1.3516980622510303E-2</v>
      </c>
      <c r="G40" s="148">
        <f>IF(G37=0,0,G38/G37)</f>
        <v>-4.9827830666396573E-2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95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FILING&amp;RNEW 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A3" sqref="A3:F3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1452</v>
      </c>
      <c r="D12" s="296">
        <v>1267</v>
      </c>
      <c r="E12" s="296">
        <f>+D12-C12</f>
        <v>-185</v>
      </c>
      <c r="F12" s="316">
        <f>IF(C12=0,0,+E12/C12)</f>
        <v>-0.12741046831955924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4922</v>
      </c>
      <c r="D13" s="296">
        <v>4404</v>
      </c>
      <c r="E13" s="296">
        <f>+D13-C13</f>
        <v>-518</v>
      </c>
      <c r="F13" s="316">
        <f>IF(C13=0,0,+E13/C13)</f>
        <v>-0.10524177163754571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2293</v>
      </c>
      <c r="D14" s="296">
        <v>2454</v>
      </c>
      <c r="E14" s="296">
        <f>+D14-C14</f>
        <v>161</v>
      </c>
      <c r="F14" s="316">
        <f>IF(C14=0,0,+E14/C14)</f>
        <v>7.0213693850850412E-2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8667</v>
      </c>
      <c r="D16" s="300">
        <f>SUM(D12:D15)</f>
        <v>8125</v>
      </c>
      <c r="E16" s="300">
        <f>+D16-C16</f>
        <v>-542</v>
      </c>
      <c r="F16" s="309">
        <f>IF(C16=0,0,+E16/C16)</f>
        <v>-6.2536056305526708E-2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178</v>
      </c>
      <c r="D19" s="296">
        <v>124</v>
      </c>
      <c r="E19" s="296">
        <f>+D19-C19</f>
        <v>-54</v>
      </c>
      <c r="F19" s="316">
        <f>IF(C19=0,0,+E19/C19)</f>
        <v>-0.30337078651685395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2074</v>
      </c>
      <c r="D20" s="296">
        <v>2020</v>
      </c>
      <c r="E20" s="296">
        <f>+D20-C20</f>
        <v>-54</v>
      </c>
      <c r="F20" s="316">
        <f>IF(C20=0,0,+E20/C20)</f>
        <v>-2.6036644165863067E-2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9</v>
      </c>
      <c r="D21" s="296">
        <v>16</v>
      </c>
      <c r="E21" s="296">
        <f>+D21-C21</f>
        <v>7</v>
      </c>
      <c r="F21" s="316">
        <f>IF(C21=0,0,+E21/C21)</f>
        <v>0.77777777777777779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2261</v>
      </c>
      <c r="D23" s="300">
        <f>SUM(D19:D22)</f>
        <v>2160</v>
      </c>
      <c r="E23" s="300">
        <f>+D23-C23</f>
        <v>-101</v>
      </c>
      <c r="F23" s="309">
        <f>IF(C23=0,0,+E23/C23)</f>
        <v>-4.467049977885891E-2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1</v>
      </c>
      <c r="E33" s="296">
        <f>+D33-C33</f>
        <v>1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305</v>
      </c>
      <c r="D34" s="296">
        <v>202</v>
      </c>
      <c r="E34" s="296">
        <f>+D34-C34</f>
        <v>-103</v>
      </c>
      <c r="F34" s="316">
        <f>IF(C34=0,0,+E34/C34)</f>
        <v>-0.3377049180327869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305</v>
      </c>
      <c r="D37" s="300">
        <f>SUM(D33:D36)</f>
        <v>203</v>
      </c>
      <c r="E37" s="300">
        <f>+D37-C37</f>
        <v>-102</v>
      </c>
      <c r="F37" s="309">
        <f>IF(C37=0,0,+E37/C37)</f>
        <v>-0.33442622950819673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35</v>
      </c>
      <c r="D48" s="296">
        <v>0</v>
      </c>
      <c r="E48" s="296">
        <f>+D48-C48</f>
        <v>-35</v>
      </c>
      <c r="F48" s="316">
        <f>IF(C48=0,0,+E48/C48)</f>
        <v>-1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33</v>
      </c>
      <c r="D49" s="296">
        <v>0</v>
      </c>
      <c r="E49" s="296">
        <f>+D49-C49</f>
        <v>-33</v>
      </c>
      <c r="F49" s="316">
        <f>IF(C49=0,0,+E49/C49)</f>
        <v>-1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68</v>
      </c>
      <c r="D50" s="300">
        <f>SUM(D48:D49)</f>
        <v>0</v>
      </c>
      <c r="E50" s="300">
        <f>+D50-C50</f>
        <v>-68</v>
      </c>
      <c r="F50" s="309">
        <f>IF(C50=0,0,+E50/C50)</f>
        <v>-1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10</v>
      </c>
      <c r="D53" s="296">
        <v>0</v>
      </c>
      <c r="E53" s="296">
        <f>+D53-C53</f>
        <v>-10</v>
      </c>
      <c r="F53" s="316">
        <f>IF(C53=0,0,+E53/C53)</f>
        <v>-1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10</v>
      </c>
      <c r="D55" s="300">
        <f>SUM(D53:D54)</f>
        <v>0</v>
      </c>
      <c r="E55" s="300">
        <f>+D55-C55</f>
        <v>-10</v>
      </c>
      <c r="F55" s="309">
        <f>IF(C55=0,0,+E55/C55)</f>
        <v>-1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881</v>
      </c>
      <c r="D63" s="296">
        <v>847</v>
      </c>
      <c r="E63" s="296">
        <f>+D63-C63</f>
        <v>-34</v>
      </c>
      <c r="F63" s="316">
        <f>IF(C63=0,0,+E63/C63)</f>
        <v>-3.8592508513053347E-2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2461</v>
      </c>
      <c r="D64" s="296">
        <v>2380</v>
      </c>
      <c r="E64" s="296">
        <f>+D64-C64</f>
        <v>-81</v>
      </c>
      <c r="F64" s="316">
        <f>IF(C64=0,0,+E64/C64)</f>
        <v>-3.29134498171475E-2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3342</v>
      </c>
      <c r="D65" s="300">
        <f>SUM(D63:D64)</f>
        <v>3227</v>
      </c>
      <c r="E65" s="300">
        <f>+D65-C65</f>
        <v>-115</v>
      </c>
      <c r="F65" s="309">
        <f>IF(C65=0,0,+E65/C65)</f>
        <v>-3.4410532615200481E-2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121</v>
      </c>
      <c r="D68" s="296">
        <v>103</v>
      </c>
      <c r="E68" s="296">
        <f>+D68-C68</f>
        <v>-18</v>
      </c>
      <c r="F68" s="316">
        <f>IF(C68=0,0,+E68/C68)</f>
        <v>-0.1487603305785124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2364</v>
      </c>
      <c r="D69" s="296">
        <v>2226</v>
      </c>
      <c r="E69" s="296">
        <f>+D69-C69</f>
        <v>-138</v>
      </c>
      <c r="F69" s="318">
        <f>IF(C69=0,0,+E69/C69)</f>
        <v>-5.8375634517766499E-2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2485</v>
      </c>
      <c r="D70" s="300">
        <f>SUM(D68:D69)</f>
        <v>2329</v>
      </c>
      <c r="E70" s="300">
        <f>+D70-C70</f>
        <v>-156</v>
      </c>
      <c r="F70" s="309">
        <f>IF(C70=0,0,+E70/C70)</f>
        <v>-6.2776659959758549E-2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1957</v>
      </c>
      <c r="D73" s="319">
        <v>1901</v>
      </c>
      <c r="E73" s="296">
        <f>+D73-C73</f>
        <v>-56</v>
      </c>
      <c r="F73" s="316">
        <f>IF(C73=0,0,+E73/C73)</f>
        <v>-2.8615227388860499E-2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17189</v>
      </c>
      <c r="D74" s="319">
        <v>16972</v>
      </c>
      <c r="E74" s="296">
        <f>+D74-C74</f>
        <v>-217</v>
      </c>
      <c r="F74" s="316">
        <f>IF(C74=0,0,+E74/C74)</f>
        <v>-1.2624352783757054E-2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19146</v>
      </c>
      <c r="D75" s="300">
        <f>SUM(D73:D74)</f>
        <v>18873</v>
      </c>
      <c r="E75" s="300">
        <f>SUM(E73:E74)</f>
        <v>-273</v>
      </c>
      <c r="F75" s="309">
        <f>IF(C75=0,0,+E75/C75)</f>
        <v>-1.4258853024130366E-2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7012</v>
      </c>
      <c r="D81" s="319">
        <v>7038</v>
      </c>
      <c r="E81" s="296">
        <f t="shared" si="0"/>
        <v>26</v>
      </c>
      <c r="F81" s="316">
        <f t="shared" si="1"/>
        <v>3.7079292641186536E-3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7012</v>
      </c>
      <c r="D84" s="320">
        <f>SUM(D79:D83)</f>
        <v>7038</v>
      </c>
      <c r="E84" s="300">
        <f t="shared" si="0"/>
        <v>26</v>
      </c>
      <c r="F84" s="309">
        <f t="shared" si="1"/>
        <v>3.7079292641186536E-3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767</v>
      </c>
      <c r="D87" s="322">
        <v>598</v>
      </c>
      <c r="E87" s="323">
        <f t="shared" ref="E87:E92" si="2">+D87-C87</f>
        <v>-169</v>
      </c>
      <c r="F87" s="318">
        <f t="shared" ref="F87:F92" si="3">IF(C87=0,0,+E87/C87)</f>
        <v>-0.22033898305084745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723</v>
      </c>
      <c r="D88" s="322">
        <v>1007</v>
      </c>
      <c r="E88" s="296">
        <f t="shared" si="2"/>
        <v>284</v>
      </c>
      <c r="F88" s="316">
        <f t="shared" si="3"/>
        <v>0.39280774550484093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1600</v>
      </c>
      <c r="D89" s="322">
        <v>1635</v>
      </c>
      <c r="E89" s="296">
        <f t="shared" si="2"/>
        <v>35</v>
      </c>
      <c r="F89" s="316">
        <f t="shared" si="3"/>
        <v>2.1874999999999999E-2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82539</v>
      </c>
      <c r="D91" s="322">
        <v>82600</v>
      </c>
      <c r="E91" s="296">
        <f t="shared" si="2"/>
        <v>61</v>
      </c>
      <c r="F91" s="316">
        <f t="shared" si="3"/>
        <v>7.3904457286858331E-4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85629</v>
      </c>
      <c r="D92" s="320">
        <f>SUM(D87:D91)</f>
        <v>85840</v>
      </c>
      <c r="E92" s="300">
        <f t="shared" si="2"/>
        <v>211</v>
      </c>
      <c r="F92" s="309">
        <f t="shared" si="3"/>
        <v>2.464118464538883E-3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154.5</v>
      </c>
      <c r="D96" s="325">
        <v>145.80000000000001</v>
      </c>
      <c r="E96" s="326">
        <f>+D96-C96</f>
        <v>-8.6999999999999886</v>
      </c>
      <c r="F96" s="316">
        <f>IF(C96=0,0,+E96/C96)</f>
        <v>-5.6310679611650413E-2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24.4</v>
      </c>
      <c r="D97" s="325">
        <v>24.2</v>
      </c>
      <c r="E97" s="326">
        <f>+D97-C97</f>
        <v>-0.19999999999999929</v>
      </c>
      <c r="F97" s="316">
        <f>IF(C97=0,0,+E97/C97)</f>
        <v>-8.1967213114753808E-3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309.89999999999998</v>
      </c>
      <c r="D98" s="325">
        <v>305.5</v>
      </c>
      <c r="E98" s="326">
        <f>+D98-C98</f>
        <v>-4.3999999999999773</v>
      </c>
      <c r="F98" s="316">
        <f>IF(C98=0,0,+E98/C98)</f>
        <v>-1.4198128428525258E-2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488.79999999999995</v>
      </c>
      <c r="D99" s="327">
        <f>SUM(D96:D98)</f>
        <v>475.5</v>
      </c>
      <c r="E99" s="327">
        <f>+D99-C99</f>
        <v>-13.299999999999955</v>
      </c>
      <c r="F99" s="309">
        <f>IF(C99=0,0,+E99/C99)</f>
        <v>-2.7209492635024458E-2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FILING&amp;RNEW MILFORD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2461</v>
      </c>
      <c r="D12" s="296">
        <v>2380</v>
      </c>
      <c r="E12" s="296">
        <f>+D12-C12</f>
        <v>-81</v>
      </c>
      <c r="F12" s="316">
        <f>IF(C12=0,0,+E12/C12)</f>
        <v>-3.29134498171475E-2</v>
      </c>
    </row>
    <row r="13" spans="1:16" ht="15.75" customHeight="1" x14ac:dyDescent="0.25">
      <c r="A13" s="294"/>
      <c r="B13" s="135" t="s">
        <v>584</v>
      </c>
      <c r="C13" s="300">
        <f>SUM(C11:C12)</f>
        <v>2461</v>
      </c>
      <c r="D13" s="300">
        <f>SUM(D11:D12)</f>
        <v>2380</v>
      </c>
      <c r="E13" s="300">
        <f>+D13-C13</f>
        <v>-81</v>
      </c>
      <c r="F13" s="309">
        <f>IF(C13=0,0,+E13/C13)</f>
        <v>-3.29134498171475E-2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2364</v>
      </c>
      <c r="D16" s="296">
        <v>2226</v>
      </c>
      <c r="E16" s="296">
        <f>+D16-C16</f>
        <v>-138</v>
      </c>
      <c r="F16" s="316">
        <f>IF(C16=0,0,+E16/C16)</f>
        <v>-5.8375634517766499E-2</v>
      </c>
    </row>
    <row r="17" spans="1:6" ht="15.75" customHeight="1" x14ac:dyDescent="0.25">
      <c r="A17" s="294"/>
      <c r="B17" s="135" t="s">
        <v>585</v>
      </c>
      <c r="C17" s="300">
        <f>SUM(C15:C16)</f>
        <v>2364</v>
      </c>
      <c r="D17" s="300">
        <f>SUM(D15:D16)</f>
        <v>2226</v>
      </c>
      <c r="E17" s="300">
        <f>+D17-C17</f>
        <v>-138</v>
      </c>
      <c r="F17" s="309">
        <f>IF(C17=0,0,+E17/C17)</f>
        <v>-5.8375634517766499E-2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17189</v>
      </c>
      <c r="D20" s="296">
        <v>16972</v>
      </c>
      <c r="E20" s="296">
        <f>+D20-C20</f>
        <v>-217</v>
      </c>
      <c r="F20" s="316">
        <f>IF(C20=0,0,+E20/C20)</f>
        <v>-1.2624352783757054E-2</v>
      </c>
    </row>
    <row r="21" spans="1:6" ht="15.75" customHeight="1" x14ac:dyDescent="0.25">
      <c r="A21" s="294"/>
      <c r="B21" s="135" t="s">
        <v>587</v>
      </c>
      <c r="C21" s="300">
        <f>SUM(C19:C20)</f>
        <v>17189</v>
      </c>
      <c r="D21" s="300">
        <f>SUM(D19:D20)</f>
        <v>16972</v>
      </c>
      <c r="E21" s="300">
        <f>+D21-C21</f>
        <v>-217</v>
      </c>
      <c r="F21" s="309">
        <f>IF(C21=0,0,+E21/C21)</f>
        <v>-1.2624352783757054E-2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FILING&amp;RNEW 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B1"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602</v>
      </c>
      <c r="C15" s="361">
        <v>40456850</v>
      </c>
      <c r="D15" s="361">
        <v>38429316</v>
      </c>
      <c r="E15" s="361">
        <f t="shared" ref="E15:E24" si="0">D15-C15</f>
        <v>-2027534</v>
      </c>
      <c r="F15" s="362">
        <f t="shared" ref="F15:F24" si="1">IF(C15=0,0,E15/C15)</f>
        <v>-5.0115963056935969E-2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13356718</v>
      </c>
      <c r="D16" s="361">
        <v>12568177</v>
      </c>
      <c r="E16" s="361">
        <f t="shared" si="0"/>
        <v>-788541</v>
      </c>
      <c r="F16" s="362">
        <f t="shared" si="1"/>
        <v>-5.9037032899848602E-2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0.33014725565633507</v>
      </c>
      <c r="D17" s="366">
        <f>IF(LN_IA1=0,0,LN_IA2/LN_IA1)</f>
        <v>0.3270465964057232</v>
      </c>
      <c r="E17" s="367">
        <f t="shared" si="0"/>
        <v>-3.1006592506118702E-3</v>
      </c>
      <c r="F17" s="362">
        <f t="shared" si="1"/>
        <v>-9.3917462510713211E-3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1248</v>
      </c>
      <c r="D18" s="369">
        <v>1167</v>
      </c>
      <c r="E18" s="369">
        <f t="shared" si="0"/>
        <v>-81</v>
      </c>
      <c r="F18" s="362">
        <f t="shared" si="1"/>
        <v>-6.4903846153846159E-2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1.5633999999999999</v>
      </c>
      <c r="D19" s="372">
        <v>1.5347999999999999</v>
      </c>
      <c r="E19" s="373">
        <f t="shared" si="0"/>
        <v>-2.8599999999999959E-2</v>
      </c>
      <c r="F19" s="362">
        <f t="shared" si="1"/>
        <v>-1.8293462965331943E-2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1951.1231999999998</v>
      </c>
      <c r="D20" s="376">
        <f>LN_IA4*LN_IA5</f>
        <v>1791.1116</v>
      </c>
      <c r="E20" s="376">
        <f t="shared" si="0"/>
        <v>-160.01159999999982</v>
      </c>
      <c r="F20" s="362">
        <f t="shared" si="1"/>
        <v>-8.2009993013255053E-2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6845.6558765740683</v>
      </c>
      <c r="D21" s="378">
        <f>IF(LN_IA6=0,0,LN_IA2/LN_IA6)</f>
        <v>7016.9703551693819</v>
      </c>
      <c r="E21" s="378">
        <f t="shared" si="0"/>
        <v>171.31447859531363</v>
      </c>
      <c r="F21" s="362">
        <f t="shared" si="1"/>
        <v>2.5025283432892707E-2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5370</v>
      </c>
      <c r="D22" s="369">
        <v>5051</v>
      </c>
      <c r="E22" s="369">
        <f t="shared" si="0"/>
        <v>-319</v>
      </c>
      <c r="F22" s="362">
        <f t="shared" si="1"/>
        <v>-5.9404096834264432E-2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2487.2845437616388</v>
      </c>
      <c r="D23" s="378">
        <f>IF(LN_IA8=0,0,LN_IA2/LN_IA8)</f>
        <v>2488.2551969906949</v>
      </c>
      <c r="E23" s="378">
        <f t="shared" si="0"/>
        <v>0.97065322905609719</v>
      </c>
      <c r="F23" s="362">
        <f t="shared" si="1"/>
        <v>3.902461547837756E-4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4.302884615384615</v>
      </c>
      <c r="D24" s="379">
        <f>IF(LN_IA4=0,0,LN_IA8/LN_IA4)</f>
        <v>4.328191945158526</v>
      </c>
      <c r="E24" s="379">
        <f t="shared" si="0"/>
        <v>2.5307329773911036E-2</v>
      </c>
      <c r="F24" s="362">
        <f t="shared" si="1"/>
        <v>5.8814799921491573E-3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63948287</v>
      </c>
      <c r="D27" s="361">
        <v>68832746</v>
      </c>
      <c r="E27" s="361">
        <f t="shared" ref="E27:E32" si="2">D27-C27</f>
        <v>4884459</v>
      </c>
      <c r="F27" s="362">
        <f t="shared" ref="F27:F32" si="3">IF(C27=0,0,E27/C27)</f>
        <v>7.6381389230957816E-2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13673687</v>
      </c>
      <c r="D28" s="361">
        <v>13272075</v>
      </c>
      <c r="E28" s="361">
        <f t="shared" si="2"/>
        <v>-401612</v>
      </c>
      <c r="F28" s="362">
        <f t="shared" si="3"/>
        <v>-2.9371156440834136E-2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0.21382413261515512</v>
      </c>
      <c r="D29" s="366">
        <f>IF(LN_IA11=0,0,LN_IA12/LN_IA11)</f>
        <v>0.19281629415162371</v>
      </c>
      <c r="E29" s="367">
        <f t="shared" si="2"/>
        <v>-2.1007838463531409E-2</v>
      </c>
      <c r="F29" s="362">
        <f t="shared" si="3"/>
        <v>-9.8248210838491876E-2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1.5806541290288294</v>
      </c>
      <c r="D30" s="366">
        <f>IF(LN_IA1=0,0,LN_IA11/LN_IA1)</f>
        <v>1.7911519944825456</v>
      </c>
      <c r="E30" s="367">
        <f t="shared" si="2"/>
        <v>0.21049786545371618</v>
      </c>
      <c r="F30" s="362">
        <f t="shared" si="3"/>
        <v>0.13317136341714952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1972.6563530279791</v>
      </c>
      <c r="D31" s="376">
        <f>LN_IA14*LN_IA4</f>
        <v>2090.2743775611307</v>
      </c>
      <c r="E31" s="376">
        <f t="shared" si="2"/>
        <v>117.61802453315158</v>
      </c>
      <c r="F31" s="362">
        <f t="shared" si="3"/>
        <v>5.9624183579978743E-2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6931.6112656982687</v>
      </c>
      <c r="D32" s="378">
        <f>IF(LN_IA15=0,0,LN_IA12/LN_IA15)</f>
        <v>6349.4415577563832</v>
      </c>
      <c r="E32" s="378">
        <f t="shared" si="2"/>
        <v>-582.16970794188546</v>
      </c>
      <c r="F32" s="362">
        <f t="shared" si="3"/>
        <v>-8.3987645242428285E-2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104405137</v>
      </c>
      <c r="D35" s="361">
        <f>LN_IA1+LN_IA11</f>
        <v>107262062</v>
      </c>
      <c r="E35" s="361">
        <f>D35-C35</f>
        <v>2856925</v>
      </c>
      <c r="F35" s="362">
        <f>IF(C35=0,0,E35/C35)</f>
        <v>2.7363835555332876E-2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27030405</v>
      </c>
      <c r="D36" s="361">
        <f>LN_IA2+LN_IA12</f>
        <v>25840252</v>
      </c>
      <c r="E36" s="361">
        <f>D36-C36</f>
        <v>-1190153</v>
      </c>
      <c r="F36" s="362">
        <f>IF(C36=0,0,E36/C36)</f>
        <v>-4.4030157890716029E-2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77374732</v>
      </c>
      <c r="D37" s="361">
        <f>LN_IA17-LN_IA18</f>
        <v>81421810</v>
      </c>
      <c r="E37" s="361">
        <f>D37-C37</f>
        <v>4047078</v>
      </c>
      <c r="F37" s="362">
        <f>IF(C37=0,0,E37/C37)</f>
        <v>5.2304904913919446E-2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29547592</v>
      </c>
      <c r="D42" s="361">
        <v>26363581</v>
      </c>
      <c r="E42" s="361">
        <f t="shared" ref="E42:E53" si="4">D42-C42</f>
        <v>-3184011</v>
      </c>
      <c r="F42" s="362">
        <f t="shared" ref="F42:F53" si="5">IF(C42=0,0,E42/C42)</f>
        <v>-0.10775873038994176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11969482</v>
      </c>
      <c r="D43" s="361">
        <v>10576634</v>
      </c>
      <c r="E43" s="361">
        <f t="shared" si="4"/>
        <v>-1392848</v>
      </c>
      <c r="F43" s="362">
        <f t="shared" si="5"/>
        <v>-0.11636660634102629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0.40509162303310536</v>
      </c>
      <c r="D44" s="366">
        <f>IF(LN_IB1=0,0,LN_IB2/LN_IB1)</f>
        <v>0.40118351145089126</v>
      </c>
      <c r="E44" s="367">
        <f t="shared" si="4"/>
        <v>-3.9081115822141022E-3</v>
      </c>
      <c r="F44" s="362">
        <f t="shared" si="5"/>
        <v>-9.647475682050129E-3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1285</v>
      </c>
      <c r="D45" s="369">
        <v>1057</v>
      </c>
      <c r="E45" s="369">
        <f t="shared" si="4"/>
        <v>-228</v>
      </c>
      <c r="F45" s="362">
        <f t="shared" si="5"/>
        <v>-0.177431906614786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1.1383000000000001</v>
      </c>
      <c r="D46" s="372">
        <v>1.161</v>
      </c>
      <c r="E46" s="373">
        <f t="shared" si="4"/>
        <v>2.2699999999999942E-2</v>
      </c>
      <c r="F46" s="362">
        <f t="shared" si="5"/>
        <v>1.9942018799964809E-2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1462.7155</v>
      </c>
      <c r="D47" s="376">
        <f>LN_IB4*LN_IB5</f>
        <v>1227.1770000000001</v>
      </c>
      <c r="E47" s="376">
        <f t="shared" si="4"/>
        <v>-235.53849999999989</v>
      </c>
      <c r="F47" s="362">
        <f t="shared" si="5"/>
        <v>-0.16102823823224671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8183.0554198680466</v>
      </c>
      <c r="D48" s="378">
        <f>IF(LN_IB6=0,0,LN_IB2/LN_IB6)</f>
        <v>8618.6703303598406</v>
      </c>
      <c r="E48" s="378">
        <f t="shared" si="4"/>
        <v>435.61491049179403</v>
      </c>
      <c r="F48" s="362">
        <f t="shared" si="5"/>
        <v>5.3233772489691682E-2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-1337.3995432939782</v>
      </c>
      <c r="D49" s="378">
        <f>LN_IA7-LN_IB7</f>
        <v>-1601.6999751904586</v>
      </c>
      <c r="E49" s="378">
        <f t="shared" si="4"/>
        <v>-264.3004318964804</v>
      </c>
      <c r="F49" s="362">
        <f t="shared" si="5"/>
        <v>0.19762264255415829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-1956235.041669023</v>
      </c>
      <c r="D50" s="391">
        <f>LN_IB8*LN_IB6</f>
        <v>-1965569.3704543016</v>
      </c>
      <c r="E50" s="391">
        <f t="shared" si="4"/>
        <v>-9334.3287852786016</v>
      </c>
      <c r="F50" s="362">
        <f t="shared" si="5"/>
        <v>4.7715783566144119E-3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3858</v>
      </c>
      <c r="D51" s="369">
        <v>3238</v>
      </c>
      <c r="E51" s="369">
        <f t="shared" si="4"/>
        <v>-620</v>
      </c>
      <c r="F51" s="362">
        <f t="shared" si="5"/>
        <v>-0.16070502851218249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3102.509590461379</v>
      </c>
      <c r="D52" s="378">
        <f>IF(LN_IB10=0,0,LN_IB2/LN_IB10)</f>
        <v>3266.4095120444717</v>
      </c>
      <c r="E52" s="378">
        <f t="shared" si="4"/>
        <v>163.89992158309269</v>
      </c>
      <c r="F52" s="362">
        <f t="shared" si="5"/>
        <v>5.2828175644323752E-2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3.0023346303501945</v>
      </c>
      <c r="D53" s="379">
        <f>IF(LN_IB4=0,0,LN_IB10/LN_IB4)</f>
        <v>3.0633869441816461</v>
      </c>
      <c r="E53" s="379">
        <f t="shared" si="4"/>
        <v>6.1052313831451599E-2</v>
      </c>
      <c r="F53" s="362">
        <f t="shared" si="5"/>
        <v>2.033494641612631E-2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85651437</v>
      </c>
      <c r="D56" s="361">
        <v>89492748</v>
      </c>
      <c r="E56" s="361">
        <f t="shared" ref="E56:E63" si="6">D56-C56</f>
        <v>3841311</v>
      </c>
      <c r="F56" s="362">
        <f t="shared" ref="F56:F63" si="7">IF(C56=0,0,E56/C56)</f>
        <v>4.4848179254715834E-2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43892276</v>
      </c>
      <c r="D57" s="361">
        <v>44048867</v>
      </c>
      <c r="E57" s="361">
        <f t="shared" si="6"/>
        <v>156591</v>
      </c>
      <c r="F57" s="362">
        <f t="shared" si="7"/>
        <v>3.567620872519803E-3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0.51245230129647446</v>
      </c>
      <c r="D58" s="366">
        <f>IF(LN_IB13=0,0,LN_IB14/LN_IB13)</f>
        <v>0.4922059941661418</v>
      </c>
      <c r="E58" s="367">
        <f t="shared" si="6"/>
        <v>-2.0246307130332653E-2</v>
      </c>
      <c r="F58" s="362">
        <f t="shared" si="7"/>
        <v>-3.9508666619528635E-2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2.8987620040238813</v>
      </c>
      <c r="D59" s="366">
        <f>IF(LN_IB1=0,0,LN_IB13/LN_IB1)</f>
        <v>3.3945596389200694</v>
      </c>
      <c r="E59" s="367">
        <f t="shared" si="6"/>
        <v>0.49579763489618811</v>
      </c>
      <c r="F59" s="362">
        <f t="shared" si="7"/>
        <v>0.17103771686256156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3724.9091751706874</v>
      </c>
      <c r="D60" s="376">
        <f>LN_IB16*LN_IB4</f>
        <v>3588.0495383385132</v>
      </c>
      <c r="E60" s="376">
        <f t="shared" si="6"/>
        <v>-136.85963683217415</v>
      </c>
      <c r="F60" s="362">
        <f t="shared" si="7"/>
        <v>-3.6741737958188685E-2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11783.448652271827</v>
      </c>
      <c r="D61" s="378">
        <f>IF(LN_IB17=0,0,LN_IB14/LN_IB17)</f>
        <v>12276.54928655119</v>
      </c>
      <c r="E61" s="378">
        <f t="shared" si="6"/>
        <v>493.10063427936257</v>
      </c>
      <c r="F61" s="362">
        <f t="shared" si="7"/>
        <v>4.184688615622674E-2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-4851.8373865735584</v>
      </c>
      <c r="D62" s="378">
        <f>LN_IA16-LN_IB18</f>
        <v>-5927.1077287948065</v>
      </c>
      <c r="E62" s="378">
        <f t="shared" si="6"/>
        <v>-1075.270342221248</v>
      </c>
      <c r="F62" s="362">
        <f t="shared" si="7"/>
        <v>0.22162126562543769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-18072653.597684018</v>
      </c>
      <c r="D63" s="361">
        <f>LN_IB19*LN_IB17</f>
        <v>-21266756.14998484</v>
      </c>
      <c r="E63" s="361">
        <f t="shared" si="6"/>
        <v>-3194102.552300822</v>
      </c>
      <c r="F63" s="362">
        <f t="shared" si="7"/>
        <v>0.17673677719967704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115199029</v>
      </c>
      <c r="D66" s="361">
        <f>LN_IB1+LN_IB13</f>
        <v>115856329</v>
      </c>
      <c r="E66" s="361">
        <f>D66-C66</f>
        <v>657300</v>
      </c>
      <c r="F66" s="362">
        <f>IF(C66=0,0,E66/C66)</f>
        <v>5.7057772596329787E-3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55861758</v>
      </c>
      <c r="D67" s="361">
        <f>LN_IB2+LN_IB14</f>
        <v>54625501</v>
      </c>
      <c r="E67" s="361">
        <f>D67-C67</f>
        <v>-1236257</v>
      </c>
      <c r="F67" s="362">
        <f>IF(C67=0,0,E67/C67)</f>
        <v>-2.2130649737160082E-2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59337271</v>
      </c>
      <c r="D68" s="361">
        <f>LN_IB21-LN_IB22</f>
        <v>61230828</v>
      </c>
      <c r="E68" s="361">
        <f>D68-C68</f>
        <v>1893557</v>
      </c>
      <c r="F68" s="362">
        <f>IF(C68=0,0,E68/C68)</f>
        <v>3.1911764192862867E-2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-20028888.639353041</v>
      </c>
      <c r="D70" s="353">
        <f>LN_IB9+LN_IB20</f>
        <v>-23232325.52043914</v>
      </c>
      <c r="E70" s="361">
        <f>D70-C70</f>
        <v>-3203436.8810860999</v>
      </c>
      <c r="F70" s="362">
        <f>IF(C70=0,0,E70/C70)</f>
        <v>0.15994082042035734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110596764</v>
      </c>
      <c r="D73" s="400">
        <v>110847139</v>
      </c>
      <c r="E73" s="400">
        <f>D73-C73</f>
        <v>250375</v>
      </c>
      <c r="F73" s="401">
        <f>IF(C73=0,0,E73/C73)</f>
        <v>2.2638546639574372E-3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56961715</v>
      </c>
      <c r="D74" s="400">
        <v>54890286</v>
      </c>
      <c r="E74" s="400">
        <f>D74-C74</f>
        <v>-2071429</v>
      </c>
      <c r="F74" s="401">
        <f>IF(C74=0,0,E74/C74)</f>
        <v>-3.6365284998880386E-2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53635049</v>
      </c>
      <c r="D76" s="353">
        <f>LN_IB32-LN_IB33</f>
        <v>55956853</v>
      </c>
      <c r="E76" s="400">
        <f>D76-C76</f>
        <v>2321804</v>
      </c>
      <c r="F76" s="401">
        <f>IF(C76=0,0,E76/C76)</f>
        <v>4.3288932205506142E-2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0.48496038274682252</v>
      </c>
      <c r="D77" s="366">
        <f>IF(LN_IB1=0,0,LN_IB34/LN_IB32)</f>
        <v>0.50481098118373624</v>
      </c>
      <c r="E77" s="405">
        <f>D77-C77</f>
        <v>1.9850598436913724E-2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1206064</v>
      </c>
      <c r="D83" s="361">
        <v>947053</v>
      </c>
      <c r="E83" s="361">
        <f t="shared" ref="E83:E95" si="8">D83-C83</f>
        <v>-259011</v>
      </c>
      <c r="F83" s="362">
        <f t="shared" ref="F83:F95" si="9">IF(C83=0,0,E83/C83)</f>
        <v>-0.2147572599795699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65680</v>
      </c>
      <c r="D84" s="361">
        <v>51906</v>
      </c>
      <c r="E84" s="361">
        <f t="shared" si="8"/>
        <v>-13774</v>
      </c>
      <c r="F84" s="362">
        <f t="shared" si="9"/>
        <v>-0.20971376370280145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5.4458138208254285E-2</v>
      </c>
      <c r="D85" s="366">
        <f>IF(LN_IC1=0,0,LN_IC2/LN_IC1)</f>
        <v>5.480791465736342E-2</v>
      </c>
      <c r="E85" s="367">
        <f t="shared" si="8"/>
        <v>3.4977644910913486E-4</v>
      </c>
      <c r="F85" s="362">
        <f t="shared" si="9"/>
        <v>6.4228499287204577E-3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60</v>
      </c>
      <c r="D86" s="369">
        <v>51</v>
      </c>
      <c r="E86" s="369">
        <f t="shared" si="8"/>
        <v>-9</v>
      </c>
      <c r="F86" s="362">
        <f t="shared" si="9"/>
        <v>-0.15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1.0884</v>
      </c>
      <c r="D87" s="372">
        <v>1.0268999999999999</v>
      </c>
      <c r="E87" s="373">
        <f t="shared" si="8"/>
        <v>-6.150000000000011E-2</v>
      </c>
      <c r="F87" s="362">
        <f t="shared" si="9"/>
        <v>-5.6504961411245967E-2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65.304000000000002</v>
      </c>
      <c r="D88" s="376">
        <f>LN_IC4*LN_IC5</f>
        <v>52.371899999999997</v>
      </c>
      <c r="E88" s="376">
        <f t="shared" si="8"/>
        <v>-12.932100000000005</v>
      </c>
      <c r="F88" s="362">
        <f t="shared" si="9"/>
        <v>-0.19802921719955907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1005.7576871248315</v>
      </c>
      <c r="D89" s="378">
        <f>IF(LN_IC6=0,0,LN_IC2/LN_IC6)</f>
        <v>991.10400806539394</v>
      </c>
      <c r="E89" s="378">
        <f t="shared" si="8"/>
        <v>-14.653679059437536</v>
      </c>
      <c r="F89" s="362">
        <f t="shared" si="9"/>
        <v>-1.4569790762751354E-2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7177.2977327432154</v>
      </c>
      <c r="D90" s="378">
        <f>LN_IB7-LN_IC7</f>
        <v>7627.5663222944468</v>
      </c>
      <c r="E90" s="378">
        <f t="shared" si="8"/>
        <v>450.26858955123134</v>
      </c>
      <c r="F90" s="362">
        <f t="shared" si="9"/>
        <v>6.2735113731882966E-2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5839.8981894492372</v>
      </c>
      <c r="D91" s="378">
        <f>LN_IA7-LN_IC7</f>
        <v>6025.8663471039881</v>
      </c>
      <c r="E91" s="378">
        <f t="shared" si="8"/>
        <v>185.96815765475094</v>
      </c>
      <c r="F91" s="362">
        <f t="shared" si="9"/>
        <v>3.1844417765832606E-2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381368.711363793</v>
      </c>
      <c r="D92" s="353">
        <f>LN_IC9*LN_IC6</f>
        <v>315586.06974389532</v>
      </c>
      <c r="E92" s="353">
        <f t="shared" si="8"/>
        <v>-65782.64161989768</v>
      </c>
      <c r="F92" s="362">
        <f t="shared" si="9"/>
        <v>-0.17249092455607007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189</v>
      </c>
      <c r="D93" s="369">
        <v>144</v>
      </c>
      <c r="E93" s="369">
        <f t="shared" si="8"/>
        <v>-45</v>
      </c>
      <c r="F93" s="362">
        <f t="shared" si="9"/>
        <v>-0.23809523809523808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347.51322751322749</v>
      </c>
      <c r="D94" s="411">
        <f>IF(LN_IC11=0,0,LN_IC2/LN_IC11)</f>
        <v>360.45833333333331</v>
      </c>
      <c r="E94" s="411">
        <f t="shared" si="8"/>
        <v>12.945105820105823</v>
      </c>
      <c r="F94" s="362">
        <f t="shared" si="9"/>
        <v>3.7250685140073091E-2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3.15</v>
      </c>
      <c r="D95" s="379">
        <f>IF(LN_IC4=0,0,LN_IC11/LN_IC4)</f>
        <v>2.8235294117647061</v>
      </c>
      <c r="E95" s="379">
        <f t="shared" si="8"/>
        <v>-0.32647058823529385</v>
      </c>
      <c r="F95" s="362">
        <f t="shared" si="9"/>
        <v>-0.10364145658263298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3396201</v>
      </c>
      <c r="D98" s="361">
        <v>4062137</v>
      </c>
      <c r="E98" s="361">
        <f t="shared" ref="E98:E106" si="10">D98-C98</f>
        <v>665936</v>
      </c>
      <c r="F98" s="362">
        <f t="shared" ref="F98:F106" si="11">IF(C98=0,0,E98/C98)</f>
        <v>0.19608262290718365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184951</v>
      </c>
      <c r="D99" s="361">
        <v>222636</v>
      </c>
      <c r="E99" s="361">
        <f t="shared" si="10"/>
        <v>37685</v>
      </c>
      <c r="F99" s="362">
        <f t="shared" si="11"/>
        <v>0.20375667068574921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5.4458201973322545E-2</v>
      </c>
      <c r="D100" s="366">
        <f>IF(LN_IC14=0,0,LN_IC15/LN_IC14)</f>
        <v>5.4807604962609585E-2</v>
      </c>
      <c r="E100" s="367">
        <f t="shared" si="10"/>
        <v>3.4940298928703983E-4</v>
      </c>
      <c r="F100" s="362">
        <f t="shared" si="11"/>
        <v>6.4159846749659855E-3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2.8159376285172262</v>
      </c>
      <c r="D101" s="366">
        <f>IF(LN_IC1=0,0,LN_IC14/LN_IC1)</f>
        <v>4.2892393561923141</v>
      </c>
      <c r="E101" s="367">
        <f t="shared" si="10"/>
        <v>1.4733017276750879</v>
      </c>
      <c r="F101" s="362">
        <f t="shared" si="11"/>
        <v>0.52320112233837968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168.95625771103357</v>
      </c>
      <c r="D102" s="376">
        <f>LN_IC17*LN_IC4</f>
        <v>218.75120716580801</v>
      </c>
      <c r="E102" s="376">
        <f t="shared" si="10"/>
        <v>49.794949454774439</v>
      </c>
      <c r="F102" s="362">
        <f t="shared" si="11"/>
        <v>0.29472095398762266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1094.6679484125548</v>
      </c>
      <c r="D103" s="378">
        <f>IF(LN_IC18=0,0,LN_IC15/LN_IC18)</f>
        <v>1017.7589549540058</v>
      </c>
      <c r="E103" s="378">
        <f t="shared" si="10"/>
        <v>-76.908993458548935</v>
      </c>
      <c r="F103" s="362">
        <f t="shared" si="11"/>
        <v>-7.0257828933494748E-2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10688.780703859273</v>
      </c>
      <c r="D104" s="378">
        <f>LN_IB18-LN_IC19</f>
        <v>11258.790331597183</v>
      </c>
      <c r="E104" s="378">
        <f t="shared" si="10"/>
        <v>570.00962773791071</v>
      </c>
      <c r="F104" s="362">
        <f t="shared" si="11"/>
        <v>5.3327843795326818E-2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5836.9433172857134</v>
      </c>
      <c r="D105" s="378">
        <f>LN_IA16-LN_IC19</f>
        <v>5331.682602802377</v>
      </c>
      <c r="E105" s="378">
        <f t="shared" si="10"/>
        <v>-505.26071448333641</v>
      </c>
      <c r="F105" s="362">
        <f t="shared" si="11"/>
        <v>-8.6562552866847442E-2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986188.09936002025</v>
      </c>
      <c r="D106" s="361">
        <f>LN_IC21*LN_IC18</f>
        <v>1166312.0055879573</v>
      </c>
      <c r="E106" s="361">
        <f t="shared" si="10"/>
        <v>180123.90622793708</v>
      </c>
      <c r="F106" s="362">
        <f t="shared" si="11"/>
        <v>0.18264660296025395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4602265</v>
      </c>
      <c r="D109" s="361">
        <f>LN_IC1+LN_IC14</f>
        <v>5009190</v>
      </c>
      <c r="E109" s="361">
        <f>D109-C109</f>
        <v>406925</v>
      </c>
      <c r="F109" s="362">
        <f>IF(C109=0,0,E109/C109)</f>
        <v>8.841842006055714E-2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250631</v>
      </c>
      <c r="D110" s="361">
        <f>LN_IC2+LN_IC15</f>
        <v>274542</v>
      </c>
      <c r="E110" s="361">
        <f>D110-C110</f>
        <v>23911</v>
      </c>
      <c r="F110" s="362">
        <f>IF(C110=0,0,E110/C110)</f>
        <v>9.5403202317351013E-2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4351634</v>
      </c>
      <c r="D111" s="361">
        <f>LN_IC23-LN_IC24</f>
        <v>4734648</v>
      </c>
      <c r="E111" s="361">
        <f>D111-C111</f>
        <v>383014</v>
      </c>
      <c r="F111" s="362">
        <f>IF(C111=0,0,E111/C111)</f>
        <v>8.8016133709774305E-2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1367556.8107238133</v>
      </c>
      <c r="D113" s="361">
        <f>LN_IC10+LN_IC22</f>
        <v>1481898.0753318528</v>
      </c>
      <c r="E113" s="361">
        <f>D113-C113</f>
        <v>114341.26460803952</v>
      </c>
      <c r="F113" s="362">
        <f>IF(C113=0,0,E113/C113)</f>
        <v>8.3609882756915652E-2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2441592</v>
      </c>
      <c r="D118" s="361">
        <v>4407849</v>
      </c>
      <c r="E118" s="361">
        <f t="shared" ref="E118:E130" si="12">D118-C118</f>
        <v>1966257</v>
      </c>
      <c r="F118" s="362">
        <f t="shared" ref="F118:F130" si="13">IF(C118=0,0,E118/C118)</f>
        <v>0.80531759606027542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810165</v>
      </c>
      <c r="D119" s="361">
        <v>1217702</v>
      </c>
      <c r="E119" s="361">
        <f t="shared" si="12"/>
        <v>407537</v>
      </c>
      <c r="F119" s="362">
        <f t="shared" si="13"/>
        <v>0.5030296297667759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0.33181833819901113</v>
      </c>
      <c r="D120" s="366">
        <f>IF(LN_ID1=0,0,LN_1D2/LN_ID1)</f>
        <v>0.27625764857189983</v>
      </c>
      <c r="E120" s="367">
        <f t="shared" si="12"/>
        <v>-5.5560689627111304E-2</v>
      </c>
      <c r="F120" s="362">
        <f t="shared" si="13"/>
        <v>-0.16744309530532417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208</v>
      </c>
      <c r="D121" s="369">
        <v>252</v>
      </c>
      <c r="E121" s="369">
        <f t="shared" si="12"/>
        <v>44</v>
      </c>
      <c r="F121" s="362">
        <f t="shared" si="13"/>
        <v>0.21153846153846154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0.753</v>
      </c>
      <c r="D122" s="372">
        <v>0.82089999999999996</v>
      </c>
      <c r="E122" s="373">
        <f t="shared" si="12"/>
        <v>6.789999999999996E-2</v>
      </c>
      <c r="F122" s="362">
        <f t="shared" si="13"/>
        <v>9.017264276228415E-2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156.624</v>
      </c>
      <c r="D123" s="376">
        <f>LN_ID4*LN_ID5</f>
        <v>206.86679999999998</v>
      </c>
      <c r="E123" s="376">
        <f t="shared" si="12"/>
        <v>50.242799999999988</v>
      </c>
      <c r="F123" s="362">
        <f t="shared" si="13"/>
        <v>0.32078608642353656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5172.6746858718971</v>
      </c>
      <c r="D124" s="378">
        <f>IF(LN_ID6=0,0,LN_1D2/LN_ID6)</f>
        <v>5886.4061318684298</v>
      </c>
      <c r="E124" s="378">
        <f t="shared" si="12"/>
        <v>713.73144599653278</v>
      </c>
      <c r="F124" s="362">
        <f t="shared" si="13"/>
        <v>0.13798111989256626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3010.3807339961495</v>
      </c>
      <c r="D125" s="378">
        <f>LN_IB7-LN_ID7</f>
        <v>2732.2641984914108</v>
      </c>
      <c r="E125" s="378">
        <f t="shared" si="12"/>
        <v>-278.11653550473875</v>
      </c>
      <c r="F125" s="362">
        <f t="shared" si="13"/>
        <v>-9.2385834244810339E-2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1672.9811907021713</v>
      </c>
      <c r="D126" s="378">
        <f>LN_IA7-LN_ID7</f>
        <v>1130.5642233009521</v>
      </c>
      <c r="E126" s="378">
        <f t="shared" si="12"/>
        <v>-542.41696740121915</v>
      </c>
      <c r="F126" s="362">
        <f t="shared" si="13"/>
        <v>-0.32422179664408535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262029.00601253688</v>
      </c>
      <c r="D127" s="391">
        <f>LN_ID9*LN_ID6</f>
        <v>233876.20306875338</v>
      </c>
      <c r="E127" s="391">
        <f t="shared" si="12"/>
        <v>-28152.802943783492</v>
      </c>
      <c r="F127" s="362">
        <f t="shared" si="13"/>
        <v>-0.1074415514992127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554</v>
      </c>
      <c r="D128" s="369">
        <v>949</v>
      </c>
      <c r="E128" s="369">
        <f t="shared" si="12"/>
        <v>395</v>
      </c>
      <c r="F128" s="362">
        <f t="shared" si="13"/>
        <v>0.71299638989169678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1462.3916967509026</v>
      </c>
      <c r="D129" s="378">
        <f>IF(LN_ID11=0,0,LN_1D2/LN_ID11)</f>
        <v>1283.1422550052687</v>
      </c>
      <c r="E129" s="378">
        <f t="shared" si="12"/>
        <v>-179.24944174563393</v>
      </c>
      <c r="F129" s="362">
        <f t="shared" si="13"/>
        <v>-0.12257279779684532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2.6634615384615383</v>
      </c>
      <c r="D130" s="379">
        <f>IF(LN_ID4=0,0,LN_ID11/LN_ID4)</f>
        <v>3.7658730158730158</v>
      </c>
      <c r="E130" s="379">
        <f t="shared" si="12"/>
        <v>1.1024114774114775</v>
      </c>
      <c r="F130" s="362">
        <f t="shared" si="13"/>
        <v>0.41390178213282913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6989617</v>
      </c>
      <c r="D133" s="361">
        <v>10470053</v>
      </c>
      <c r="E133" s="361">
        <f t="shared" ref="E133:E141" si="14">D133-C133</f>
        <v>3480436</v>
      </c>
      <c r="F133" s="362">
        <f t="shared" ref="F133:F141" si="15">IF(C133=0,0,E133/C133)</f>
        <v>0.49794373568680517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1934474</v>
      </c>
      <c r="D134" s="361">
        <v>2816920</v>
      </c>
      <c r="E134" s="361">
        <f t="shared" si="14"/>
        <v>882446</v>
      </c>
      <c r="F134" s="362">
        <f t="shared" si="15"/>
        <v>0.45616844682327085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0.27676394858259046</v>
      </c>
      <c r="D135" s="366">
        <f>IF(LN_ID14=0,0,LN_ID15/LN_ID14)</f>
        <v>0.26904543845193524</v>
      </c>
      <c r="E135" s="367">
        <f t="shared" si="14"/>
        <v>-7.7185101306552206E-3</v>
      </c>
      <c r="F135" s="362">
        <f t="shared" si="15"/>
        <v>-2.7888423221971423E-2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2.8627293175927839</v>
      </c>
      <c r="D136" s="366">
        <f>IF(LN_ID1=0,0,LN_ID14/LN_ID1)</f>
        <v>2.3753202525767105</v>
      </c>
      <c r="E136" s="367">
        <f t="shared" si="14"/>
        <v>-0.4874090650160734</v>
      </c>
      <c r="F136" s="362">
        <f t="shared" si="15"/>
        <v>-0.17026026946408146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595.447698059299</v>
      </c>
      <c r="D137" s="376">
        <f>LN_ID17*LN_ID4</f>
        <v>598.5807036493311</v>
      </c>
      <c r="E137" s="376">
        <f t="shared" si="14"/>
        <v>3.1330055900320986</v>
      </c>
      <c r="F137" s="362">
        <f t="shared" si="15"/>
        <v>5.2615966108245683E-3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3248.7723209022315</v>
      </c>
      <c r="D138" s="378">
        <f>IF(LN_ID18=0,0,LN_ID15/LN_ID18)</f>
        <v>4705.9986779163655</v>
      </c>
      <c r="E138" s="378">
        <f t="shared" si="14"/>
        <v>1457.226357014134</v>
      </c>
      <c r="F138" s="362">
        <f t="shared" si="15"/>
        <v>0.44854677800549625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8534.6763313695956</v>
      </c>
      <c r="D139" s="378">
        <f>LN_IB18-LN_ID19</f>
        <v>7570.5506086348241</v>
      </c>
      <c r="E139" s="378">
        <f t="shared" si="14"/>
        <v>-964.12572273477144</v>
      </c>
      <c r="F139" s="362">
        <f t="shared" si="15"/>
        <v>-0.11296570429871874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3682.8389447960371</v>
      </c>
      <c r="D140" s="378">
        <f>LN_IA16-LN_ID19</f>
        <v>1643.4428798400177</v>
      </c>
      <c r="E140" s="378">
        <f t="shared" si="14"/>
        <v>-2039.3960649560195</v>
      </c>
      <c r="F140" s="362">
        <f t="shared" si="15"/>
        <v>-0.55375651651499658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2192937.9720019381</v>
      </c>
      <c r="D141" s="353">
        <f>LN_ID21*LN_ID18</f>
        <v>983733.19542212086</v>
      </c>
      <c r="E141" s="353">
        <f t="shared" si="14"/>
        <v>-1209204.7765798173</v>
      </c>
      <c r="F141" s="362">
        <f t="shared" si="15"/>
        <v>-0.55140856331468946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9431209</v>
      </c>
      <c r="D144" s="361">
        <f>LN_ID1+LN_ID14</f>
        <v>14877902</v>
      </c>
      <c r="E144" s="361">
        <f>D144-C144</f>
        <v>5446693</v>
      </c>
      <c r="F144" s="362">
        <f>IF(C144=0,0,E144/C144)</f>
        <v>0.57751800431948863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2744639</v>
      </c>
      <c r="D145" s="361">
        <f>LN_1D2+LN_ID15</f>
        <v>4034622</v>
      </c>
      <c r="E145" s="361">
        <f>D145-C145</f>
        <v>1289983</v>
      </c>
      <c r="F145" s="362">
        <f>IF(C145=0,0,E145/C145)</f>
        <v>0.47000097280553105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6686570</v>
      </c>
      <c r="D146" s="361">
        <f>LN_ID23-LN_ID24</f>
        <v>10843280</v>
      </c>
      <c r="E146" s="361">
        <f>D146-C146</f>
        <v>4156710</v>
      </c>
      <c r="F146" s="362">
        <f>IF(C146=0,0,E146/C146)</f>
        <v>0.62165056224641335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2454966.9780144752</v>
      </c>
      <c r="D148" s="361">
        <f>LN_ID10+LN_ID22</f>
        <v>1217609.3984908743</v>
      </c>
      <c r="E148" s="361">
        <f>D148-C148</f>
        <v>-1237357.5795236009</v>
      </c>
      <c r="F148" s="415">
        <f>IF(C148=0,0,E148/C148)</f>
        <v>-0.50402208689762062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495189</v>
      </c>
      <c r="D153" s="361">
        <v>961631</v>
      </c>
      <c r="E153" s="361">
        <f t="shared" ref="E153:E165" si="16">D153-C153</f>
        <v>466442</v>
      </c>
      <c r="F153" s="362">
        <f t="shared" ref="F153:F165" si="17">IF(C153=0,0,E153/C153)</f>
        <v>0.94194741805654003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144333</v>
      </c>
      <c r="D154" s="361">
        <v>196290</v>
      </c>
      <c r="E154" s="361">
        <f t="shared" si="16"/>
        <v>51957</v>
      </c>
      <c r="F154" s="362">
        <f t="shared" si="17"/>
        <v>0.35998004614329365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0.29147052943421603</v>
      </c>
      <c r="D155" s="366">
        <f>IF(LN_IE1=0,0,LN_IE2/LN_IE1)</f>
        <v>0.20412195530302163</v>
      </c>
      <c r="E155" s="367">
        <f t="shared" si="16"/>
        <v>-8.7348574131194401E-2</v>
      </c>
      <c r="F155" s="362">
        <f t="shared" si="17"/>
        <v>-0.29968235313789654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27</v>
      </c>
      <c r="D156" s="419">
        <v>31</v>
      </c>
      <c r="E156" s="419">
        <f t="shared" si="16"/>
        <v>4</v>
      </c>
      <c r="F156" s="362">
        <f t="shared" si="17"/>
        <v>0.14814814814814814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1.0025999999999999</v>
      </c>
      <c r="D157" s="372">
        <v>1.6069</v>
      </c>
      <c r="E157" s="373">
        <f t="shared" si="16"/>
        <v>0.60430000000000006</v>
      </c>
      <c r="F157" s="362">
        <f t="shared" si="17"/>
        <v>0.60273289447436673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27.0702</v>
      </c>
      <c r="D158" s="376">
        <f>LN_IE4*LN_IE5</f>
        <v>49.813899999999997</v>
      </c>
      <c r="E158" s="376">
        <f t="shared" si="16"/>
        <v>22.743699999999997</v>
      </c>
      <c r="F158" s="362">
        <f t="shared" si="17"/>
        <v>0.84017480476686535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5331.8039763282131</v>
      </c>
      <c r="D159" s="378">
        <f>IF(LN_IE6=0,0,LN_IE2/LN_IE6)</f>
        <v>3940.4664160003535</v>
      </c>
      <c r="E159" s="378">
        <f t="shared" si="16"/>
        <v>-1391.3375603278596</v>
      </c>
      <c r="F159" s="362">
        <f t="shared" si="17"/>
        <v>-0.26095062131035335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2851.2514435398334</v>
      </c>
      <c r="D160" s="378">
        <f>LN_IB7-LN_IE7</f>
        <v>4678.2039143594866</v>
      </c>
      <c r="E160" s="378">
        <f t="shared" si="16"/>
        <v>1826.9524708196532</v>
      </c>
      <c r="F160" s="362">
        <f t="shared" si="17"/>
        <v>0.64075459740986174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1513.8519002458552</v>
      </c>
      <c r="D161" s="378">
        <f>LN_IA7-LN_IE7</f>
        <v>3076.5039391690284</v>
      </c>
      <c r="E161" s="378">
        <f t="shared" si="16"/>
        <v>1562.6520389231732</v>
      </c>
      <c r="F161" s="362">
        <f t="shared" si="17"/>
        <v>1.0322357416002139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40980.273710035348</v>
      </c>
      <c r="D162" s="391">
        <f>LN_IE9*LN_IE6</f>
        <v>153252.65957537206</v>
      </c>
      <c r="E162" s="391">
        <f t="shared" si="16"/>
        <v>112272.38586533672</v>
      </c>
      <c r="F162" s="362">
        <f t="shared" si="17"/>
        <v>2.7396690090394196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75</v>
      </c>
      <c r="D163" s="369">
        <v>129</v>
      </c>
      <c r="E163" s="419">
        <f t="shared" si="16"/>
        <v>54</v>
      </c>
      <c r="F163" s="362">
        <f t="shared" si="17"/>
        <v>0.72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1924.44</v>
      </c>
      <c r="D164" s="378">
        <f>IF(LN_IE11=0,0,LN_IE2/LN_IE11)</f>
        <v>1521.6279069767443</v>
      </c>
      <c r="E164" s="378">
        <f t="shared" si="16"/>
        <v>-402.81209302325578</v>
      </c>
      <c r="F164" s="362">
        <f t="shared" si="17"/>
        <v>-0.20931392666087578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2.7777777777777777</v>
      </c>
      <c r="D165" s="379">
        <f>IF(LN_IE4=0,0,LN_IE11/LN_IE4)</f>
        <v>4.161290322580645</v>
      </c>
      <c r="E165" s="379">
        <f t="shared" si="16"/>
        <v>1.3835125448028673</v>
      </c>
      <c r="F165" s="362">
        <f t="shared" si="17"/>
        <v>0.49806451612903224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1022934</v>
      </c>
      <c r="D168" s="424">
        <v>765839</v>
      </c>
      <c r="E168" s="424">
        <f t="shared" ref="E168:E176" si="18">D168-C168</f>
        <v>-257095</v>
      </c>
      <c r="F168" s="362">
        <f t="shared" ref="F168:F176" si="19">IF(C168=0,0,E168/C168)</f>
        <v>-0.25133097540994825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246824</v>
      </c>
      <c r="D169" s="424">
        <v>186225</v>
      </c>
      <c r="E169" s="424">
        <f t="shared" si="18"/>
        <v>-60599</v>
      </c>
      <c r="F169" s="362">
        <f t="shared" si="19"/>
        <v>-0.24551502285029009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0.24129024941980617</v>
      </c>
      <c r="D170" s="366">
        <f>IF(LN_IE14=0,0,LN_IE15/LN_IE14)</f>
        <v>0.24316468605020114</v>
      </c>
      <c r="E170" s="367">
        <f t="shared" si="18"/>
        <v>1.8744366303949656E-3</v>
      </c>
      <c r="F170" s="362">
        <f t="shared" si="19"/>
        <v>7.7683894600056869E-3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2.0657445944881649</v>
      </c>
      <c r="D171" s="366">
        <f>IF(LN_IE1=0,0,LN_IE14/LN_IE1)</f>
        <v>0.79639591485715411</v>
      </c>
      <c r="E171" s="367">
        <f t="shared" si="18"/>
        <v>-1.2693486796310109</v>
      </c>
      <c r="F171" s="362">
        <f t="shared" si="19"/>
        <v>-0.61447513067099224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55.775104051180456</v>
      </c>
      <c r="D172" s="376">
        <f>LN_IE17*LN_IE4</f>
        <v>24.688273360571777</v>
      </c>
      <c r="E172" s="376">
        <f t="shared" si="18"/>
        <v>-31.086830690608679</v>
      </c>
      <c r="F172" s="362">
        <f t="shared" si="19"/>
        <v>-0.55736033521484285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4425.3436044423852</v>
      </c>
      <c r="D173" s="378">
        <f>IF(LN_IE18=0,0,LN_IE15/LN_IE18)</f>
        <v>7543.0548455206772</v>
      </c>
      <c r="E173" s="378">
        <f t="shared" si="18"/>
        <v>3117.711241078292</v>
      </c>
      <c r="F173" s="362">
        <f t="shared" si="19"/>
        <v>0.70451280618042289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7358.1050478294419</v>
      </c>
      <c r="D174" s="378">
        <f>LN_IB18-LN_IE19</f>
        <v>4733.4944410305125</v>
      </c>
      <c r="E174" s="378">
        <f t="shared" si="18"/>
        <v>-2624.6106067989294</v>
      </c>
      <c r="F174" s="362">
        <f t="shared" si="19"/>
        <v>-0.35669653935875245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2506.2676612558835</v>
      </c>
      <c r="D175" s="378">
        <f>LN_IA16-LN_IE19</f>
        <v>-1193.613287764294</v>
      </c>
      <c r="E175" s="378">
        <f t="shared" si="18"/>
        <v>-3699.8809490201775</v>
      </c>
      <c r="F175" s="362">
        <f t="shared" si="19"/>
        <v>-1.4762513223213269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139787.33958665558</v>
      </c>
      <c r="D176" s="353">
        <f>LN_IE21*LN_IE18</f>
        <v>-29468.251135135713</v>
      </c>
      <c r="E176" s="353">
        <f t="shared" si="18"/>
        <v>-169255.59072179129</v>
      </c>
      <c r="F176" s="362">
        <f t="shared" si="19"/>
        <v>-1.2108077256657999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1518123</v>
      </c>
      <c r="D179" s="361">
        <f>LN_IE1+LN_IE14</f>
        <v>1727470</v>
      </c>
      <c r="E179" s="361">
        <f>D179-C179</f>
        <v>209347</v>
      </c>
      <c r="F179" s="362">
        <f>IF(C179=0,0,E179/C179)</f>
        <v>0.1378985760705819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391157</v>
      </c>
      <c r="D180" s="361">
        <f>LN_IE15+LN_IE2</f>
        <v>382515</v>
      </c>
      <c r="E180" s="361">
        <f>D180-C180</f>
        <v>-8642</v>
      </c>
      <c r="F180" s="362">
        <f>IF(C180=0,0,E180/C180)</f>
        <v>-2.2093430515112856E-2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1126966</v>
      </c>
      <c r="D181" s="361">
        <f>LN_IE23-LN_IE24</f>
        <v>1344955</v>
      </c>
      <c r="E181" s="361">
        <f>D181-C181</f>
        <v>217989</v>
      </c>
      <c r="F181" s="362">
        <f>IF(C181=0,0,E181/C181)</f>
        <v>0.19342997038065035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180767.61329669092</v>
      </c>
      <c r="D183" s="361">
        <f>LN_IE10+LN_IE22</f>
        <v>123784.40844023635</v>
      </c>
      <c r="E183" s="353">
        <f>D183-C183</f>
        <v>-56983.204856454569</v>
      </c>
      <c r="F183" s="362">
        <f>IF(C183=0,0,E183/C183)</f>
        <v>-0.31522906021295399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2936781</v>
      </c>
      <c r="D188" s="361">
        <f>LN_ID1+LN_IE1</f>
        <v>5369480</v>
      </c>
      <c r="E188" s="361">
        <f t="shared" ref="E188:E200" si="20">D188-C188</f>
        <v>2432699</v>
      </c>
      <c r="F188" s="362">
        <f t="shared" ref="F188:F200" si="21">IF(C188=0,0,E188/C188)</f>
        <v>0.82835560431642674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954498</v>
      </c>
      <c r="D189" s="361">
        <f>LN_1D2+LN_IE2</f>
        <v>1413992</v>
      </c>
      <c r="E189" s="361">
        <f t="shared" si="20"/>
        <v>459494</v>
      </c>
      <c r="F189" s="362">
        <f t="shared" si="21"/>
        <v>0.48139859905416249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0.32501504197963688</v>
      </c>
      <c r="D190" s="366">
        <f>IF(LN_IF1=0,0,LN_IF2/LN_IF1)</f>
        <v>0.26333872181291296</v>
      </c>
      <c r="E190" s="367">
        <f t="shared" si="20"/>
        <v>-6.1676320166723919E-2</v>
      </c>
      <c r="F190" s="362">
        <f t="shared" si="21"/>
        <v>-0.18976450994716768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235</v>
      </c>
      <c r="D191" s="369">
        <f>LN_ID4+LN_IE4</f>
        <v>283</v>
      </c>
      <c r="E191" s="369">
        <f t="shared" si="20"/>
        <v>48</v>
      </c>
      <c r="F191" s="362">
        <f t="shared" si="21"/>
        <v>0.20425531914893616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0.78167744680851059</v>
      </c>
      <c r="D192" s="372">
        <f>IF((LN_ID4+LN_IE4)=0,0,(LN_ID6+LN_IE6)/(LN_ID4+LN_IE4))</f>
        <v>0.90699893992932867</v>
      </c>
      <c r="E192" s="373">
        <f t="shared" si="20"/>
        <v>0.12532149312081808</v>
      </c>
      <c r="F192" s="362">
        <f t="shared" si="21"/>
        <v>0.16032379293081792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183.6942</v>
      </c>
      <c r="D193" s="376">
        <f>LN_IF4*LN_IF5</f>
        <v>256.6807</v>
      </c>
      <c r="E193" s="376">
        <f t="shared" si="20"/>
        <v>72.986500000000007</v>
      </c>
      <c r="F193" s="362">
        <f t="shared" si="21"/>
        <v>0.39732609957200615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5196.1248640403455</v>
      </c>
      <c r="D194" s="378">
        <f>IF(LN_IF6=0,0,LN_IF2/LN_IF6)</f>
        <v>5508.7585470976201</v>
      </c>
      <c r="E194" s="378">
        <f t="shared" si="20"/>
        <v>312.63368305727454</v>
      </c>
      <c r="F194" s="362">
        <f t="shared" si="21"/>
        <v>6.0166699461140408E-2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2986.930555827701</v>
      </c>
      <c r="D195" s="378">
        <f>LN_IB7-LN_IF7</f>
        <v>3109.9117832622205</v>
      </c>
      <c r="E195" s="378">
        <f t="shared" si="20"/>
        <v>122.9812274345195</v>
      </c>
      <c r="F195" s="362">
        <f t="shared" si="21"/>
        <v>4.1173112376039309E-2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1649.5310125337228</v>
      </c>
      <c r="D196" s="378">
        <f>LN_IA7-LN_IF7</f>
        <v>1508.2118080717619</v>
      </c>
      <c r="E196" s="378">
        <f t="shared" si="20"/>
        <v>-141.31920446196091</v>
      </c>
      <c r="F196" s="362">
        <f t="shared" si="21"/>
        <v>-8.567235377096119E-2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303009.27972257225</v>
      </c>
      <c r="D197" s="391">
        <f>LN_IF9*LN_IF6</f>
        <v>387128.86264412547</v>
      </c>
      <c r="E197" s="391">
        <f t="shared" si="20"/>
        <v>84119.582921553229</v>
      </c>
      <c r="F197" s="362">
        <f t="shared" si="21"/>
        <v>0.27761388363607553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629</v>
      </c>
      <c r="D198" s="369">
        <f>LN_ID11+LN_IE11</f>
        <v>1078</v>
      </c>
      <c r="E198" s="369">
        <f t="shared" si="20"/>
        <v>449</v>
      </c>
      <c r="F198" s="362">
        <f t="shared" si="21"/>
        <v>0.71383147853736084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1517.4848966613672</v>
      </c>
      <c r="D199" s="432">
        <f>IF(LN_IF11=0,0,LN_IF2/LN_IF11)</f>
        <v>1311.6808905380333</v>
      </c>
      <c r="E199" s="432">
        <f t="shared" si="20"/>
        <v>-205.80400612333392</v>
      </c>
      <c r="F199" s="362">
        <f t="shared" si="21"/>
        <v>-0.13562178218453788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2.676595744680851</v>
      </c>
      <c r="D200" s="379">
        <f>IF(LN_IF4=0,0,LN_IF11/LN_IF4)</f>
        <v>3.8091872791519434</v>
      </c>
      <c r="E200" s="379">
        <f t="shared" si="20"/>
        <v>1.1325915344710924</v>
      </c>
      <c r="F200" s="362">
        <f t="shared" si="21"/>
        <v>0.4231462807642396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8012551</v>
      </c>
      <c r="D203" s="361">
        <f>LN_ID14+LN_IE14</f>
        <v>11235892</v>
      </c>
      <c r="E203" s="361">
        <f t="shared" ref="E203:E211" si="22">D203-C203</f>
        <v>3223341</v>
      </c>
      <c r="F203" s="362">
        <f t="shared" ref="F203:F211" si="23">IF(C203=0,0,E203/C203)</f>
        <v>0.40228648778647402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2181298</v>
      </c>
      <c r="D204" s="361">
        <f>LN_ID15+LN_IE15</f>
        <v>3003145</v>
      </c>
      <c r="E204" s="361">
        <f t="shared" si="22"/>
        <v>821847</v>
      </c>
      <c r="F204" s="362">
        <f t="shared" si="23"/>
        <v>0.37676970317673236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0.27223514708361918</v>
      </c>
      <c r="D205" s="366">
        <f>IF(LN_IF14=0,0,LN_IF15/LN_IF14)</f>
        <v>0.26728140498324476</v>
      </c>
      <c r="E205" s="367">
        <f t="shared" si="22"/>
        <v>-4.9537421003744142E-3</v>
      </c>
      <c r="F205" s="362">
        <f t="shared" si="23"/>
        <v>-1.8196556004771981E-2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2.7283447420832538</v>
      </c>
      <c r="D206" s="366">
        <f>IF(LN_IF1=0,0,LN_IF14/LN_IF1)</f>
        <v>2.0925475092560175</v>
      </c>
      <c r="E206" s="367">
        <f t="shared" si="22"/>
        <v>-0.63579723282723632</v>
      </c>
      <c r="F206" s="362">
        <f t="shared" si="23"/>
        <v>-0.23303405285278109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651.22280211047951</v>
      </c>
      <c r="D207" s="376">
        <f>LN_ID18+LN_IE18</f>
        <v>623.26897700990287</v>
      </c>
      <c r="E207" s="376">
        <f t="shared" si="22"/>
        <v>-27.953825100576637</v>
      </c>
      <c r="F207" s="362">
        <f t="shared" si="23"/>
        <v>-4.2925132550617126E-2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3349.5418049411978</v>
      </c>
      <c r="D208" s="378">
        <f>IF(LN_IF18=0,0,LN_IF15/LN_IF18)</f>
        <v>4818.3771546073349</v>
      </c>
      <c r="E208" s="378">
        <f t="shared" si="22"/>
        <v>1468.8353496661371</v>
      </c>
      <c r="F208" s="362">
        <f t="shared" si="23"/>
        <v>0.43851829151656846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8433.9068473306288</v>
      </c>
      <c r="D209" s="378">
        <f>LN_IB18-LN_IF19</f>
        <v>7458.1721319438548</v>
      </c>
      <c r="E209" s="378">
        <f t="shared" si="22"/>
        <v>-975.73471538677404</v>
      </c>
      <c r="F209" s="362">
        <f t="shared" si="23"/>
        <v>-0.11569190092437394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3582.0694607570708</v>
      </c>
      <c r="D210" s="378">
        <f>LN_IA16-LN_IF19</f>
        <v>1531.0644031490483</v>
      </c>
      <c r="E210" s="378">
        <f t="shared" si="22"/>
        <v>-2051.0050576080225</v>
      </c>
      <c r="F210" s="362">
        <f t="shared" si="23"/>
        <v>-0.57257545675134458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2332725.3115885938</v>
      </c>
      <c r="D211" s="353">
        <f>LN_IF21*LN_IF18</f>
        <v>954264.94428698486</v>
      </c>
      <c r="E211" s="353">
        <f t="shared" si="22"/>
        <v>-1378460.3673016089</v>
      </c>
      <c r="F211" s="362">
        <f t="shared" si="23"/>
        <v>-0.59092271192568013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10949332</v>
      </c>
      <c r="D214" s="361">
        <f>LN_IF1+LN_IF14</f>
        <v>16605372</v>
      </c>
      <c r="E214" s="361">
        <f>D214-C214</f>
        <v>5656040</v>
      </c>
      <c r="F214" s="362">
        <f>IF(C214=0,0,E214/C214)</f>
        <v>0.51656484614769194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3135796</v>
      </c>
      <c r="D215" s="361">
        <f>LN_IF2+LN_IF15</f>
        <v>4417137</v>
      </c>
      <c r="E215" s="361">
        <f>D215-C215</f>
        <v>1281341</v>
      </c>
      <c r="F215" s="362">
        <f>IF(C215=0,0,E215/C215)</f>
        <v>0.40861746108484098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7813536</v>
      </c>
      <c r="D216" s="361">
        <f>LN_IF23-LN_IF24</f>
        <v>12188235</v>
      </c>
      <c r="E216" s="361">
        <f>D216-C216</f>
        <v>4374699</v>
      </c>
      <c r="F216" s="362">
        <f>IF(C216=0,0,E216/C216)</f>
        <v>0.5598872264746716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65802</v>
      </c>
      <c r="D221" s="361">
        <v>103220</v>
      </c>
      <c r="E221" s="361">
        <f t="shared" ref="E221:E230" si="24">D221-C221</f>
        <v>37418</v>
      </c>
      <c r="F221" s="362">
        <f t="shared" ref="F221:F230" si="25">IF(C221=0,0,E221/C221)</f>
        <v>0.56864532992918149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15679</v>
      </c>
      <c r="D222" s="361">
        <v>23033</v>
      </c>
      <c r="E222" s="361">
        <f t="shared" si="24"/>
        <v>7354</v>
      </c>
      <c r="F222" s="362">
        <f t="shared" si="25"/>
        <v>0.46903501498820077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0.23827543235767909</v>
      </c>
      <c r="D223" s="366">
        <f>IF(LN_IG1=0,0,LN_IG2/LN_IG1)</f>
        <v>0.22314473939159077</v>
      </c>
      <c r="E223" s="367">
        <f t="shared" si="24"/>
        <v>-1.5130692966088322E-2</v>
      </c>
      <c r="F223" s="362">
        <f t="shared" si="25"/>
        <v>-6.3500852002968539E-2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6</v>
      </c>
      <c r="D224" s="369">
        <v>5</v>
      </c>
      <c r="E224" s="369">
        <f t="shared" si="24"/>
        <v>-1</v>
      </c>
      <c r="F224" s="362">
        <f t="shared" si="25"/>
        <v>-0.16666666666666666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0.62829999999999997</v>
      </c>
      <c r="D225" s="372">
        <v>0.874</v>
      </c>
      <c r="E225" s="373">
        <f t="shared" si="24"/>
        <v>0.24570000000000003</v>
      </c>
      <c r="F225" s="362">
        <f t="shared" si="25"/>
        <v>0.3910552283940793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3.7698</v>
      </c>
      <c r="D226" s="376">
        <f>LN_IG3*LN_IG4</f>
        <v>4.37</v>
      </c>
      <c r="E226" s="376">
        <f t="shared" si="24"/>
        <v>0.60020000000000007</v>
      </c>
      <c r="F226" s="362">
        <f t="shared" si="25"/>
        <v>0.15921269032839941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4159.1065839036555</v>
      </c>
      <c r="D227" s="378">
        <f>IF(LN_IG5=0,0,LN_IG2/LN_IG5)</f>
        <v>5270.7093821510298</v>
      </c>
      <c r="E227" s="378">
        <f t="shared" si="24"/>
        <v>1111.6027982473743</v>
      </c>
      <c r="F227" s="362">
        <f t="shared" si="25"/>
        <v>0.26726961087014167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17</v>
      </c>
      <c r="D228" s="369">
        <v>15</v>
      </c>
      <c r="E228" s="369">
        <f t="shared" si="24"/>
        <v>-2</v>
      </c>
      <c r="F228" s="362">
        <f t="shared" si="25"/>
        <v>-0.11764705882352941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922.29411764705878</v>
      </c>
      <c r="D229" s="378">
        <f>IF(LN_IG6=0,0,LN_IG2/LN_IG6)</f>
        <v>1535.5333333333333</v>
      </c>
      <c r="E229" s="378">
        <f t="shared" si="24"/>
        <v>613.23921568627452</v>
      </c>
      <c r="F229" s="362">
        <f t="shared" si="25"/>
        <v>0.66490635031996093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2.8333333333333335</v>
      </c>
      <c r="D230" s="379">
        <f>IF(LN_IG3=0,0,LN_IG6/LN_IG3)</f>
        <v>3</v>
      </c>
      <c r="E230" s="379">
        <f t="shared" si="24"/>
        <v>0.16666666666666652</v>
      </c>
      <c r="F230" s="362">
        <f t="shared" si="25"/>
        <v>5.882352941176465E-2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212408</v>
      </c>
      <c r="D233" s="361">
        <v>300717</v>
      </c>
      <c r="E233" s="361">
        <f>D233-C233</f>
        <v>88309</v>
      </c>
      <c r="F233" s="362">
        <f>IF(C233=0,0,E233/C233)</f>
        <v>0.41575176076230652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62550</v>
      </c>
      <c r="D234" s="361">
        <v>74027</v>
      </c>
      <c r="E234" s="361">
        <f>D234-C234</f>
        <v>11477</v>
      </c>
      <c r="F234" s="362">
        <f>IF(C234=0,0,E234/C234)</f>
        <v>0.18348521183053557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278210</v>
      </c>
      <c r="D237" s="361">
        <f>LN_IG1+LN_IG9</f>
        <v>403937</v>
      </c>
      <c r="E237" s="361">
        <f>D237-C237</f>
        <v>125727</v>
      </c>
      <c r="F237" s="362">
        <f>IF(C237=0,0,E237/C237)</f>
        <v>0.45191402178210704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78229</v>
      </c>
      <c r="D238" s="361">
        <f>LN_IG2+LN_IG10</f>
        <v>97060</v>
      </c>
      <c r="E238" s="361">
        <f>D238-C238</f>
        <v>18831</v>
      </c>
      <c r="F238" s="362">
        <f>IF(C238=0,0,E238/C238)</f>
        <v>0.2407163583837196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199981</v>
      </c>
      <c r="D239" s="361">
        <f>LN_IG13-LN_IG14</f>
        <v>306877</v>
      </c>
      <c r="E239" s="361">
        <f>D239-C239</f>
        <v>106896</v>
      </c>
      <c r="F239" s="362">
        <f>IF(C239=0,0,E239/C239)</f>
        <v>0.53453078042414026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3580001</v>
      </c>
      <c r="D243" s="361">
        <v>3523807</v>
      </c>
      <c r="E243" s="353">
        <f>D243-C243</f>
        <v>-56194</v>
      </c>
      <c r="F243" s="415">
        <f>IF(C243=0,0,E243/C243)</f>
        <v>-1.5696643660155402E-2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98752754</v>
      </c>
      <c r="D244" s="361">
        <v>91802230</v>
      </c>
      <c r="E244" s="353">
        <f>D244-C244</f>
        <v>-6950524</v>
      </c>
      <c r="F244" s="415">
        <f>IF(C244=0,0,E244/C244)</f>
        <v>-7.0383090278170871E-2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319679</v>
      </c>
      <c r="D245" s="400">
        <v>351378</v>
      </c>
      <c r="E245" s="400">
        <f>D245-C245</f>
        <v>31699</v>
      </c>
      <c r="F245" s="401">
        <f>IF(C245=0,0,E245/C245)</f>
        <v>9.915884371510171E-2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1620381</v>
      </c>
      <c r="D248" s="353">
        <v>2208785</v>
      </c>
      <c r="E248" s="353">
        <f>D248-C248</f>
        <v>588404</v>
      </c>
      <c r="F248" s="362">
        <f>IF(C248=0,0,E248/C248)</f>
        <v>0.36312694360153569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4081840</v>
      </c>
      <c r="D249" s="353">
        <v>3065190</v>
      </c>
      <c r="E249" s="353">
        <f>D249-C249</f>
        <v>-1016650</v>
      </c>
      <c r="F249" s="362">
        <f>IF(C249=0,0,E249/C249)</f>
        <v>-0.24906659741685122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5702221</v>
      </c>
      <c r="D250" s="353">
        <f>LN_IH4+LN_IH5</f>
        <v>5273975</v>
      </c>
      <c r="E250" s="353">
        <f>D250-C250</f>
        <v>-428246</v>
      </c>
      <c r="F250" s="362">
        <f>IF(C250=0,0,E250/C250)</f>
        <v>-7.5101613914999088E-2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2134972.7198346076</v>
      </c>
      <c r="D251" s="353">
        <f>LN_IH6*LN_III10</f>
        <v>1874149.8402258465</v>
      </c>
      <c r="E251" s="353">
        <f>D251-C251</f>
        <v>-260822.87960876105</v>
      </c>
      <c r="F251" s="362">
        <f>IF(C251=0,0,E251/C251)</f>
        <v>-0.12216684418757656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10949332</v>
      </c>
      <c r="D254" s="353">
        <f>LN_IF23</f>
        <v>16605372</v>
      </c>
      <c r="E254" s="353">
        <f>D254-C254</f>
        <v>5656040</v>
      </c>
      <c r="F254" s="362">
        <f>IF(C254=0,0,E254/C254)</f>
        <v>0.51656484614769194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3135796</v>
      </c>
      <c r="D255" s="353">
        <f>LN_IF24</f>
        <v>4417137</v>
      </c>
      <c r="E255" s="353">
        <f>D255-C255</f>
        <v>1281341</v>
      </c>
      <c r="F255" s="362">
        <f>IF(C255=0,0,E255/C255)</f>
        <v>0.40861746108484098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4099547.3729292685</v>
      </c>
      <c r="D256" s="353">
        <f>LN_IH8*LN_III10</f>
        <v>5900853.7736130236</v>
      </c>
      <c r="E256" s="353">
        <f>D256-C256</f>
        <v>1801306.4006837551</v>
      </c>
      <c r="F256" s="362">
        <f>IF(C256=0,0,E256/C256)</f>
        <v>0.43939153199653336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963751.37292926852</v>
      </c>
      <c r="D257" s="353">
        <f>LN_IH10-LN_IH9</f>
        <v>1483716.7736130236</v>
      </c>
      <c r="E257" s="353">
        <f>D257-C257</f>
        <v>519965.40068375506</v>
      </c>
      <c r="F257" s="362">
        <f>IF(C257=0,0,E257/C257)</f>
        <v>0.53952234496263207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73007025</v>
      </c>
      <c r="D261" s="361">
        <f>LN_IA1+LN_IB1+LN_IF1+LN_IG1</f>
        <v>70265597</v>
      </c>
      <c r="E261" s="361">
        <f t="shared" ref="E261:E274" si="26">D261-C261</f>
        <v>-2741428</v>
      </c>
      <c r="F261" s="415">
        <f t="shared" ref="F261:F274" si="27">IF(C261=0,0,E261/C261)</f>
        <v>-3.7550194655925233E-2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26296377</v>
      </c>
      <c r="D262" s="361">
        <f>+LN_IA2+LN_IB2+LN_IF2+LN_IG2</f>
        <v>24581836</v>
      </c>
      <c r="E262" s="361">
        <f t="shared" si="26"/>
        <v>-1714541</v>
      </c>
      <c r="F262" s="415">
        <f t="shared" si="27"/>
        <v>-6.520065482784948E-2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0.36018968037664867</v>
      </c>
      <c r="D263" s="366">
        <f>IF(LN_IIA1=0,0,LN_IIA2/LN_IIA1)</f>
        <v>0.34984170133785386</v>
      </c>
      <c r="E263" s="367">
        <f t="shared" si="26"/>
        <v>-1.0347979038794808E-2</v>
      </c>
      <c r="F263" s="371">
        <f t="shared" si="27"/>
        <v>-2.8729249066697233E-2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2774</v>
      </c>
      <c r="D264" s="369">
        <f>LN_IA4+LN_IB4+LN_IF4+LN_IG3</f>
        <v>2512</v>
      </c>
      <c r="E264" s="369">
        <f t="shared" si="26"/>
        <v>-262</v>
      </c>
      <c r="F264" s="415">
        <f t="shared" si="27"/>
        <v>-9.4448449891852915E-2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1.2982345710165824</v>
      </c>
      <c r="D265" s="439">
        <f>IF(LN_IIA4=0,0,LN_IIA6/LN_IIA4)</f>
        <v>1.3054694665605093</v>
      </c>
      <c r="E265" s="439">
        <f t="shared" si="26"/>
        <v>7.234895543926978E-3</v>
      </c>
      <c r="F265" s="415">
        <f t="shared" si="27"/>
        <v>5.5728723494566116E-3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3601.3026999999997</v>
      </c>
      <c r="D266" s="376">
        <f>LN_IA6+LN_IB6+LN_IF6+LN_IG5</f>
        <v>3279.3392999999996</v>
      </c>
      <c r="E266" s="376">
        <f t="shared" si="26"/>
        <v>-321.96340000000009</v>
      </c>
      <c r="F266" s="415">
        <f t="shared" si="27"/>
        <v>-8.9401926697247669E-2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157824683</v>
      </c>
      <c r="D267" s="361">
        <f>LN_IA11+LN_IB13+LN_IF14+LN_IG9</f>
        <v>169862103</v>
      </c>
      <c r="E267" s="361">
        <f t="shared" si="26"/>
        <v>12037420</v>
      </c>
      <c r="F267" s="415">
        <f t="shared" si="27"/>
        <v>7.627083274420389E-2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2.1617739251804879</v>
      </c>
      <c r="D268" s="366">
        <f>IF(LN_IIA1=0,0,LN_IIA7/LN_IIA1)</f>
        <v>2.4174291581127534</v>
      </c>
      <c r="E268" s="367">
        <f t="shared" si="26"/>
        <v>0.25565523293226544</v>
      </c>
      <c r="F268" s="371">
        <f t="shared" si="27"/>
        <v>0.11826178026960919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59809811</v>
      </c>
      <c r="D269" s="361">
        <f>LN_IA12+LN_IB14+LN_IF15+LN_IG10</f>
        <v>60398114</v>
      </c>
      <c r="E269" s="361">
        <f t="shared" si="26"/>
        <v>588303</v>
      </c>
      <c r="F269" s="415">
        <f t="shared" si="27"/>
        <v>9.8362290427568815E-3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0.37896360609195712</v>
      </c>
      <c r="D270" s="366">
        <f>IF(LN_IIA7=0,0,LN_IIA9/LN_IIA7)</f>
        <v>0.35557144844721483</v>
      </c>
      <c r="E270" s="367">
        <f t="shared" si="26"/>
        <v>-2.3392157644742284E-2</v>
      </c>
      <c r="F270" s="371">
        <f t="shared" si="27"/>
        <v>-6.1726659944929062E-2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230831708</v>
      </c>
      <c r="D271" s="353">
        <f>LN_IIA1+LN_IIA7</f>
        <v>240127700</v>
      </c>
      <c r="E271" s="353">
        <f t="shared" si="26"/>
        <v>9295992</v>
      </c>
      <c r="F271" s="415">
        <f t="shared" si="27"/>
        <v>4.0271729046860411E-2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86106188</v>
      </c>
      <c r="D272" s="353">
        <f>LN_IIA2+LN_IIA9</f>
        <v>84979950</v>
      </c>
      <c r="E272" s="353">
        <f t="shared" si="26"/>
        <v>-1126238</v>
      </c>
      <c r="F272" s="415">
        <f t="shared" si="27"/>
        <v>-1.3079640687380099E-2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0.37302582364464415</v>
      </c>
      <c r="D273" s="366">
        <f>IF(LN_IIA11=0,0,LN_IIA12/LN_IIA11)</f>
        <v>0.35389482346268258</v>
      </c>
      <c r="E273" s="367">
        <f t="shared" si="26"/>
        <v>-1.9131000181961566E-2</v>
      </c>
      <c r="F273" s="371">
        <f t="shared" si="27"/>
        <v>-5.1285994076877485E-2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9874</v>
      </c>
      <c r="D274" s="421">
        <f>LN_IA8+LN_IB10+LN_IF11+LN_IG6</f>
        <v>9382</v>
      </c>
      <c r="E274" s="442">
        <f t="shared" si="26"/>
        <v>-492</v>
      </c>
      <c r="F274" s="371">
        <f t="shared" si="27"/>
        <v>-4.9827830666396594E-2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43459433</v>
      </c>
      <c r="D277" s="361">
        <f>LN_IA1+LN_IF1+LN_IG1</f>
        <v>43902016</v>
      </c>
      <c r="E277" s="361">
        <f t="shared" ref="E277:E291" si="28">D277-C277</f>
        <v>442583</v>
      </c>
      <c r="F277" s="415">
        <f t="shared" ref="F277:F291" si="29">IF(C277=0,0,E277/C277)</f>
        <v>1.0183819011168415E-2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14326895</v>
      </c>
      <c r="D278" s="361">
        <f>LN_IA2+LN_IF2+LN_IG2</f>
        <v>14005202</v>
      </c>
      <c r="E278" s="361">
        <f t="shared" si="28"/>
        <v>-321693</v>
      </c>
      <c r="F278" s="415">
        <f t="shared" si="29"/>
        <v>-2.2453783600703433E-2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0.3296613418771478</v>
      </c>
      <c r="D279" s="366">
        <f>IF(D277=0,0,LN_IIB2/D277)</f>
        <v>0.31901045273182899</v>
      </c>
      <c r="E279" s="367">
        <f t="shared" si="28"/>
        <v>-1.0650889145318809E-2</v>
      </c>
      <c r="F279" s="371">
        <f t="shared" si="29"/>
        <v>-3.2308577902009479E-2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1489</v>
      </c>
      <c r="D280" s="369">
        <f>LN_IA4+LN_IF4+LN_IG3</f>
        <v>1455</v>
      </c>
      <c r="E280" s="369">
        <f t="shared" si="28"/>
        <v>-34</v>
      </c>
      <c r="F280" s="415">
        <f t="shared" si="29"/>
        <v>-2.2834116856950974E-2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1.4362573539288113</v>
      </c>
      <c r="D281" s="439">
        <f>IF(LN_IIB4=0,0,LN_IIB6/LN_IIB4)</f>
        <v>1.410420824742268</v>
      </c>
      <c r="E281" s="439">
        <f t="shared" si="28"/>
        <v>-2.5836529186543222E-2</v>
      </c>
      <c r="F281" s="415">
        <f t="shared" si="29"/>
        <v>-1.7988788092794559E-2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2138.5871999999999</v>
      </c>
      <c r="D282" s="376">
        <f>LN_IA6+LN_IF6+LN_IG5</f>
        <v>2052.1623</v>
      </c>
      <c r="E282" s="376">
        <f t="shared" si="28"/>
        <v>-86.42489999999998</v>
      </c>
      <c r="F282" s="415">
        <f t="shared" si="29"/>
        <v>-4.0412146860319742E-2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72173246</v>
      </c>
      <c r="D283" s="361">
        <f>LN_IA11+LN_IF14+LN_IG9</f>
        <v>80369355</v>
      </c>
      <c r="E283" s="361">
        <f t="shared" si="28"/>
        <v>8196109</v>
      </c>
      <c r="F283" s="415">
        <f t="shared" si="29"/>
        <v>0.11356159594096682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1.6607038108389496</v>
      </c>
      <c r="D284" s="366">
        <f>IF(D277=0,0,LN_IIB7/D277)</f>
        <v>1.8306529476915137</v>
      </c>
      <c r="E284" s="367">
        <f t="shared" si="28"/>
        <v>0.16994913685256408</v>
      </c>
      <c r="F284" s="371">
        <f t="shared" si="29"/>
        <v>0.1023356096032017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15917535</v>
      </c>
      <c r="D285" s="361">
        <f>LN_IA12+LN_IF15+LN_IG10</f>
        <v>16349247</v>
      </c>
      <c r="E285" s="361">
        <f t="shared" si="28"/>
        <v>431712</v>
      </c>
      <c r="F285" s="415">
        <f t="shared" si="29"/>
        <v>2.7121787387305887E-2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0.22054619796371636</v>
      </c>
      <c r="D286" s="366">
        <f>IF(LN_IIB7=0,0,LN_IIB9/LN_IIB7)</f>
        <v>0.20342638061485002</v>
      </c>
      <c r="E286" s="367">
        <f t="shared" si="28"/>
        <v>-1.7119817348866334E-2</v>
      </c>
      <c r="F286" s="371">
        <f t="shared" si="29"/>
        <v>-7.7624631514540271E-2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115632679</v>
      </c>
      <c r="D287" s="353">
        <f>D277+LN_IIB7</f>
        <v>124271371</v>
      </c>
      <c r="E287" s="353">
        <f t="shared" si="28"/>
        <v>8638692</v>
      </c>
      <c r="F287" s="415">
        <f t="shared" si="29"/>
        <v>7.4708050308165908E-2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30244430</v>
      </c>
      <c r="D288" s="353">
        <f>LN_IIB2+LN_IIB9</f>
        <v>30354449</v>
      </c>
      <c r="E288" s="353">
        <f t="shared" si="28"/>
        <v>110019</v>
      </c>
      <c r="F288" s="415">
        <f t="shared" si="29"/>
        <v>3.6376615462748018E-3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0.26155607793191404</v>
      </c>
      <c r="D289" s="366">
        <f>IF(LN_IIB11=0,0,LN_IIB12/LN_IIB11)</f>
        <v>0.244259387787715</v>
      </c>
      <c r="E289" s="367">
        <f t="shared" si="28"/>
        <v>-1.7296690144199045E-2</v>
      </c>
      <c r="F289" s="371">
        <f t="shared" si="29"/>
        <v>-6.6129949190863638E-2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6016</v>
      </c>
      <c r="D290" s="421">
        <f>LN_IA8+LN_IF11+LN_IG6</f>
        <v>6144</v>
      </c>
      <c r="E290" s="442">
        <f t="shared" si="28"/>
        <v>128</v>
      </c>
      <c r="F290" s="371">
        <f t="shared" si="29"/>
        <v>2.1276595744680851E-2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85388249</v>
      </c>
      <c r="D291" s="429">
        <f>LN_IIB11-LN_IIB12</f>
        <v>93916922</v>
      </c>
      <c r="E291" s="353">
        <f t="shared" si="28"/>
        <v>8528673</v>
      </c>
      <c r="F291" s="415">
        <f t="shared" si="29"/>
        <v>9.9881108933384963E-2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4.302884615384615</v>
      </c>
      <c r="D294" s="379">
        <f>IF(LN_IA4=0,0,LN_IA8/LN_IA4)</f>
        <v>4.328191945158526</v>
      </c>
      <c r="E294" s="379">
        <f t="shared" ref="E294:E300" si="30">D294-C294</f>
        <v>2.5307329773911036E-2</v>
      </c>
      <c r="F294" s="415">
        <f t="shared" ref="F294:F300" si="31">IF(C294=0,0,E294/C294)</f>
        <v>5.8814799921491573E-3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3.0023346303501945</v>
      </c>
      <c r="D295" s="379">
        <f>IF(LN_IB4=0,0,(LN_IB10)/(LN_IB4))</f>
        <v>3.0633869441816461</v>
      </c>
      <c r="E295" s="379">
        <f t="shared" si="30"/>
        <v>6.1052313831451599E-2</v>
      </c>
      <c r="F295" s="415">
        <f t="shared" si="31"/>
        <v>2.033494641612631E-2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3.15</v>
      </c>
      <c r="D296" s="379">
        <f>IF(LN_IC4=0,0,LN_IC11/LN_IC4)</f>
        <v>2.8235294117647061</v>
      </c>
      <c r="E296" s="379">
        <f t="shared" si="30"/>
        <v>-0.32647058823529385</v>
      </c>
      <c r="F296" s="415">
        <f t="shared" si="31"/>
        <v>-0.10364145658263298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2.6634615384615383</v>
      </c>
      <c r="D297" s="379">
        <f>IF(LN_ID4=0,0,LN_ID11/LN_ID4)</f>
        <v>3.7658730158730158</v>
      </c>
      <c r="E297" s="379">
        <f t="shared" si="30"/>
        <v>1.1024114774114775</v>
      </c>
      <c r="F297" s="415">
        <f t="shared" si="31"/>
        <v>0.41390178213282913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2.7777777777777777</v>
      </c>
      <c r="D298" s="379">
        <f>IF(LN_IE4=0,0,LN_IE11/LN_IE4)</f>
        <v>4.161290322580645</v>
      </c>
      <c r="E298" s="379">
        <f t="shared" si="30"/>
        <v>1.3835125448028673</v>
      </c>
      <c r="F298" s="415">
        <f t="shared" si="31"/>
        <v>0.49806451612903224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2.8333333333333335</v>
      </c>
      <c r="D299" s="379">
        <f>IF(LN_IG3=0,0,LN_IG6/LN_IG3)</f>
        <v>3</v>
      </c>
      <c r="E299" s="379">
        <f t="shared" si="30"/>
        <v>0.16666666666666652</v>
      </c>
      <c r="F299" s="415">
        <f t="shared" si="31"/>
        <v>5.882352941176465E-2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3.5594808940158615</v>
      </c>
      <c r="D300" s="379">
        <f>IF(LN_IIA4=0,0,LN_IIA14/LN_IIA4)</f>
        <v>3.7348726114649682</v>
      </c>
      <c r="E300" s="379">
        <f t="shared" si="30"/>
        <v>0.17539171744910664</v>
      </c>
      <c r="F300" s="415">
        <f t="shared" si="31"/>
        <v>4.9274521389894861E-2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230831708</v>
      </c>
      <c r="D304" s="353">
        <f>LN_IIA11</f>
        <v>240127700</v>
      </c>
      <c r="E304" s="353">
        <f t="shared" ref="E304:E316" si="32">D304-C304</f>
        <v>9295992</v>
      </c>
      <c r="F304" s="362">
        <f>IF(C304=0,0,E304/C304)</f>
        <v>4.0271729046860411E-2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85388249</v>
      </c>
      <c r="D305" s="353">
        <f>LN_IIB14</f>
        <v>93916922</v>
      </c>
      <c r="E305" s="353">
        <f t="shared" si="32"/>
        <v>8528673</v>
      </c>
      <c r="F305" s="362">
        <f>IF(C305=0,0,E305/C305)</f>
        <v>9.9881108933384963E-2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5702221</v>
      </c>
      <c r="D306" s="353">
        <f>LN_IH6</f>
        <v>5273975</v>
      </c>
      <c r="E306" s="353">
        <f t="shared" si="32"/>
        <v>-428246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53635049</v>
      </c>
      <c r="D307" s="353">
        <f>LN_IB32-LN_IB33</f>
        <v>55956853</v>
      </c>
      <c r="E307" s="353">
        <f t="shared" si="32"/>
        <v>2321804</v>
      </c>
      <c r="F307" s="362">
        <f t="shared" ref="F307:F316" si="33">IF(C307=0,0,E307/C307)</f>
        <v>4.3288932205506142E-2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144725519</v>
      </c>
      <c r="D309" s="353">
        <f>LN_III2+LN_III3+LN_III4+LN_III5</f>
        <v>155147750</v>
      </c>
      <c r="E309" s="353">
        <f t="shared" si="32"/>
        <v>10422231</v>
      </c>
      <c r="F309" s="362">
        <f t="shared" si="33"/>
        <v>7.2013775262398605E-2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86106189</v>
      </c>
      <c r="D310" s="353">
        <f>LN_III1-LN_III6</f>
        <v>84979950</v>
      </c>
      <c r="E310" s="353">
        <f t="shared" si="32"/>
        <v>-1126239</v>
      </c>
      <c r="F310" s="362">
        <f t="shared" si="33"/>
        <v>-1.3079652149045872E-2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319679</v>
      </c>
      <c r="D311" s="353">
        <f>LN_IH3</f>
        <v>351378</v>
      </c>
      <c r="E311" s="353">
        <f t="shared" si="32"/>
        <v>31699</v>
      </c>
      <c r="F311" s="362">
        <f t="shared" si="33"/>
        <v>9.915884371510171E-2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86425868</v>
      </c>
      <c r="D312" s="353">
        <f>LN_III7+LN_III8</f>
        <v>85331328</v>
      </c>
      <c r="E312" s="353">
        <f t="shared" si="32"/>
        <v>-1094540</v>
      </c>
      <c r="F312" s="362">
        <f t="shared" si="33"/>
        <v>-1.2664495310593814E-2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0.37441072870283487</v>
      </c>
      <c r="D313" s="448">
        <f>IF(LN_III1=0,0,LN_III9/LN_III1)</f>
        <v>0.35535811986705407</v>
      </c>
      <c r="E313" s="448">
        <f t="shared" si="32"/>
        <v>-1.9052608835780804E-2</v>
      </c>
      <c r="F313" s="362">
        <f t="shared" si="33"/>
        <v>-5.088692009919038E-2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2134972.7198346076</v>
      </c>
      <c r="D314" s="353">
        <f>D313*LN_III5</f>
        <v>1874149.8402258465</v>
      </c>
      <c r="E314" s="353">
        <f t="shared" si="32"/>
        <v>-260822.87960876105</v>
      </c>
      <c r="F314" s="362">
        <f t="shared" si="33"/>
        <v>-0.12216684418757656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963751.37292926852</v>
      </c>
      <c r="D315" s="353">
        <f>D313*LN_IH8-LN_IH9</f>
        <v>1483716.7736130236</v>
      </c>
      <c r="E315" s="353">
        <f t="shared" si="32"/>
        <v>519965.40068375506</v>
      </c>
      <c r="F315" s="362">
        <f t="shared" si="33"/>
        <v>0.53952234496263207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3098724.0927638761</v>
      </c>
      <c r="D318" s="353">
        <f>D314+D315+D316</f>
        <v>3357866.6138388701</v>
      </c>
      <c r="E318" s="353">
        <f>D318-C318</f>
        <v>259142.521074994</v>
      </c>
      <c r="F318" s="362">
        <f>IF(C318=0,0,E318/C318)</f>
        <v>8.3628781820279594E-2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2192937.9720019381</v>
      </c>
      <c r="D322" s="353">
        <f>LN_ID22</f>
        <v>983733.19542212086</v>
      </c>
      <c r="E322" s="353">
        <f>LN_IV2-C322</f>
        <v>-1209204.7765798173</v>
      </c>
      <c r="F322" s="362">
        <f>IF(C322=0,0,E322/C322)</f>
        <v>-0.55140856331468946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180767.61329669092</v>
      </c>
      <c r="D323" s="353">
        <f>LN_IE10+LN_IE22</f>
        <v>123784.40844023635</v>
      </c>
      <c r="E323" s="353">
        <f>LN_IV3-C323</f>
        <v>-56983.204856454569</v>
      </c>
      <c r="F323" s="362">
        <f>IF(C323=0,0,E323/C323)</f>
        <v>-0.31522906021295399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1367556.8107238133</v>
      </c>
      <c r="D324" s="353">
        <f>LN_IC10+LN_IC22</f>
        <v>1481898.0753318528</v>
      </c>
      <c r="E324" s="353">
        <f>LN_IV1-C324</f>
        <v>114341.26460803952</v>
      </c>
      <c r="F324" s="362">
        <f>IF(C324=0,0,E324/C324)</f>
        <v>8.3609882756915652E-2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3741262.3960224423</v>
      </c>
      <c r="D325" s="429">
        <f>LN_IV1+LN_IV2+LN_IV3</f>
        <v>2589415.6791942101</v>
      </c>
      <c r="E325" s="353">
        <f>LN_IV4-C325</f>
        <v>-1151846.7168282322</v>
      </c>
      <c r="F325" s="362">
        <f>IF(C325=0,0,E325/C325)</f>
        <v>-0.30787648523472416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3220173</v>
      </c>
      <c r="D330" s="429">
        <v>3065190</v>
      </c>
      <c r="E330" s="431">
        <f t="shared" si="34"/>
        <v>-154983</v>
      </c>
      <c r="F330" s="463">
        <f t="shared" si="35"/>
        <v>-4.8128780658678899E-2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89646041</v>
      </c>
      <c r="D331" s="429">
        <v>88396564</v>
      </c>
      <c r="E331" s="431">
        <f t="shared" si="34"/>
        <v>-1249477</v>
      </c>
      <c r="F331" s="462">
        <f t="shared" si="35"/>
        <v>-1.393789381061457E-2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230831708</v>
      </c>
      <c r="D333" s="429">
        <v>240127700</v>
      </c>
      <c r="E333" s="431">
        <f t="shared" si="34"/>
        <v>9295992</v>
      </c>
      <c r="F333" s="462">
        <f t="shared" si="35"/>
        <v>4.0271729046860411E-2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904175</v>
      </c>
      <c r="D334" s="429">
        <v>386008</v>
      </c>
      <c r="E334" s="429">
        <f t="shared" si="34"/>
        <v>-518167</v>
      </c>
      <c r="F334" s="463">
        <f t="shared" si="35"/>
        <v>-0.57308264439959078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6606397</v>
      </c>
      <c r="D335" s="429">
        <v>5659983</v>
      </c>
      <c r="E335" s="429">
        <f t="shared" si="34"/>
        <v>-946414</v>
      </c>
      <c r="F335" s="462">
        <f t="shared" si="35"/>
        <v>-0.14325720964089805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FILING&amp;RNEW 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3"/>
  <sheetViews>
    <sheetView zoomScale="75" zoomScaleSheetLayoutView="68" workbookViewId="0">
      <selection activeCell="A4" sqref="A4:E4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8.85546875" style="330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29547592</v>
      </c>
      <c r="D14" s="513">
        <v>26363581</v>
      </c>
      <c r="E14" s="514">
        <f t="shared" ref="E14:E22" si="0">D14-C14</f>
        <v>-3184011</v>
      </c>
    </row>
    <row r="15" spans="1:5" s="506" customFormat="1" x14ac:dyDescent="0.2">
      <c r="A15" s="512">
        <v>2</v>
      </c>
      <c r="B15" s="511" t="s">
        <v>600</v>
      </c>
      <c r="C15" s="513">
        <v>40456850</v>
      </c>
      <c r="D15" s="515">
        <v>38429316</v>
      </c>
      <c r="E15" s="514">
        <f t="shared" si="0"/>
        <v>-2027534</v>
      </c>
    </row>
    <row r="16" spans="1:5" s="506" customFormat="1" x14ac:dyDescent="0.2">
      <c r="A16" s="512">
        <v>3</v>
      </c>
      <c r="B16" s="511" t="s">
        <v>746</v>
      </c>
      <c r="C16" s="513">
        <v>2936781</v>
      </c>
      <c r="D16" s="515">
        <v>5369480</v>
      </c>
      <c r="E16" s="514">
        <f t="shared" si="0"/>
        <v>2432699</v>
      </c>
    </row>
    <row r="17" spans="1:5" s="506" customFormat="1" x14ac:dyDescent="0.2">
      <c r="A17" s="512">
        <v>4</v>
      </c>
      <c r="B17" s="511" t="s">
        <v>114</v>
      </c>
      <c r="C17" s="513">
        <v>2441592</v>
      </c>
      <c r="D17" s="515">
        <v>4407849</v>
      </c>
      <c r="E17" s="514">
        <f t="shared" si="0"/>
        <v>1966257</v>
      </c>
    </row>
    <row r="18" spans="1:5" s="506" customFormat="1" x14ac:dyDescent="0.2">
      <c r="A18" s="512">
        <v>5</v>
      </c>
      <c r="B18" s="511" t="s">
        <v>713</v>
      </c>
      <c r="C18" s="513">
        <v>495189</v>
      </c>
      <c r="D18" s="515">
        <v>961631</v>
      </c>
      <c r="E18" s="514">
        <f t="shared" si="0"/>
        <v>466442</v>
      </c>
    </row>
    <row r="19" spans="1:5" s="506" customFormat="1" x14ac:dyDescent="0.2">
      <c r="A19" s="512">
        <v>6</v>
      </c>
      <c r="B19" s="511" t="s">
        <v>418</v>
      </c>
      <c r="C19" s="513">
        <v>65802</v>
      </c>
      <c r="D19" s="515">
        <v>103220</v>
      </c>
      <c r="E19" s="514">
        <f t="shared" si="0"/>
        <v>37418</v>
      </c>
    </row>
    <row r="20" spans="1:5" s="506" customFormat="1" x14ac:dyDescent="0.2">
      <c r="A20" s="512">
        <v>7</v>
      </c>
      <c r="B20" s="511" t="s">
        <v>728</v>
      </c>
      <c r="C20" s="513">
        <v>1206064</v>
      </c>
      <c r="D20" s="515">
        <v>947053</v>
      </c>
      <c r="E20" s="514">
        <f t="shared" si="0"/>
        <v>-259011</v>
      </c>
    </row>
    <row r="21" spans="1:5" s="506" customFormat="1" x14ac:dyDescent="0.2">
      <c r="A21" s="512"/>
      <c r="B21" s="516" t="s">
        <v>747</v>
      </c>
      <c r="C21" s="517">
        <f>SUM(C15+C16+C19)</f>
        <v>43459433</v>
      </c>
      <c r="D21" s="517">
        <f>SUM(D15+D16+D19)</f>
        <v>43902016</v>
      </c>
      <c r="E21" s="517">
        <f t="shared" si="0"/>
        <v>442583</v>
      </c>
    </row>
    <row r="22" spans="1:5" s="506" customFormat="1" x14ac:dyDescent="0.2">
      <c r="A22" s="512"/>
      <c r="B22" s="516" t="s">
        <v>687</v>
      </c>
      <c r="C22" s="517">
        <f>SUM(C14+C21)</f>
        <v>73007025</v>
      </c>
      <c r="D22" s="517">
        <f>SUM(D14+D21)</f>
        <v>70265597</v>
      </c>
      <c r="E22" s="517">
        <f t="shared" si="0"/>
        <v>-2741428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85651437</v>
      </c>
      <c r="D25" s="513">
        <v>89492748</v>
      </c>
      <c r="E25" s="514">
        <f t="shared" ref="E25:E33" si="1">D25-C25</f>
        <v>3841311</v>
      </c>
    </row>
    <row r="26" spans="1:5" s="506" customFormat="1" x14ac:dyDescent="0.2">
      <c r="A26" s="512">
        <v>2</v>
      </c>
      <c r="B26" s="511" t="s">
        <v>600</v>
      </c>
      <c r="C26" s="513">
        <v>63948287</v>
      </c>
      <c r="D26" s="515">
        <v>68832746</v>
      </c>
      <c r="E26" s="514">
        <f t="shared" si="1"/>
        <v>4884459</v>
      </c>
    </row>
    <row r="27" spans="1:5" s="506" customFormat="1" x14ac:dyDescent="0.2">
      <c r="A27" s="512">
        <v>3</v>
      </c>
      <c r="B27" s="511" t="s">
        <v>746</v>
      </c>
      <c r="C27" s="513">
        <v>8012551</v>
      </c>
      <c r="D27" s="515">
        <v>11235892</v>
      </c>
      <c r="E27" s="514">
        <f t="shared" si="1"/>
        <v>3223341</v>
      </c>
    </row>
    <row r="28" spans="1:5" s="506" customFormat="1" x14ac:dyDescent="0.2">
      <c r="A28" s="512">
        <v>4</v>
      </c>
      <c r="B28" s="511" t="s">
        <v>114</v>
      </c>
      <c r="C28" s="513">
        <v>6989617</v>
      </c>
      <c r="D28" s="515">
        <v>10470053</v>
      </c>
      <c r="E28" s="514">
        <f t="shared" si="1"/>
        <v>3480436</v>
      </c>
    </row>
    <row r="29" spans="1:5" s="506" customFormat="1" x14ac:dyDescent="0.2">
      <c r="A29" s="512">
        <v>5</v>
      </c>
      <c r="B29" s="511" t="s">
        <v>713</v>
      </c>
      <c r="C29" s="513">
        <v>1022934</v>
      </c>
      <c r="D29" s="515">
        <v>765839</v>
      </c>
      <c r="E29" s="514">
        <f t="shared" si="1"/>
        <v>-257095</v>
      </c>
    </row>
    <row r="30" spans="1:5" s="506" customFormat="1" x14ac:dyDescent="0.2">
      <c r="A30" s="512">
        <v>6</v>
      </c>
      <c r="B30" s="511" t="s">
        <v>418</v>
      </c>
      <c r="C30" s="513">
        <v>212408</v>
      </c>
      <c r="D30" s="515">
        <v>300717</v>
      </c>
      <c r="E30" s="514">
        <f t="shared" si="1"/>
        <v>88309</v>
      </c>
    </row>
    <row r="31" spans="1:5" s="506" customFormat="1" x14ac:dyDescent="0.2">
      <c r="A31" s="512">
        <v>7</v>
      </c>
      <c r="B31" s="511" t="s">
        <v>728</v>
      </c>
      <c r="C31" s="514">
        <v>3396201</v>
      </c>
      <c r="D31" s="518">
        <v>4062137</v>
      </c>
      <c r="E31" s="514">
        <f t="shared" si="1"/>
        <v>665936</v>
      </c>
    </row>
    <row r="32" spans="1:5" s="506" customFormat="1" x14ac:dyDescent="0.2">
      <c r="A32" s="512"/>
      <c r="B32" s="516" t="s">
        <v>749</v>
      </c>
      <c r="C32" s="517">
        <f>SUM(C26+C27+C30)</f>
        <v>72173246</v>
      </c>
      <c r="D32" s="517">
        <f>SUM(D26+D27+D30)</f>
        <v>80369355</v>
      </c>
      <c r="E32" s="517">
        <f t="shared" si="1"/>
        <v>8196109</v>
      </c>
    </row>
    <row r="33" spans="1:5" s="506" customFormat="1" x14ac:dyDescent="0.2">
      <c r="A33" s="512"/>
      <c r="B33" s="516" t="s">
        <v>693</v>
      </c>
      <c r="C33" s="517">
        <f>SUM(C25+C32)</f>
        <v>157824683</v>
      </c>
      <c r="D33" s="517">
        <f>SUM(D25+D32)</f>
        <v>169862103</v>
      </c>
      <c r="E33" s="517">
        <f t="shared" si="1"/>
        <v>12037420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115199029</v>
      </c>
      <c r="D36" s="514">
        <f t="shared" si="2"/>
        <v>115856329</v>
      </c>
      <c r="E36" s="514">
        <f t="shared" ref="E36:E44" si="3">D36-C36</f>
        <v>657300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104405137</v>
      </c>
      <c r="D37" s="514">
        <f t="shared" si="2"/>
        <v>107262062</v>
      </c>
      <c r="E37" s="514">
        <f t="shared" si="3"/>
        <v>2856925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10949332</v>
      </c>
      <c r="D38" s="514">
        <f t="shared" si="2"/>
        <v>16605372</v>
      </c>
      <c r="E38" s="514">
        <f t="shared" si="3"/>
        <v>5656040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9431209</v>
      </c>
      <c r="D39" s="514">
        <f t="shared" si="2"/>
        <v>14877902</v>
      </c>
      <c r="E39" s="514">
        <f t="shared" si="3"/>
        <v>5446693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1518123</v>
      </c>
      <c r="D40" s="514">
        <f t="shared" si="2"/>
        <v>1727470</v>
      </c>
      <c r="E40" s="514">
        <f t="shared" si="3"/>
        <v>209347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278210</v>
      </c>
      <c r="D41" s="514">
        <f t="shared" si="2"/>
        <v>403937</v>
      </c>
      <c r="E41" s="514">
        <f t="shared" si="3"/>
        <v>125727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4602265</v>
      </c>
      <c r="D42" s="514">
        <f t="shared" si="2"/>
        <v>5009190</v>
      </c>
      <c r="E42" s="514">
        <f t="shared" si="3"/>
        <v>406925</v>
      </c>
    </row>
    <row r="43" spans="1:5" s="506" customFormat="1" x14ac:dyDescent="0.2">
      <c r="A43" s="512"/>
      <c r="B43" s="516" t="s">
        <v>757</v>
      </c>
      <c r="C43" s="517">
        <f>SUM(C37+C38+C41)</f>
        <v>115632679</v>
      </c>
      <c r="D43" s="517">
        <f>SUM(D37+D38+D41)</f>
        <v>124271371</v>
      </c>
      <c r="E43" s="517">
        <f t="shared" si="3"/>
        <v>8638692</v>
      </c>
    </row>
    <row r="44" spans="1:5" s="506" customFormat="1" x14ac:dyDescent="0.2">
      <c r="A44" s="512"/>
      <c r="B44" s="516" t="s">
        <v>695</v>
      </c>
      <c r="C44" s="517">
        <f>SUM(C36+C43)</f>
        <v>230831708</v>
      </c>
      <c r="D44" s="517">
        <f>SUM(D36+D43)</f>
        <v>240127700</v>
      </c>
      <c r="E44" s="517">
        <f t="shared" si="3"/>
        <v>9295992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11969482</v>
      </c>
      <c r="D47" s="513">
        <v>10576634</v>
      </c>
      <c r="E47" s="514">
        <f t="shared" ref="E47:E55" si="4">D47-C47</f>
        <v>-1392848</v>
      </c>
    </row>
    <row r="48" spans="1:5" s="506" customFormat="1" x14ac:dyDescent="0.2">
      <c r="A48" s="512">
        <v>2</v>
      </c>
      <c r="B48" s="511" t="s">
        <v>600</v>
      </c>
      <c r="C48" s="513">
        <v>13356718</v>
      </c>
      <c r="D48" s="515">
        <v>12568177</v>
      </c>
      <c r="E48" s="514">
        <f t="shared" si="4"/>
        <v>-788541</v>
      </c>
    </row>
    <row r="49" spans="1:5" s="506" customFormat="1" x14ac:dyDescent="0.2">
      <c r="A49" s="512">
        <v>3</v>
      </c>
      <c r="B49" s="511" t="s">
        <v>746</v>
      </c>
      <c r="C49" s="513">
        <v>954498</v>
      </c>
      <c r="D49" s="515">
        <v>1413992</v>
      </c>
      <c r="E49" s="514">
        <f t="shared" si="4"/>
        <v>459494</v>
      </c>
    </row>
    <row r="50" spans="1:5" s="506" customFormat="1" x14ac:dyDescent="0.2">
      <c r="A50" s="512">
        <v>4</v>
      </c>
      <c r="B50" s="511" t="s">
        <v>114</v>
      </c>
      <c r="C50" s="513">
        <v>810165</v>
      </c>
      <c r="D50" s="515">
        <v>1217702</v>
      </c>
      <c r="E50" s="514">
        <f t="shared" si="4"/>
        <v>407537</v>
      </c>
    </row>
    <row r="51" spans="1:5" s="506" customFormat="1" x14ac:dyDescent="0.2">
      <c r="A51" s="512">
        <v>5</v>
      </c>
      <c r="B51" s="511" t="s">
        <v>713</v>
      </c>
      <c r="C51" s="513">
        <v>144333</v>
      </c>
      <c r="D51" s="515">
        <v>196290</v>
      </c>
      <c r="E51" s="514">
        <f t="shared" si="4"/>
        <v>51957</v>
      </c>
    </row>
    <row r="52" spans="1:5" s="506" customFormat="1" x14ac:dyDescent="0.2">
      <c r="A52" s="512">
        <v>6</v>
      </c>
      <c r="B52" s="511" t="s">
        <v>418</v>
      </c>
      <c r="C52" s="513">
        <v>15679</v>
      </c>
      <c r="D52" s="515">
        <v>23033</v>
      </c>
      <c r="E52" s="514">
        <f t="shared" si="4"/>
        <v>7354</v>
      </c>
    </row>
    <row r="53" spans="1:5" s="506" customFormat="1" x14ac:dyDescent="0.2">
      <c r="A53" s="512">
        <v>7</v>
      </c>
      <c r="B53" s="511" t="s">
        <v>728</v>
      </c>
      <c r="C53" s="513">
        <v>65680</v>
      </c>
      <c r="D53" s="515">
        <v>51906</v>
      </c>
      <c r="E53" s="514">
        <f t="shared" si="4"/>
        <v>-13774</v>
      </c>
    </row>
    <row r="54" spans="1:5" s="506" customFormat="1" x14ac:dyDescent="0.2">
      <c r="A54" s="512"/>
      <c r="B54" s="516" t="s">
        <v>759</v>
      </c>
      <c r="C54" s="517">
        <f>SUM(C48+C49+C52)</f>
        <v>14326895</v>
      </c>
      <c r="D54" s="517">
        <f>SUM(D48+D49+D52)</f>
        <v>14005202</v>
      </c>
      <c r="E54" s="517">
        <f t="shared" si="4"/>
        <v>-321693</v>
      </c>
    </row>
    <row r="55" spans="1:5" s="506" customFormat="1" x14ac:dyDescent="0.2">
      <c r="A55" s="512"/>
      <c r="B55" s="516" t="s">
        <v>688</v>
      </c>
      <c r="C55" s="517">
        <f>SUM(C47+C54)</f>
        <v>26296377</v>
      </c>
      <c r="D55" s="517">
        <f>SUM(D47+D54)</f>
        <v>24581836</v>
      </c>
      <c r="E55" s="517">
        <f t="shared" si="4"/>
        <v>-1714541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43892276</v>
      </c>
      <c r="D58" s="513">
        <v>44048867</v>
      </c>
      <c r="E58" s="514">
        <f t="shared" ref="E58:E66" si="5">D58-C58</f>
        <v>156591</v>
      </c>
    </row>
    <row r="59" spans="1:5" s="506" customFormat="1" x14ac:dyDescent="0.2">
      <c r="A59" s="512">
        <v>2</v>
      </c>
      <c r="B59" s="511" t="s">
        <v>600</v>
      </c>
      <c r="C59" s="513">
        <v>13673687</v>
      </c>
      <c r="D59" s="515">
        <v>13272075</v>
      </c>
      <c r="E59" s="514">
        <f t="shared" si="5"/>
        <v>-401612</v>
      </c>
    </row>
    <row r="60" spans="1:5" s="506" customFormat="1" x14ac:dyDescent="0.2">
      <c r="A60" s="512">
        <v>3</v>
      </c>
      <c r="B60" s="511" t="s">
        <v>746</v>
      </c>
      <c r="C60" s="513">
        <f>C61+C62</f>
        <v>2181298</v>
      </c>
      <c r="D60" s="515">
        <f>D61+D62</f>
        <v>3003145</v>
      </c>
      <c r="E60" s="514">
        <f t="shared" si="5"/>
        <v>821847</v>
      </c>
    </row>
    <row r="61" spans="1:5" s="506" customFormat="1" x14ac:dyDescent="0.2">
      <c r="A61" s="512">
        <v>4</v>
      </c>
      <c r="B61" s="511" t="s">
        <v>114</v>
      </c>
      <c r="C61" s="513">
        <v>1934474</v>
      </c>
      <c r="D61" s="515">
        <v>2816920</v>
      </c>
      <c r="E61" s="514">
        <f t="shared" si="5"/>
        <v>882446</v>
      </c>
    </row>
    <row r="62" spans="1:5" s="506" customFormat="1" x14ac:dyDescent="0.2">
      <c r="A62" s="512">
        <v>5</v>
      </c>
      <c r="B62" s="511" t="s">
        <v>713</v>
      </c>
      <c r="C62" s="513">
        <v>246824</v>
      </c>
      <c r="D62" s="515">
        <v>186225</v>
      </c>
      <c r="E62" s="514">
        <f t="shared" si="5"/>
        <v>-60599</v>
      </c>
    </row>
    <row r="63" spans="1:5" s="506" customFormat="1" x14ac:dyDescent="0.2">
      <c r="A63" s="512">
        <v>6</v>
      </c>
      <c r="B63" s="511" t="s">
        <v>418</v>
      </c>
      <c r="C63" s="513">
        <v>62550</v>
      </c>
      <c r="D63" s="515">
        <v>74027</v>
      </c>
      <c r="E63" s="514">
        <f t="shared" si="5"/>
        <v>11477</v>
      </c>
    </row>
    <row r="64" spans="1:5" s="506" customFormat="1" x14ac:dyDescent="0.2">
      <c r="A64" s="512">
        <v>7</v>
      </c>
      <c r="B64" s="511" t="s">
        <v>728</v>
      </c>
      <c r="C64" s="513">
        <v>184951</v>
      </c>
      <c r="D64" s="515">
        <v>222636</v>
      </c>
      <c r="E64" s="514">
        <f t="shared" si="5"/>
        <v>37685</v>
      </c>
    </row>
    <row r="65" spans="1:5" s="506" customFormat="1" x14ac:dyDescent="0.2">
      <c r="A65" s="512"/>
      <c r="B65" s="516" t="s">
        <v>761</v>
      </c>
      <c r="C65" s="517">
        <f>SUM(C59+C60+C63)</f>
        <v>15917535</v>
      </c>
      <c r="D65" s="517">
        <f>SUM(D59+D60+D63)</f>
        <v>16349247</v>
      </c>
      <c r="E65" s="517">
        <f t="shared" si="5"/>
        <v>431712</v>
      </c>
    </row>
    <row r="66" spans="1:5" s="506" customFormat="1" x14ac:dyDescent="0.2">
      <c r="A66" s="512"/>
      <c r="B66" s="516" t="s">
        <v>694</v>
      </c>
      <c r="C66" s="517">
        <f>SUM(C58+C65)</f>
        <v>59809811</v>
      </c>
      <c r="D66" s="517">
        <f>SUM(D58+D65)</f>
        <v>60398114</v>
      </c>
      <c r="E66" s="517">
        <f t="shared" si="5"/>
        <v>588303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55861758</v>
      </c>
      <c r="D69" s="514">
        <f t="shared" si="6"/>
        <v>54625501</v>
      </c>
      <c r="E69" s="514">
        <f t="shared" ref="E69:E77" si="7">D69-C69</f>
        <v>-1236257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27030405</v>
      </c>
      <c r="D70" s="514">
        <f t="shared" si="6"/>
        <v>25840252</v>
      </c>
      <c r="E70" s="514">
        <f t="shared" si="7"/>
        <v>-1190153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3135796</v>
      </c>
      <c r="D71" s="514">
        <f t="shared" si="6"/>
        <v>4417137</v>
      </c>
      <c r="E71" s="514">
        <f t="shared" si="7"/>
        <v>1281341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2744639</v>
      </c>
      <c r="D72" s="514">
        <f t="shared" si="6"/>
        <v>4034622</v>
      </c>
      <c r="E72" s="514">
        <f t="shared" si="7"/>
        <v>1289983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391157</v>
      </c>
      <c r="D73" s="514">
        <f t="shared" si="6"/>
        <v>382515</v>
      </c>
      <c r="E73" s="514">
        <f t="shared" si="7"/>
        <v>-8642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78229</v>
      </c>
      <c r="D74" s="514">
        <f t="shared" si="6"/>
        <v>97060</v>
      </c>
      <c r="E74" s="514">
        <f t="shared" si="7"/>
        <v>18831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250631</v>
      </c>
      <c r="D75" s="514">
        <f t="shared" si="6"/>
        <v>274542</v>
      </c>
      <c r="E75" s="514">
        <f t="shared" si="7"/>
        <v>23911</v>
      </c>
    </row>
    <row r="76" spans="1:5" s="506" customFormat="1" x14ac:dyDescent="0.2">
      <c r="A76" s="512"/>
      <c r="B76" s="516" t="s">
        <v>762</v>
      </c>
      <c r="C76" s="517">
        <f>SUM(C70+C71+C74)</f>
        <v>30244430</v>
      </c>
      <c r="D76" s="517">
        <f>SUM(D70+D71+D74)</f>
        <v>30354449</v>
      </c>
      <c r="E76" s="517">
        <f t="shared" si="7"/>
        <v>110019</v>
      </c>
    </row>
    <row r="77" spans="1:5" s="506" customFormat="1" x14ac:dyDescent="0.2">
      <c r="A77" s="512"/>
      <c r="B77" s="516" t="s">
        <v>696</v>
      </c>
      <c r="C77" s="517">
        <f>SUM(C69+C76)</f>
        <v>86106188</v>
      </c>
      <c r="D77" s="517">
        <f>SUM(D69+D76)</f>
        <v>84979950</v>
      </c>
      <c r="E77" s="517">
        <f t="shared" si="7"/>
        <v>-1126238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0.1280049099667018</v>
      </c>
      <c r="D83" s="523">
        <f t="shared" si="8"/>
        <v>0.10978983682432306</v>
      </c>
      <c r="E83" s="523">
        <f t="shared" ref="E83:E91" si="9">D83-C83</f>
        <v>-1.8215073142378746E-2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0.17526556620202283</v>
      </c>
      <c r="D84" s="523">
        <f t="shared" si="8"/>
        <v>0.16003699698118959</v>
      </c>
      <c r="E84" s="523">
        <f t="shared" si="9"/>
        <v>-1.5228569220833238E-2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1.2722606549356729E-2</v>
      </c>
      <c r="D85" s="523">
        <f t="shared" si="8"/>
        <v>2.2360935452261442E-2</v>
      </c>
      <c r="E85" s="523">
        <f t="shared" si="9"/>
        <v>9.6383289029047126E-3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1.0577368339708338E-2</v>
      </c>
      <c r="D86" s="523">
        <f t="shared" si="8"/>
        <v>1.8356270434439676E-2</v>
      </c>
      <c r="E86" s="523">
        <f t="shared" si="9"/>
        <v>7.7789020947313381E-3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2.1452382096483901E-3</v>
      </c>
      <c r="D87" s="523">
        <f t="shared" si="8"/>
        <v>4.0046650178217676E-3</v>
      </c>
      <c r="E87" s="523">
        <f t="shared" si="9"/>
        <v>1.8594268081733776E-3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2.850648230701477E-4</v>
      </c>
      <c r="D88" s="523">
        <f t="shared" si="8"/>
        <v>4.2985461485701152E-4</v>
      </c>
      <c r="E88" s="523">
        <f t="shared" si="9"/>
        <v>1.4478979178686382E-4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5.2248627818497102E-3</v>
      </c>
      <c r="D89" s="523">
        <f t="shared" si="8"/>
        <v>3.9439556535959827E-3</v>
      </c>
      <c r="E89" s="523">
        <f t="shared" si="9"/>
        <v>-1.2809071282537275E-3</v>
      </c>
    </row>
    <row r="90" spans="1:5" s="506" customFormat="1" x14ac:dyDescent="0.2">
      <c r="A90" s="512"/>
      <c r="B90" s="516" t="s">
        <v>765</v>
      </c>
      <c r="C90" s="524">
        <f>SUM(C84+C85+C88)</f>
        <v>0.18827323757444969</v>
      </c>
      <c r="D90" s="524">
        <f>SUM(D84+D85+D88)</f>
        <v>0.18282778704830804</v>
      </c>
      <c r="E90" s="525">
        <f t="shared" si="9"/>
        <v>-5.4454505261416486E-3</v>
      </c>
    </row>
    <row r="91" spans="1:5" s="506" customFormat="1" x14ac:dyDescent="0.2">
      <c r="A91" s="512"/>
      <c r="B91" s="516" t="s">
        <v>766</v>
      </c>
      <c r="C91" s="524">
        <f>SUM(C83+C90)</f>
        <v>0.31627814754115147</v>
      </c>
      <c r="D91" s="524">
        <f>SUM(D83+D90)</f>
        <v>0.29261762387263113</v>
      </c>
      <c r="E91" s="525">
        <f t="shared" si="9"/>
        <v>-2.3660523668520339E-2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0.37105576933997297</v>
      </c>
      <c r="D95" s="523">
        <f t="shared" si="10"/>
        <v>0.37268814884746743</v>
      </c>
      <c r="E95" s="523">
        <f t="shared" ref="E95:E103" si="11">D95-C95</f>
        <v>1.6323795074944525E-3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0.27703424089380302</v>
      </c>
      <c r="D96" s="523">
        <f t="shared" si="10"/>
        <v>0.28665058633385487</v>
      </c>
      <c r="E96" s="523">
        <f t="shared" si="11"/>
        <v>9.6163454400518544E-3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3.4711656684531397E-2</v>
      </c>
      <c r="D97" s="523">
        <f t="shared" si="10"/>
        <v>4.6791319785264254E-2</v>
      </c>
      <c r="E97" s="523">
        <f t="shared" si="11"/>
        <v>1.2079663100732857E-2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3.0280142449060767E-2</v>
      </c>
      <c r="D98" s="523">
        <f t="shared" si="10"/>
        <v>4.3602020924699648E-2</v>
      </c>
      <c r="E98" s="523">
        <f t="shared" si="11"/>
        <v>1.3321878475638881E-2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4.431514235470631E-3</v>
      </c>
      <c r="D99" s="523">
        <f t="shared" si="10"/>
        <v>3.189298860564608E-3</v>
      </c>
      <c r="E99" s="523">
        <f t="shared" si="11"/>
        <v>-1.242215374906023E-3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9.2018554054107676E-4</v>
      </c>
      <c r="D100" s="523">
        <f t="shared" si="10"/>
        <v>1.2523211607823671E-3</v>
      </c>
      <c r="E100" s="523">
        <f t="shared" si="11"/>
        <v>3.321356202412903E-4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1.4712887711249791E-2</v>
      </c>
      <c r="D101" s="523">
        <f t="shared" si="10"/>
        <v>1.691656980848107E-2</v>
      </c>
      <c r="E101" s="523">
        <f t="shared" si="11"/>
        <v>2.2036820972312788E-3</v>
      </c>
    </row>
    <row r="102" spans="1:5" s="506" customFormat="1" x14ac:dyDescent="0.2">
      <c r="A102" s="512"/>
      <c r="B102" s="516" t="s">
        <v>768</v>
      </c>
      <c r="C102" s="524">
        <f>SUM(C96+C97+C100)</f>
        <v>0.3126660831188755</v>
      </c>
      <c r="D102" s="524">
        <f>SUM(D96+D97+D100)</f>
        <v>0.3346942272799015</v>
      </c>
      <c r="E102" s="525">
        <f t="shared" si="11"/>
        <v>2.2028144161025998E-2</v>
      </c>
    </row>
    <row r="103" spans="1:5" s="506" customFormat="1" x14ac:dyDescent="0.2">
      <c r="A103" s="512"/>
      <c r="B103" s="516" t="s">
        <v>769</v>
      </c>
      <c r="C103" s="524">
        <f>SUM(C95+C102)</f>
        <v>0.68372185245884842</v>
      </c>
      <c r="D103" s="524">
        <f>SUM(D95+D102)</f>
        <v>0.70738237612736898</v>
      </c>
      <c r="E103" s="525">
        <f t="shared" si="11"/>
        <v>2.3660523668520561E-2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0.99999999999999989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0.13900838346252187</v>
      </c>
      <c r="D109" s="523">
        <f t="shared" si="12"/>
        <v>0.12446034623461182</v>
      </c>
      <c r="E109" s="523">
        <f t="shared" ref="E109:E117" si="13">D109-C109</f>
        <v>-1.4548037227910052E-2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0.1551191419599251</v>
      </c>
      <c r="D110" s="523">
        <f t="shared" si="12"/>
        <v>0.14789579188973398</v>
      </c>
      <c r="E110" s="523">
        <f t="shared" si="13"/>
        <v>-7.2233500701911202E-3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1.108512665779607E-2</v>
      </c>
      <c r="D111" s="523">
        <f t="shared" si="12"/>
        <v>1.6639124875926614E-2</v>
      </c>
      <c r="E111" s="523">
        <f t="shared" si="13"/>
        <v>5.5539982181305441E-3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9.4089056642479626E-3</v>
      </c>
      <c r="D112" s="523">
        <f t="shared" si="12"/>
        <v>1.4329285908028894E-2</v>
      </c>
      <c r="E112" s="523">
        <f t="shared" si="13"/>
        <v>4.9203802437809314E-3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1.676220993548106E-3</v>
      </c>
      <c r="D113" s="523">
        <f t="shared" si="12"/>
        <v>2.3098389678977219E-3</v>
      </c>
      <c r="E113" s="523">
        <f t="shared" si="13"/>
        <v>6.3361797434961591E-4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1.8208912000610222E-4</v>
      </c>
      <c r="D114" s="523">
        <f t="shared" si="12"/>
        <v>2.7104040423652875E-4</v>
      </c>
      <c r="E114" s="523">
        <f t="shared" si="13"/>
        <v>8.8951284230426531E-5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7.6277909318201386E-4</v>
      </c>
      <c r="D115" s="523">
        <f t="shared" si="12"/>
        <v>6.1080290115491948E-4</v>
      </c>
      <c r="E115" s="523">
        <f t="shared" si="13"/>
        <v>-1.5197619202709438E-4</v>
      </c>
    </row>
    <row r="116" spans="1:5" s="506" customFormat="1" x14ac:dyDescent="0.2">
      <c r="A116" s="512"/>
      <c r="B116" s="516" t="s">
        <v>765</v>
      </c>
      <c r="C116" s="524">
        <f>SUM(C110+C111+C114)</f>
        <v>0.16638635773772728</v>
      </c>
      <c r="D116" s="524">
        <f>SUM(D110+D111+D114)</f>
        <v>0.16480595716989713</v>
      </c>
      <c r="E116" s="525">
        <f t="shared" si="13"/>
        <v>-1.5804005678301536E-3</v>
      </c>
    </row>
    <row r="117" spans="1:5" s="506" customFormat="1" x14ac:dyDescent="0.2">
      <c r="A117" s="512"/>
      <c r="B117" s="516" t="s">
        <v>766</v>
      </c>
      <c r="C117" s="524">
        <f>SUM(C109+C116)</f>
        <v>0.30539474120024912</v>
      </c>
      <c r="D117" s="524">
        <f>SUM(D109+D116)</f>
        <v>0.28926630340450893</v>
      </c>
      <c r="E117" s="525">
        <f t="shared" si="13"/>
        <v>-1.6128437795740191E-2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0.50974589654346325</v>
      </c>
      <c r="D121" s="523">
        <f t="shared" si="14"/>
        <v>0.51834423296318721</v>
      </c>
      <c r="E121" s="523">
        <f t="shared" ref="E121:E129" si="15">D121-C121</f>
        <v>8.598336419723962E-3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0.15880028273926144</v>
      </c>
      <c r="D122" s="523">
        <f t="shared" si="14"/>
        <v>0.15617889866962736</v>
      </c>
      <c r="E122" s="523">
        <f t="shared" si="15"/>
        <v>-2.6213840696340807E-3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2.5332650889155608E-2</v>
      </c>
      <c r="D123" s="523">
        <f t="shared" si="14"/>
        <v>3.5339453600525768E-2</v>
      </c>
      <c r="E123" s="523">
        <f t="shared" si="15"/>
        <v>1.0006802711370159E-2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2.2466143780514359E-2</v>
      </c>
      <c r="D124" s="523">
        <f t="shared" si="14"/>
        <v>3.3148054335169652E-2</v>
      </c>
      <c r="E124" s="523">
        <f t="shared" si="15"/>
        <v>1.0681910554655293E-2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2.8665071086412513E-3</v>
      </c>
      <c r="D125" s="523">
        <f t="shared" si="14"/>
        <v>2.1913992653561222E-3</v>
      </c>
      <c r="E125" s="523">
        <f t="shared" si="15"/>
        <v>-6.751078432851291E-4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7.2642862787050796E-4</v>
      </c>
      <c r="D126" s="523">
        <f t="shared" si="14"/>
        <v>8.7111136215071907E-4</v>
      </c>
      <c r="E126" s="523">
        <f t="shared" si="15"/>
        <v>1.4468273428021111E-4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2.1479408657598454E-3</v>
      </c>
      <c r="D127" s="523">
        <f t="shared" si="14"/>
        <v>2.6198650387532587E-3</v>
      </c>
      <c r="E127" s="523">
        <f t="shared" si="15"/>
        <v>4.719241729934133E-4</v>
      </c>
    </row>
    <row r="128" spans="1:5" s="506" customFormat="1" x14ac:dyDescent="0.2">
      <c r="A128" s="512"/>
      <c r="B128" s="516" t="s">
        <v>768</v>
      </c>
      <c r="C128" s="524">
        <f>SUM(C122+C123+C126)</f>
        <v>0.18485936225628755</v>
      </c>
      <c r="D128" s="524">
        <f>SUM(D122+D123+D126)</f>
        <v>0.19238946363230383</v>
      </c>
      <c r="E128" s="525">
        <f t="shared" si="15"/>
        <v>7.5301013760162849E-3</v>
      </c>
    </row>
    <row r="129" spans="1:5" s="506" customFormat="1" x14ac:dyDescent="0.2">
      <c r="A129" s="512"/>
      <c r="B129" s="516" t="s">
        <v>769</v>
      </c>
      <c r="C129" s="524">
        <f>SUM(C121+C128)</f>
        <v>0.69460525879975077</v>
      </c>
      <c r="D129" s="524">
        <f>SUM(D121+D128)</f>
        <v>0.71073369659549102</v>
      </c>
      <c r="E129" s="525">
        <f t="shared" si="15"/>
        <v>1.6128437795740247E-2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0.99999999999999989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1285</v>
      </c>
      <c r="D137" s="530">
        <v>1057</v>
      </c>
      <c r="E137" s="531">
        <f t="shared" ref="E137:E145" si="16">D137-C137</f>
        <v>-228</v>
      </c>
    </row>
    <row r="138" spans="1:5" s="506" customFormat="1" x14ac:dyDescent="0.2">
      <c r="A138" s="512">
        <v>2</v>
      </c>
      <c r="B138" s="511" t="s">
        <v>600</v>
      </c>
      <c r="C138" s="530">
        <v>1248</v>
      </c>
      <c r="D138" s="530">
        <v>1167</v>
      </c>
      <c r="E138" s="531">
        <f t="shared" si="16"/>
        <v>-81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235</v>
      </c>
      <c r="D139" s="530">
        <f>D140+D141</f>
        <v>283</v>
      </c>
      <c r="E139" s="531">
        <f t="shared" si="16"/>
        <v>48</v>
      </c>
    </row>
    <row r="140" spans="1:5" s="506" customFormat="1" x14ac:dyDescent="0.2">
      <c r="A140" s="512">
        <v>4</v>
      </c>
      <c r="B140" s="511" t="s">
        <v>114</v>
      </c>
      <c r="C140" s="530">
        <v>208</v>
      </c>
      <c r="D140" s="530">
        <v>252</v>
      </c>
      <c r="E140" s="531">
        <f t="shared" si="16"/>
        <v>44</v>
      </c>
    </row>
    <row r="141" spans="1:5" s="506" customFormat="1" x14ac:dyDescent="0.2">
      <c r="A141" s="512">
        <v>5</v>
      </c>
      <c r="B141" s="511" t="s">
        <v>713</v>
      </c>
      <c r="C141" s="530">
        <v>27</v>
      </c>
      <c r="D141" s="530">
        <v>31</v>
      </c>
      <c r="E141" s="531">
        <f t="shared" si="16"/>
        <v>4</v>
      </c>
    </row>
    <row r="142" spans="1:5" s="506" customFormat="1" x14ac:dyDescent="0.2">
      <c r="A142" s="512">
        <v>6</v>
      </c>
      <c r="B142" s="511" t="s">
        <v>418</v>
      </c>
      <c r="C142" s="530">
        <v>6</v>
      </c>
      <c r="D142" s="530">
        <v>5</v>
      </c>
      <c r="E142" s="531">
        <f t="shared" si="16"/>
        <v>-1</v>
      </c>
    </row>
    <row r="143" spans="1:5" s="506" customFormat="1" x14ac:dyDescent="0.2">
      <c r="A143" s="512">
        <v>7</v>
      </c>
      <c r="B143" s="511" t="s">
        <v>728</v>
      </c>
      <c r="C143" s="530">
        <v>60</v>
      </c>
      <c r="D143" s="530">
        <v>51</v>
      </c>
      <c r="E143" s="531">
        <f t="shared" si="16"/>
        <v>-9</v>
      </c>
    </row>
    <row r="144" spans="1:5" s="506" customFormat="1" x14ac:dyDescent="0.2">
      <c r="A144" s="512"/>
      <c r="B144" s="516" t="s">
        <v>776</v>
      </c>
      <c r="C144" s="532">
        <f>SUM(C138+C139+C142)</f>
        <v>1489</v>
      </c>
      <c r="D144" s="532">
        <f>SUM(D138+D139+D142)</f>
        <v>1455</v>
      </c>
      <c r="E144" s="533">
        <f t="shared" si="16"/>
        <v>-34</v>
      </c>
    </row>
    <row r="145" spans="1:5" s="506" customFormat="1" x14ac:dyDescent="0.2">
      <c r="A145" s="512"/>
      <c r="B145" s="516" t="s">
        <v>690</v>
      </c>
      <c r="C145" s="532">
        <f>SUM(C137+C144)</f>
        <v>2774</v>
      </c>
      <c r="D145" s="532">
        <f>SUM(D137+D144)</f>
        <v>2512</v>
      </c>
      <c r="E145" s="533">
        <f t="shared" si="16"/>
        <v>-262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3858</v>
      </c>
      <c r="D149" s="534">
        <v>3238</v>
      </c>
      <c r="E149" s="531">
        <f t="shared" ref="E149:E157" si="17">D149-C149</f>
        <v>-620</v>
      </c>
    </row>
    <row r="150" spans="1:5" s="506" customFormat="1" x14ac:dyDescent="0.2">
      <c r="A150" s="512">
        <v>2</v>
      </c>
      <c r="B150" s="511" t="s">
        <v>600</v>
      </c>
      <c r="C150" s="534">
        <v>5370</v>
      </c>
      <c r="D150" s="534">
        <v>5051</v>
      </c>
      <c r="E150" s="531">
        <f t="shared" si="17"/>
        <v>-319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629</v>
      </c>
      <c r="D151" s="534">
        <f>D152+D153</f>
        <v>1078</v>
      </c>
      <c r="E151" s="531">
        <f t="shared" si="17"/>
        <v>449</v>
      </c>
    </row>
    <row r="152" spans="1:5" s="506" customFormat="1" x14ac:dyDescent="0.2">
      <c r="A152" s="512">
        <v>4</v>
      </c>
      <c r="B152" s="511" t="s">
        <v>114</v>
      </c>
      <c r="C152" s="534">
        <v>554</v>
      </c>
      <c r="D152" s="534">
        <v>949</v>
      </c>
      <c r="E152" s="531">
        <f t="shared" si="17"/>
        <v>395</v>
      </c>
    </row>
    <row r="153" spans="1:5" s="506" customFormat="1" x14ac:dyDescent="0.2">
      <c r="A153" s="512">
        <v>5</v>
      </c>
      <c r="B153" s="511" t="s">
        <v>713</v>
      </c>
      <c r="C153" s="535">
        <v>75</v>
      </c>
      <c r="D153" s="534">
        <v>129</v>
      </c>
      <c r="E153" s="531">
        <f t="shared" si="17"/>
        <v>54</v>
      </c>
    </row>
    <row r="154" spans="1:5" s="506" customFormat="1" x14ac:dyDescent="0.2">
      <c r="A154" s="512">
        <v>6</v>
      </c>
      <c r="B154" s="511" t="s">
        <v>418</v>
      </c>
      <c r="C154" s="534">
        <v>17</v>
      </c>
      <c r="D154" s="534">
        <v>15</v>
      </c>
      <c r="E154" s="531">
        <f t="shared" si="17"/>
        <v>-2</v>
      </c>
    </row>
    <row r="155" spans="1:5" s="506" customFormat="1" x14ac:dyDescent="0.2">
      <c r="A155" s="512">
        <v>7</v>
      </c>
      <c r="B155" s="511" t="s">
        <v>728</v>
      </c>
      <c r="C155" s="534">
        <v>189</v>
      </c>
      <c r="D155" s="534">
        <v>144</v>
      </c>
      <c r="E155" s="531">
        <f t="shared" si="17"/>
        <v>-45</v>
      </c>
    </row>
    <row r="156" spans="1:5" s="506" customFormat="1" x14ac:dyDescent="0.2">
      <c r="A156" s="512"/>
      <c r="B156" s="516" t="s">
        <v>777</v>
      </c>
      <c r="C156" s="532">
        <f>SUM(C150+C151+C154)</f>
        <v>6016</v>
      </c>
      <c r="D156" s="532">
        <f>SUM(D150+D151+D154)</f>
        <v>6144</v>
      </c>
      <c r="E156" s="533">
        <f t="shared" si="17"/>
        <v>128</v>
      </c>
    </row>
    <row r="157" spans="1:5" s="506" customFormat="1" x14ac:dyDescent="0.2">
      <c r="A157" s="512"/>
      <c r="B157" s="516" t="s">
        <v>778</v>
      </c>
      <c r="C157" s="532">
        <f>SUM(C149+C156)</f>
        <v>9874</v>
      </c>
      <c r="D157" s="532">
        <f>SUM(D149+D156)</f>
        <v>9382</v>
      </c>
      <c r="E157" s="533">
        <f t="shared" si="17"/>
        <v>-492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3.0023346303501945</v>
      </c>
      <c r="D161" s="536">
        <f t="shared" si="18"/>
        <v>3.0633869441816461</v>
      </c>
      <c r="E161" s="537">
        <f t="shared" ref="E161:E169" si="19">D161-C161</f>
        <v>6.1052313831451599E-2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4.302884615384615</v>
      </c>
      <c r="D162" s="536">
        <f t="shared" si="18"/>
        <v>4.328191945158526</v>
      </c>
      <c r="E162" s="537">
        <f t="shared" si="19"/>
        <v>2.5307329773911036E-2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2.676595744680851</v>
      </c>
      <c r="D163" s="536">
        <f t="shared" si="18"/>
        <v>3.8091872791519434</v>
      </c>
      <c r="E163" s="537">
        <f t="shared" si="19"/>
        <v>1.1325915344710924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2.6634615384615383</v>
      </c>
      <c r="D164" s="536">
        <f t="shared" si="18"/>
        <v>3.7658730158730158</v>
      </c>
      <c r="E164" s="537">
        <f t="shared" si="19"/>
        <v>1.1024114774114775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2.7777777777777777</v>
      </c>
      <c r="D165" s="536">
        <f t="shared" si="18"/>
        <v>4.161290322580645</v>
      </c>
      <c r="E165" s="537">
        <f t="shared" si="19"/>
        <v>1.3835125448028673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2.8333333333333335</v>
      </c>
      <c r="D166" s="536">
        <f t="shared" si="18"/>
        <v>3</v>
      </c>
      <c r="E166" s="537">
        <f t="shared" si="19"/>
        <v>0.16666666666666652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3.15</v>
      </c>
      <c r="D167" s="536">
        <f t="shared" si="18"/>
        <v>2.8235294117647061</v>
      </c>
      <c r="E167" s="537">
        <f t="shared" si="19"/>
        <v>-0.32647058823529385</v>
      </c>
    </row>
    <row r="168" spans="1:5" s="506" customFormat="1" x14ac:dyDescent="0.2">
      <c r="A168" s="512"/>
      <c r="B168" s="516" t="s">
        <v>780</v>
      </c>
      <c r="C168" s="538">
        <f t="shared" si="18"/>
        <v>4.0402955003357954</v>
      </c>
      <c r="D168" s="538">
        <f t="shared" si="18"/>
        <v>4.2226804123711341</v>
      </c>
      <c r="E168" s="539">
        <f t="shared" si="19"/>
        <v>0.18238491203533869</v>
      </c>
    </row>
    <row r="169" spans="1:5" s="506" customFormat="1" x14ac:dyDescent="0.2">
      <c r="A169" s="512"/>
      <c r="B169" s="516" t="s">
        <v>714</v>
      </c>
      <c r="C169" s="538">
        <f t="shared" si="18"/>
        <v>3.5594808940158615</v>
      </c>
      <c r="D169" s="538">
        <f t="shared" si="18"/>
        <v>3.7348726114649682</v>
      </c>
      <c r="E169" s="539">
        <f t="shared" si="19"/>
        <v>0.17539171744910664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1.1383000000000001</v>
      </c>
      <c r="D173" s="541">
        <f t="shared" si="20"/>
        <v>1.161</v>
      </c>
      <c r="E173" s="542">
        <f t="shared" ref="E173:E181" si="21">D173-C173</f>
        <v>2.2699999999999942E-2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1.5633999999999999</v>
      </c>
      <c r="D174" s="541">
        <f t="shared" si="20"/>
        <v>1.5347999999999999</v>
      </c>
      <c r="E174" s="542">
        <f t="shared" si="21"/>
        <v>-2.8599999999999959E-2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0.78167744680851059</v>
      </c>
      <c r="D175" s="541">
        <f t="shared" si="20"/>
        <v>0.90699893992932867</v>
      </c>
      <c r="E175" s="542">
        <f t="shared" si="21"/>
        <v>0.12532149312081808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0.753</v>
      </c>
      <c r="D176" s="541">
        <f t="shared" si="20"/>
        <v>0.82089999999999996</v>
      </c>
      <c r="E176" s="542">
        <f t="shared" si="21"/>
        <v>6.789999999999996E-2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1.0025999999999999</v>
      </c>
      <c r="D177" s="541">
        <f t="shared" si="20"/>
        <v>1.6069</v>
      </c>
      <c r="E177" s="542">
        <f t="shared" si="21"/>
        <v>0.60430000000000006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0.62829999999999997</v>
      </c>
      <c r="D178" s="541">
        <f t="shared" si="20"/>
        <v>0.874</v>
      </c>
      <c r="E178" s="542">
        <f t="shared" si="21"/>
        <v>0.24570000000000003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1.0884</v>
      </c>
      <c r="D179" s="541">
        <f t="shared" si="20"/>
        <v>1.0268999999999999</v>
      </c>
      <c r="E179" s="542">
        <f t="shared" si="21"/>
        <v>-6.150000000000011E-2</v>
      </c>
    </row>
    <row r="180" spans="1:5" s="506" customFormat="1" x14ac:dyDescent="0.2">
      <c r="A180" s="512"/>
      <c r="B180" s="516" t="s">
        <v>782</v>
      </c>
      <c r="C180" s="543">
        <f t="shared" si="20"/>
        <v>1.4362573539288113</v>
      </c>
      <c r="D180" s="543">
        <f t="shared" si="20"/>
        <v>1.410420824742268</v>
      </c>
      <c r="E180" s="544">
        <f t="shared" si="21"/>
        <v>-2.5836529186543222E-2</v>
      </c>
    </row>
    <row r="181" spans="1:5" s="506" customFormat="1" x14ac:dyDescent="0.2">
      <c r="A181" s="512"/>
      <c r="B181" s="516" t="s">
        <v>691</v>
      </c>
      <c r="C181" s="543">
        <f t="shared" si="20"/>
        <v>1.2982345710165826</v>
      </c>
      <c r="D181" s="543">
        <f t="shared" si="20"/>
        <v>1.3054694665605096</v>
      </c>
      <c r="E181" s="544">
        <f t="shared" si="21"/>
        <v>7.234895543926978E-3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x14ac:dyDescent="0.2">
      <c r="A185" s="512">
        <v>1</v>
      </c>
      <c r="B185" s="511" t="s">
        <v>784</v>
      </c>
      <c r="C185" s="513">
        <v>110596764</v>
      </c>
      <c r="D185" s="513">
        <v>110847139</v>
      </c>
      <c r="E185" s="514">
        <f>D185-C185</f>
        <v>250375</v>
      </c>
    </row>
    <row r="186" spans="1:5" s="506" customFormat="1" ht="25.5" x14ac:dyDescent="0.2">
      <c r="A186" s="512">
        <v>2</v>
      </c>
      <c r="B186" s="511" t="s">
        <v>785</v>
      </c>
      <c r="C186" s="513">
        <v>56961715</v>
      </c>
      <c r="D186" s="513">
        <v>54890286</v>
      </c>
      <c r="E186" s="514">
        <f>D186-C186</f>
        <v>-2071429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53635049</v>
      </c>
      <c r="D188" s="546">
        <f>+D185-D186</f>
        <v>55956853</v>
      </c>
      <c r="E188" s="514">
        <f t="shared" ref="E188:E197" si="22">D188-C188</f>
        <v>2321804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0.48496038274682252</v>
      </c>
      <c r="D189" s="547">
        <f>IF(D185=0,0,+D188/D185)</f>
        <v>0.50481098118373624</v>
      </c>
      <c r="E189" s="523">
        <f t="shared" si="22"/>
        <v>1.9850598436913724E-2</v>
      </c>
    </row>
    <row r="190" spans="1:5" s="506" customFormat="1" x14ac:dyDescent="0.2">
      <c r="A190" s="512">
        <v>5</v>
      </c>
      <c r="B190" s="511" t="s">
        <v>732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718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786</v>
      </c>
      <c r="C192" s="513">
        <v>319679</v>
      </c>
      <c r="D192" s="513">
        <v>351378</v>
      </c>
      <c r="E192" s="546">
        <f t="shared" si="22"/>
        <v>31699</v>
      </c>
    </row>
    <row r="193" spans="1:5" s="506" customFormat="1" x14ac:dyDescent="0.2">
      <c r="A193" s="512">
        <v>8</v>
      </c>
      <c r="B193" s="511" t="s">
        <v>787</v>
      </c>
      <c r="C193" s="513">
        <v>1620381</v>
      </c>
      <c r="D193" s="513">
        <v>2208785</v>
      </c>
      <c r="E193" s="546">
        <f t="shared" si="22"/>
        <v>588404</v>
      </c>
    </row>
    <row r="194" spans="1:5" s="506" customFormat="1" x14ac:dyDescent="0.2">
      <c r="A194" s="512">
        <v>9</v>
      </c>
      <c r="B194" s="511" t="s">
        <v>788</v>
      </c>
      <c r="C194" s="513">
        <v>4081840</v>
      </c>
      <c r="D194" s="513">
        <v>3065190</v>
      </c>
      <c r="E194" s="546">
        <f t="shared" si="22"/>
        <v>-1016650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5702221</v>
      </c>
      <c r="D195" s="513">
        <f>+D193+D194</f>
        <v>5273975</v>
      </c>
      <c r="E195" s="549">
        <f t="shared" si="22"/>
        <v>-428246</v>
      </c>
    </row>
    <row r="196" spans="1:5" s="506" customFormat="1" x14ac:dyDescent="0.2">
      <c r="A196" s="512">
        <v>11</v>
      </c>
      <c r="B196" s="511" t="s">
        <v>790</v>
      </c>
      <c r="C196" s="513">
        <v>110596764</v>
      </c>
      <c r="D196" s="513">
        <v>110847139</v>
      </c>
      <c r="E196" s="546">
        <f t="shared" si="22"/>
        <v>250375</v>
      </c>
    </row>
    <row r="197" spans="1:5" s="506" customFormat="1" x14ac:dyDescent="0.2">
      <c r="A197" s="512">
        <v>12</v>
      </c>
      <c r="B197" s="511" t="s">
        <v>675</v>
      </c>
      <c r="C197" s="513">
        <v>98752754</v>
      </c>
      <c r="D197" s="513">
        <v>91802230</v>
      </c>
      <c r="E197" s="546">
        <f t="shared" si="22"/>
        <v>-6950524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1462.7155</v>
      </c>
      <c r="D203" s="553">
        <v>1227.1770000000001</v>
      </c>
      <c r="E203" s="554">
        <f t="shared" ref="E203:E211" si="23">D203-C203</f>
        <v>-235.53849999999989</v>
      </c>
    </row>
    <row r="204" spans="1:5" s="506" customFormat="1" x14ac:dyDescent="0.2">
      <c r="A204" s="512">
        <v>2</v>
      </c>
      <c r="B204" s="511" t="s">
        <v>600</v>
      </c>
      <c r="C204" s="553">
        <v>1951.1231999999998</v>
      </c>
      <c r="D204" s="553">
        <v>1791.1116</v>
      </c>
      <c r="E204" s="554">
        <f t="shared" si="23"/>
        <v>-160.01159999999982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183.6942</v>
      </c>
      <c r="D205" s="553">
        <f>D206+D207</f>
        <v>256.6807</v>
      </c>
      <c r="E205" s="554">
        <f t="shared" si="23"/>
        <v>72.986500000000007</v>
      </c>
    </row>
    <row r="206" spans="1:5" s="506" customFormat="1" x14ac:dyDescent="0.2">
      <c r="A206" s="512">
        <v>4</v>
      </c>
      <c r="B206" s="511" t="s">
        <v>114</v>
      </c>
      <c r="C206" s="553">
        <v>156.624</v>
      </c>
      <c r="D206" s="553">
        <v>206.86679999999998</v>
      </c>
      <c r="E206" s="554">
        <f t="shared" si="23"/>
        <v>50.242799999999988</v>
      </c>
    </row>
    <row r="207" spans="1:5" s="506" customFormat="1" x14ac:dyDescent="0.2">
      <c r="A207" s="512">
        <v>5</v>
      </c>
      <c r="B207" s="511" t="s">
        <v>713</v>
      </c>
      <c r="C207" s="553">
        <v>27.0702</v>
      </c>
      <c r="D207" s="553">
        <v>49.813899999999997</v>
      </c>
      <c r="E207" s="554">
        <f t="shared" si="23"/>
        <v>22.743699999999997</v>
      </c>
    </row>
    <row r="208" spans="1:5" s="506" customFormat="1" x14ac:dyDescent="0.2">
      <c r="A208" s="512">
        <v>6</v>
      </c>
      <c r="B208" s="511" t="s">
        <v>418</v>
      </c>
      <c r="C208" s="553">
        <v>3.7698</v>
      </c>
      <c r="D208" s="553">
        <v>4.37</v>
      </c>
      <c r="E208" s="554">
        <f t="shared" si="23"/>
        <v>0.60020000000000007</v>
      </c>
    </row>
    <row r="209" spans="1:5" s="506" customFormat="1" x14ac:dyDescent="0.2">
      <c r="A209" s="512">
        <v>7</v>
      </c>
      <c r="B209" s="511" t="s">
        <v>728</v>
      </c>
      <c r="C209" s="553">
        <v>65.304000000000002</v>
      </c>
      <c r="D209" s="553">
        <v>52.371899999999997</v>
      </c>
      <c r="E209" s="554">
        <f t="shared" si="23"/>
        <v>-12.932100000000005</v>
      </c>
    </row>
    <row r="210" spans="1:5" s="506" customFormat="1" x14ac:dyDescent="0.2">
      <c r="A210" s="512"/>
      <c r="B210" s="516" t="s">
        <v>793</v>
      </c>
      <c r="C210" s="555">
        <f>C204+C205+C208</f>
        <v>2138.5871999999999</v>
      </c>
      <c r="D210" s="555">
        <f>D204+D205+D208</f>
        <v>2052.1623</v>
      </c>
      <c r="E210" s="556">
        <f t="shared" si="23"/>
        <v>-86.42489999999998</v>
      </c>
    </row>
    <row r="211" spans="1:5" s="506" customFormat="1" x14ac:dyDescent="0.2">
      <c r="A211" s="512"/>
      <c r="B211" s="516" t="s">
        <v>692</v>
      </c>
      <c r="C211" s="555">
        <f>C210+C203</f>
        <v>3601.3027000000002</v>
      </c>
      <c r="D211" s="555">
        <f>D210+D203</f>
        <v>3279.3393000000001</v>
      </c>
      <c r="E211" s="556">
        <f t="shared" si="23"/>
        <v>-321.96340000000009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3724.9091751706874</v>
      </c>
      <c r="D215" s="557">
        <f>IF(D14*D137=0,0,D25/D14*D137)</f>
        <v>3588.0495383385132</v>
      </c>
      <c r="E215" s="557">
        <f t="shared" ref="E215:E223" si="24">D215-C215</f>
        <v>-136.85963683217415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1972.6563530279791</v>
      </c>
      <c r="D216" s="557">
        <f>IF(D15*D138=0,0,D26/D15*D138)</f>
        <v>2090.2743775611307</v>
      </c>
      <c r="E216" s="557">
        <f t="shared" si="24"/>
        <v>117.61802453315158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651.22280211047951</v>
      </c>
      <c r="D217" s="557">
        <f>D218+D219</f>
        <v>623.26897700990287</v>
      </c>
      <c r="E217" s="557">
        <f t="shared" si="24"/>
        <v>-27.953825100576637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595.447698059299</v>
      </c>
      <c r="D218" s="557">
        <f t="shared" si="25"/>
        <v>598.5807036493311</v>
      </c>
      <c r="E218" s="557">
        <f t="shared" si="24"/>
        <v>3.1330055900320986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55.775104051180456</v>
      </c>
      <c r="D219" s="557">
        <f t="shared" si="25"/>
        <v>24.688273360571777</v>
      </c>
      <c r="E219" s="557">
        <f t="shared" si="24"/>
        <v>-31.086830690608679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19.367921947661166</v>
      </c>
      <c r="D220" s="557">
        <f t="shared" si="25"/>
        <v>14.566799069947685</v>
      </c>
      <c r="E220" s="557">
        <f t="shared" si="24"/>
        <v>-4.8011228777134818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168.95625771103357</v>
      </c>
      <c r="D221" s="557">
        <f t="shared" si="25"/>
        <v>218.75120716580801</v>
      </c>
      <c r="E221" s="557">
        <f t="shared" si="24"/>
        <v>49.794949454774439</v>
      </c>
    </row>
    <row r="222" spans="1:5" s="506" customFormat="1" x14ac:dyDescent="0.2">
      <c r="A222" s="512"/>
      <c r="B222" s="516" t="s">
        <v>795</v>
      </c>
      <c r="C222" s="558">
        <f>C216+C218+C219+C220</f>
        <v>2643.2470770861196</v>
      </c>
      <c r="D222" s="558">
        <f>D216+D218+D219+D220</f>
        <v>2728.110153640981</v>
      </c>
      <c r="E222" s="558">
        <f t="shared" si="24"/>
        <v>84.863076554861436</v>
      </c>
    </row>
    <row r="223" spans="1:5" s="506" customFormat="1" x14ac:dyDescent="0.2">
      <c r="A223" s="512"/>
      <c r="B223" s="516" t="s">
        <v>796</v>
      </c>
      <c r="C223" s="558">
        <f>C215+C222</f>
        <v>6368.1562522568074</v>
      </c>
      <c r="D223" s="558">
        <f>D215+D222</f>
        <v>6316.1596919794938</v>
      </c>
      <c r="E223" s="558">
        <f t="shared" si="24"/>
        <v>-51.99656027731362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8183.0554198680466</v>
      </c>
      <c r="D227" s="560">
        <f t="shared" si="26"/>
        <v>8618.6703303598406</v>
      </c>
      <c r="E227" s="560">
        <f t="shared" ref="E227:E235" si="27">D227-C227</f>
        <v>435.61491049179403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6845.6558765740683</v>
      </c>
      <c r="D228" s="560">
        <f t="shared" si="26"/>
        <v>7016.9703551693819</v>
      </c>
      <c r="E228" s="560">
        <f t="shared" si="27"/>
        <v>171.31447859531363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5196.1248640403455</v>
      </c>
      <c r="D229" s="560">
        <f t="shared" si="26"/>
        <v>5508.7585470976201</v>
      </c>
      <c r="E229" s="560">
        <f t="shared" si="27"/>
        <v>312.63368305727454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5172.6746858718971</v>
      </c>
      <c r="D230" s="560">
        <f t="shared" si="26"/>
        <v>5886.4061318684298</v>
      </c>
      <c r="E230" s="560">
        <f t="shared" si="27"/>
        <v>713.73144599653278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5331.8039763282131</v>
      </c>
      <c r="D231" s="560">
        <f t="shared" si="26"/>
        <v>3940.4664160003535</v>
      </c>
      <c r="E231" s="560">
        <f t="shared" si="27"/>
        <v>-1391.3375603278596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4159.1065839036555</v>
      </c>
      <c r="D232" s="560">
        <f t="shared" si="26"/>
        <v>5270.7093821510298</v>
      </c>
      <c r="E232" s="560">
        <f t="shared" si="27"/>
        <v>1111.6027982473743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1005.7576871248315</v>
      </c>
      <c r="D233" s="560">
        <f t="shared" si="26"/>
        <v>991.10400806539394</v>
      </c>
      <c r="E233" s="560">
        <f t="shared" si="27"/>
        <v>-14.653679059437536</v>
      </c>
    </row>
    <row r="234" spans="1:5" x14ac:dyDescent="0.2">
      <c r="A234" s="512"/>
      <c r="B234" s="516" t="s">
        <v>798</v>
      </c>
      <c r="C234" s="561">
        <f t="shared" si="26"/>
        <v>6699.2334939627435</v>
      </c>
      <c r="D234" s="561">
        <f t="shared" si="26"/>
        <v>6824.6073909456381</v>
      </c>
      <c r="E234" s="561">
        <f t="shared" si="27"/>
        <v>125.37389698289462</v>
      </c>
    </row>
    <row r="235" spans="1:5" s="506" customFormat="1" x14ac:dyDescent="0.2">
      <c r="A235" s="512"/>
      <c r="B235" s="516" t="s">
        <v>799</v>
      </c>
      <c r="C235" s="561">
        <f t="shared" si="26"/>
        <v>7301.906890526031</v>
      </c>
      <c r="D235" s="561">
        <f t="shared" si="26"/>
        <v>7495.9721307276741</v>
      </c>
      <c r="E235" s="561">
        <f t="shared" si="27"/>
        <v>194.06524020164306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11783.448652271827</v>
      </c>
      <c r="D239" s="560">
        <f t="shared" si="28"/>
        <v>12276.54928655119</v>
      </c>
      <c r="E239" s="562">
        <f t="shared" ref="E239:E247" si="29">D239-C239</f>
        <v>493.10063427936257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6931.6112656982687</v>
      </c>
      <c r="D240" s="560">
        <f t="shared" si="28"/>
        <v>6349.4415577563832</v>
      </c>
      <c r="E240" s="562">
        <f t="shared" si="29"/>
        <v>-582.16970794188546</v>
      </c>
    </row>
    <row r="241" spans="1:5" x14ac:dyDescent="0.2">
      <c r="A241" s="512">
        <v>3</v>
      </c>
      <c r="B241" s="511" t="s">
        <v>746</v>
      </c>
      <c r="C241" s="560">
        <f t="shared" si="28"/>
        <v>3349.5418049411978</v>
      </c>
      <c r="D241" s="560">
        <f t="shared" si="28"/>
        <v>4818.3771546073349</v>
      </c>
      <c r="E241" s="562">
        <f t="shared" si="29"/>
        <v>1468.8353496661371</v>
      </c>
    </row>
    <row r="242" spans="1:5" x14ac:dyDescent="0.2">
      <c r="A242" s="512">
        <v>4</v>
      </c>
      <c r="B242" s="511" t="s">
        <v>114</v>
      </c>
      <c r="C242" s="560">
        <f t="shared" si="28"/>
        <v>3248.7723209022315</v>
      </c>
      <c r="D242" s="560">
        <f t="shared" si="28"/>
        <v>4705.9986779163655</v>
      </c>
      <c r="E242" s="562">
        <f t="shared" si="29"/>
        <v>1457.226357014134</v>
      </c>
    </row>
    <row r="243" spans="1:5" x14ac:dyDescent="0.2">
      <c r="A243" s="512">
        <v>5</v>
      </c>
      <c r="B243" s="511" t="s">
        <v>713</v>
      </c>
      <c r="C243" s="560">
        <f t="shared" si="28"/>
        <v>4425.3436044423852</v>
      </c>
      <c r="D243" s="560">
        <f t="shared" si="28"/>
        <v>7543.0548455206772</v>
      </c>
      <c r="E243" s="562">
        <f t="shared" si="29"/>
        <v>3117.711241078292</v>
      </c>
    </row>
    <row r="244" spans="1:5" x14ac:dyDescent="0.2">
      <c r="A244" s="512">
        <v>6</v>
      </c>
      <c r="B244" s="511" t="s">
        <v>418</v>
      </c>
      <c r="C244" s="560">
        <f t="shared" si="28"/>
        <v>3229.5669183834884</v>
      </c>
      <c r="D244" s="560">
        <f t="shared" si="28"/>
        <v>5081.8988883235734</v>
      </c>
      <c r="E244" s="562">
        <f t="shared" si="29"/>
        <v>1852.3319699400849</v>
      </c>
    </row>
    <row r="245" spans="1:5" x14ac:dyDescent="0.2">
      <c r="A245" s="512">
        <v>7</v>
      </c>
      <c r="B245" s="511" t="s">
        <v>728</v>
      </c>
      <c r="C245" s="560">
        <f t="shared" si="28"/>
        <v>1094.6679484125548</v>
      </c>
      <c r="D245" s="560">
        <f t="shared" si="28"/>
        <v>1017.7589549540058</v>
      </c>
      <c r="E245" s="562">
        <f t="shared" si="29"/>
        <v>-76.908993458548935</v>
      </c>
    </row>
    <row r="246" spans="1:5" ht="25.5" x14ac:dyDescent="0.2">
      <c r="A246" s="512"/>
      <c r="B246" s="516" t="s">
        <v>801</v>
      </c>
      <c r="C246" s="561">
        <f t="shared" si="28"/>
        <v>6021.9625845750597</v>
      </c>
      <c r="D246" s="561">
        <f t="shared" si="28"/>
        <v>5992.8837470803828</v>
      </c>
      <c r="E246" s="563">
        <f t="shared" si="29"/>
        <v>-29.078837494676918</v>
      </c>
    </row>
    <row r="247" spans="1:5" x14ac:dyDescent="0.2">
      <c r="A247" s="512"/>
      <c r="B247" s="516" t="s">
        <v>802</v>
      </c>
      <c r="C247" s="561">
        <f t="shared" si="28"/>
        <v>9392.0137369123186</v>
      </c>
      <c r="D247" s="561">
        <f t="shared" si="28"/>
        <v>9562.4741845422122</v>
      </c>
      <c r="E247" s="563">
        <f t="shared" si="29"/>
        <v>170.46044762989368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2192937.9720019381</v>
      </c>
      <c r="D251" s="546">
        <f>((IF((IF(D15=0,0,D26/D15)*D138)=0,0,D59/(IF(D15=0,0,D26/D15)*D138)))-(IF((IF(D17=0,0,D28/D17)*D140)=0,0,D61/(IF(D17=0,0,D28/D17)*D140))))*(IF(D17=0,0,D28/D17)*D140)</f>
        <v>983733.19542212086</v>
      </c>
      <c r="E251" s="546">
        <f>D251-C251</f>
        <v>-1209204.7765798173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180767.61329669092</v>
      </c>
      <c r="D252" s="546">
        <f>IF(D231=0,0,(D228-D231)*D207)+IF(D243=0,0,(D240-D243)*D219)</f>
        <v>123784.40844023635</v>
      </c>
      <c r="E252" s="546">
        <f>D252-C252</f>
        <v>-56983.204856454569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1367556.8107238133</v>
      </c>
      <c r="D253" s="546">
        <f>IF(D233=0,0,(D228-D233)*D209+IF(D221=0,0,(D240-D245)*D221))</f>
        <v>1481898.0753318528</v>
      </c>
      <c r="E253" s="546">
        <f>D253-C253</f>
        <v>114341.26460803952</v>
      </c>
    </row>
    <row r="254" spans="1:5" ht="15" customHeight="1" x14ac:dyDescent="0.2">
      <c r="A254" s="512"/>
      <c r="B254" s="516" t="s">
        <v>729</v>
      </c>
      <c r="C254" s="564">
        <f>+C251+C252+C253</f>
        <v>3741262.3960224423</v>
      </c>
      <c r="D254" s="564">
        <f>+D251+D252+D253</f>
        <v>2589415.6791942101</v>
      </c>
      <c r="E254" s="564">
        <f>D254-C254</f>
        <v>-1151846.7168282322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230831708</v>
      </c>
      <c r="D258" s="549">
        <f>+D44</f>
        <v>240127700</v>
      </c>
      <c r="E258" s="546">
        <f t="shared" ref="E258:E271" si="30">D258-C258</f>
        <v>9295992</v>
      </c>
    </row>
    <row r="259" spans="1:5" x14ac:dyDescent="0.2">
      <c r="A259" s="512">
        <v>2</v>
      </c>
      <c r="B259" s="511" t="s">
        <v>712</v>
      </c>
      <c r="C259" s="546">
        <f>+(C43-C76)</f>
        <v>85388249</v>
      </c>
      <c r="D259" s="549">
        <f>+(D43-D76)</f>
        <v>93916922</v>
      </c>
      <c r="E259" s="546">
        <f t="shared" si="30"/>
        <v>8528673</v>
      </c>
    </row>
    <row r="260" spans="1:5" x14ac:dyDescent="0.2">
      <c r="A260" s="512">
        <v>3</v>
      </c>
      <c r="B260" s="511" t="s">
        <v>716</v>
      </c>
      <c r="C260" s="546">
        <f>C195</f>
        <v>5702221</v>
      </c>
      <c r="D260" s="546">
        <f>D195</f>
        <v>5273975</v>
      </c>
      <c r="E260" s="546">
        <f t="shared" si="30"/>
        <v>-428246</v>
      </c>
    </row>
    <row r="261" spans="1:5" x14ac:dyDescent="0.2">
      <c r="A261" s="512">
        <v>4</v>
      </c>
      <c r="B261" s="511" t="s">
        <v>717</v>
      </c>
      <c r="C261" s="546">
        <f>C188</f>
        <v>53635049</v>
      </c>
      <c r="D261" s="546">
        <f>D188</f>
        <v>55956853</v>
      </c>
      <c r="E261" s="546">
        <f t="shared" si="30"/>
        <v>2321804</v>
      </c>
    </row>
    <row r="262" spans="1:5" x14ac:dyDescent="0.2">
      <c r="A262" s="512">
        <v>5</v>
      </c>
      <c r="B262" s="511" t="s">
        <v>718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719</v>
      </c>
      <c r="C263" s="546">
        <f>+C259+C260+C261+C262</f>
        <v>144725519</v>
      </c>
      <c r="D263" s="546">
        <f>+D259+D260+D261+D262</f>
        <v>155147750</v>
      </c>
      <c r="E263" s="546">
        <f t="shared" si="30"/>
        <v>10422231</v>
      </c>
    </row>
    <row r="264" spans="1:5" x14ac:dyDescent="0.2">
      <c r="A264" s="512">
        <v>7</v>
      </c>
      <c r="B264" s="511" t="s">
        <v>619</v>
      </c>
      <c r="C264" s="546">
        <f>+C258-C263</f>
        <v>86106189</v>
      </c>
      <c r="D264" s="546">
        <f>+D258-D263</f>
        <v>84979950</v>
      </c>
      <c r="E264" s="546">
        <f t="shared" si="30"/>
        <v>-1126239</v>
      </c>
    </row>
    <row r="265" spans="1:5" x14ac:dyDescent="0.2">
      <c r="A265" s="512">
        <v>8</v>
      </c>
      <c r="B265" s="511" t="s">
        <v>805</v>
      </c>
      <c r="C265" s="565">
        <f>C192</f>
        <v>319679</v>
      </c>
      <c r="D265" s="565">
        <f>D192</f>
        <v>351378</v>
      </c>
      <c r="E265" s="546">
        <f t="shared" si="30"/>
        <v>31699</v>
      </c>
    </row>
    <row r="266" spans="1:5" x14ac:dyDescent="0.2">
      <c r="A266" s="512">
        <v>9</v>
      </c>
      <c r="B266" s="511" t="s">
        <v>806</v>
      </c>
      <c r="C266" s="546">
        <f>+C264+C265</f>
        <v>86425868</v>
      </c>
      <c r="D266" s="546">
        <f>+D264+D265</f>
        <v>85331328</v>
      </c>
      <c r="E266" s="565">
        <f t="shared" si="30"/>
        <v>-1094540</v>
      </c>
    </row>
    <row r="267" spans="1:5" x14ac:dyDescent="0.2">
      <c r="A267" s="512">
        <v>10</v>
      </c>
      <c r="B267" s="511" t="s">
        <v>807</v>
      </c>
      <c r="C267" s="566">
        <f>IF(C258=0,0,C266/C258)</f>
        <v>0.37441072870283487</v>
      </c>
      <c r="D267" s="566">
        <f>IF(D258=0,0,D266/D258)</f>
        <v>0.35535811986705407</v>
      </c>
      <c r="E267" s="567">
        <f t="shared" si="30"/>
        <v>-1.9052608835780804E-2</v>
      </c>
    </row>
    <row r="268" spans="1:5" x14ac:dyDescent="0.2">
      <c r="A268" s="512">
        <v>11</v>
      </c>
      <c r="B268" s="511" t="s">
        <v>681</v>
      </c>
      <c r="C268" s="546">
        <f>+C260*C267</f>
        <v>2134972.7198346076</v>
      </c>
      <c r="D268" s="568">
        <f>+D260*D267</f>
        <v>1874149.8402258465</v>
      </c>
      <c r="E268" s="546">
        <f t="shared" si="30"/>
        <v>-260822.87960876105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963751.37292926852</v>
      </c>
      <c r="D269" s="568">
        <f>((D17+D18+D28+D29)*D267)-(D50+D51+D61+D62)</f>
        <v>1483716.7736130236</v>
      </c>
      <c r="E269" s="546">
        <f t="shared" si="30"/>
        <v>519965.40068375506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x14ac:dyDescent="0.2">
      <c r="A271" s="512">
        <v>14</v>
      </c>
      <c r="B271" s="511" t="s">
        <v>810</v>
      </c>
      <c r="C271" s="546">
        <f>+C268+C269+C270</f>
        <v>3098724.0927638761</v>
      </c>
      <c r="D271" s="546">
        <f>+D268+D269+D270</f>
        <v>3357866.6138388701</v>
      </c>
      <c r="E271" s="549">
        <f t="shared" si="30"/>
        <v>259142.521074994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0.40509162303310536</v>
      </c>
      <c r="D276" s="547">
        <f t="shared" si="31"/>
        <v>0.40118351145089126</v>
      </c>
      <c r="E276" s="574">
        <f t="shared" ref="E276:E284" si="32">D276-C276</f>
        <v>-3.9081115822141022E-3</v>
      </c>
    </row>
    <row r="277" spans="1:5" x14ac:dyDescent="0.2">
      <c r="A277" s="512">
        <v>2</v>
      </c>
      <c r="B277" s="511" t="s">
        <v>600</v>
      </c>
      <c r="C277" s="547">
        <f t="shared" si="31"/>
        <v>0.33014725565633507</v>
      </c>
      <c r="D277" s="547">
        <f t="shared" si="31"/>
        <v>0.3270465964057232</v>
      </c>
      <c r="E277" s="574">
        <f t="shared" si="32"/>
        <v>-3.1006592506118702E-3</v>
      </c>
    </row>
    <row r="278" spans="1:5" x14ac:dyDescent="0.2">
      <c r="A278" s="512">
        <v>3</v>
      </c>
      <c r="B278" s="511" t="s">
        <v>746</v>
      </c>
      <c r="C278" s="547">
        <f t="shared" si="31"/>
        <v>0.32501504197963688</v>
      </c>
      <c r="D278" s="547">
        <f t="shared" si="31"/>
        <v>0.26333872181291296</v>
      </c>
      <c r="E278" s="574">
        <f t="shared" si="32"/>
        <v>-6.1676320166723919E-2</v>
      </c>
    </row>
    <row r="279" spans="1:5" x14ac:dyDescent="0.2">
      <c r="A279" s="512">
        <v>4</v>
      </c>
      <c r="B279" s="511" t="s">
        <v>114</v>
      </c>
      <c r="C279" s="547">
        <f t="shared" si="31"/>
        <v>0.33181833819901113</v>
      </c>
      <c r="D279" s="547">
        <f t="shared" si="31"/>
        <v>0.27625764857189983</v>
      </c>
      <c r="E279" s="574">
        <f t="shared" si="32"/>
        <v>-5.5560689627111304E-2</v>
      </c>
    </row>
    <row r="280" spans="1:5" x14ac:dyDescent="0.2">
      <c r="A280" s="512">
        <v>5</v>
      </c>
      <c r="B280" s="511" t="s">
        <v>713</v>
      </c>
      <c r="C280" s="547">
        <f t="shared" si="31"/>
        <v>0.29147052943421603</v>
      </c>
      <c r="D280" s="547">
        <f t="shared" si="31"/>
        <v>0.20412195530302163</v>
      </c>
      <c r="E280" s="574">
        <f t="shared" si="32"/>
        <v>-8.7348574131194401E-2</v>
      </c>
    </row>
    <row r="281" spans="1:5" x14ac:dyDescent="0.2">
      <c r="A281" s="512">
        <v>6</v>
      </c>
      <c r="B281" s="511" t="s">
        <v>418</v>
      </c>
      <c r="C281" s="547">
        <f t="shared" si="31"/>
        <v>0.23827543235767909</v>
      </c>
      <c r="D281" s="547">
        <f t="shared" si="31"/>
        <v>0.22314473939159077</v>
      </c>
      <c r="E281" s="574">
        <f t="shared" si="32"/>
        <v>-1.5130692966088322E-2</v>
      </c>
    </row>
    <row r="282" spans="1:5" x14ac:dyDescent="0.2">
      <c r="A282" s="512">
        <v>7</v>
      </c>
      <c r="B282" s="511" t="s">
        <v>728</v>
      </c>
      <c r="C282" s="547">
        <f t="shared" si="31"/>
        <v>5.4458138208254285E-2</v>
      </c>
      <c r="D282" s="547">
        <f t="shared" si="31"/>
        <v>5.480791465736342E-2</v>
      </c>
      <c r="E282" s="574">
        <f t="shared" si="32"/>
        <v>3.4977644910913486E-4</v>
      </c>
    </row>
    <row r="283" spans="1:5" ht="29.25" customHeight="1" x14ac:dyDescent="0.2">
      <c r="A283" s="512"/>
      <c r="B283" s="516" t="s">
        <v>814</v>
      </c>
      <c r="C283" s="575">
        <f t="shared" si="31"/>
        <v>0.3296613418771478</v>
      </c>
      <c r="D283" s="575">
        <f t="shared" si="31"/>
        <v>0.31901045273182899</v>
      </c>
      <c r="E283" s="576">
        <f t="shared" si="32"/>
        <v>-1.0650889145318809E-2</v>
      </c>
    </row>
    <row r="284" spans="1:5" x14ac:dyDescent="0.2">
      <c r="A284" s="512"/>
      <c r="B284" s="516" t="s">
        <v>815</v>
      </c>
      <c r="C284" s="575">
        <f t="shared" si="31"/>
        <v>0.36018968037664867</v>
      </c>
      <c r="D284" s="575">
        <f t="shared" si="31"/>
        <v>0.34984170133785386</v>
      </c>
      <c r="E284" s="576">
        <f t="shared" si="32"/>
        <v>-1.0347979038794808E-2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0.51245230129647446</v>
      </c>
      <c r="D287" s="547">
        <f t="shared" si="33"/>
        <v>0.4922059941661418</v>
      </c>
      <c r="E287" s="574">
        <f t="shared" ref="E287:E295" si="34">D287-C287</f>
        <v>-2.0246307130332653E-2</v>
      </c>
    </row>
    <row r="288" spans="1:5" x14ac:dyDescent="0.2">
      <c r="A288" s="512">
        <v>2</v>
      </c>
      <c r="B288" s="511" t="s">
        <v>600</v>
      </c>
      <c r="C288" s="547">
        <f t="shared" si="33"/>
        <v>0.21382413261515512</v>
      </c>
      <c r="D288" s="547">
        <f t="shared" si="33"/>
        <v>0.19281629415162371</v>
      </c>
      <c r="E288" s="574">
        <f t="shared" si="34"/>
        <v>-2.1007838463531409E-2</v>
      </c>
    </row>
    <row r="289" spans="1:5" x14ac:dyDescent="0.2">
      <c r="A289" s="512">
        <v>3</v>
      </c>
      <c r="B289" s="511" t="s">
        <v>746</v>
      </c>
      <c r="C289" s="547">
        <f t="shared" si="33"/>
        <v>0.27223514708361918</v>
      </c>
      <c r="D289" s="547">
        <f t="shared" si="33"/>
        <v>0.26728140498324476</v>
      </c>
      <c r="E289" s="574">
        <f t="shared" si="34"/>
        <v>-4.9537421003744142E-3</v>
      </c>
    </row>
    <row r="290" spans="1:5" x14ac:dyDescent="0.2">
      <c r="A290" s="512">
        <v>4</v>
      </c>
      <c r="B290" s="511" t="s">
        <v>114</v>
      </c>
      <c r="C290" s="547">
        <f t="shared" si="33"/>
        <v>0.27676394858259046</v>
      </c>
      <c r="D290" s="547">
        <f t="shared" si="33"/>
        <v>0.26904543845193524</v>
      </c>
      <c r="E290" s="574">
        <f t="shared" si="34"/>
        <v>-7.7185101306552206E-3</v>
      </c>
    </row>
    <row r="291" spans="1:5" x14ac:dyDescent="0.2">
      <c r="A291" s="512">
        <v>5</v>
      </c>
      <c r="B291" s="511" t="s">
        <v>713</v>
      </c>
      <c r="C291" s="547">
        <f t="shared" si="33"/>
        <v>0.24129024941980617</v>
      </c>
      <c r="D291" s="547">
        <f t="shared" si="33"/>
        <v>0.24316468605020114</v>
      </c>
      <c r="E291" s="574">
        <f t="shared" si="34"/>
        <v>1.8744366303949656E-3</v>
      </c>
    </row>
    <row r="292" spans="1:5" x14ac:dyDescent="0.2">
      <c r="A292" s="512">
        <v>6</v>
      </c>
      <c r="B292" s="511" t="s">
        <v>418</v>
      </c>
      <c r="C292" s="547">
        <f t="shared" si="33"/>
        <v>0.29448043388196299</v>
      </c>
      <c r="D292" s="547">
        <f t="shared" si="33"/>
        <v>0.24616832437141897</v>
      </c>
      <c r="E292" s="574">
        <f t="shared" si="34"/>
        <v>-4.8312109510544016E-2</v>
      </c>
    </row>
    <row r="293" spans="1:5" x14ac:dyDescent="0.2">
      <c r="A293" s="512">
        <v>7</v>
      </c>
      <c r="B293" s="511" t="s">
        <v>728</v>
      </c>
      <c r="C293" s="547">
        <f t="shared" si="33"/>
        <v>5.4458201973322545E-2</v>
      </c>
      <c r="D293" s="547">
        <f t="shared" si="33"/>
        <v>5.4807604962609585E-2</v>
      </c>
      <c r="E293" s="574">
        <f t="shared" si="34"/>
        <v>3.4940298928703983E-4</v>
      </c>
    </row>
    <row r="294" spans="1:5" ht="29.25" customHeight="1" x14ac:dyDescent="0.2">
      <c r="A294" s="512"/>
      <c r="B294" s="516" t="s">
        <v>817</v>
      </c>
      <c r="C294" s="575">
        <f t="shared" si="33"/>
        <v>0.22054619796371636</v>
      </c>
      <c r="D294" s="575">
        <f t="shared" si="33"/>
        <v>0.20342638061485002</v>
      </c>
      <c r="E294" s="576">
        <f t="shared" si="34"/>
        <v>-1.7119817348866334E-2</v>
      </c>
    </row>
    <row r="295" spans="1:5" x14ac:dyDescent="0.2">
      <c r="A295" s="512"/>
      <c r="B295" s="516" t="s">
        <v>818</v>
      </c>
      <c r="C295" s="575">
        <f t="shared" si="33"/>
        <v>0.37896360609195712</v>
      </c>
      <c r="D295" s="575">
        <f t="shared" si="33"/>
        <v>0.35557144844721483</v>
      </c>
      <c r="E295" s="576">
        <f t="shared" si="34"/>
        <v>-2.3392157644742284E-2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86106188</v>
      </c>
      <c r="D301" s="514">
        <f>+D48+D47+D50+D51+D52+D59+D58+D61+D62+D63</f>
        <v>84979950</v>
      </c>
      <c r="E301" s="514">
        <f>D301-C301</f>
        <v>-1126238</v>
      </c>
    </row>
    <row r="302" spans="1:5" ht="25.5" x14ac:dyDescent="0.2">
      <c r="A302" s="512">
        <v>2</v>
      </c>
      <c r="B302" s="511" t="s">
        <v>822</v>
      </c>
      <c r="C302" s="546">
        <f>C265</f>
        <v>319679</v>
      </c>
      <c r="D302" s="546">
        <f>D265</f>
        <v>351378</v>
      </c>
      <c r="E302" s="514">
        <f>D302-C302</f>
        <v>31699</v>
      </c>
    </row>
    <row r="303" spans="1:5" x14ac:dyDescent="0.2">
      <c r="A303" s="512"/>
      <c r="B303" s="516" t="s">
        <v>823</v>
      </c>
      <c r="C303" s="517">
        <f>+C301+C302</f>
        <v>86425867</v>
      </c>
      <c r="D303" s="517">
        <f>+D301+D302</f>
        <v>85331328</v>
      </c>
      <c r="E303" s="517">
        <f>D303-C303</f>
        <v>-1094539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3220173</v>
      </c>
      <c r="D305" s="578">
        <v>3065190</v>
      </c>
      <c r="E305" s="579">
        <f>D305-C305</f>
        <v>-154983</v>
      </c>
    </row>
    <row r="306" spans="1:5" x14ac:dyDescent="0.2">
      <c r="A306" s="512">
        <v>4</v>
      </c>
      <c r="B306" s="516" t="s">
        <v>825</v>
      </c>
      <c r="C306" s="580">
        <f>+C303+C305</f>
        <v>89646040</v>
      </c>
      <c r="D306" s="580">
        <f>+D303+D305</f>
        <v>88396518</v>
      </c>
      <c r="E306" s="580">
        <f>D306-C306</f>
        <v>-1249522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89646041</v>
      </c>
      <c r="D308" s="513">
        <v>88396564</v>
      </c>
      <c r="E308" s="514">
        <f>D308-C308</f>
        <v>-1249477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-1</v>
      </c>
      <c r="D310" s="582">
        <f>D306-D308</f>
        <v>-46</v>
      </c>
      <c r="E310" s="580">
        <f>D310-C310</f>
        <v>-45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230831708</v>
      </c>
      <c r="D314" s="514">
        <f>+D14+D15+D16+D19+D25+D26+D27+D30</f>
        <v>240127700</v>
      </c>
      <c r="E314" s="514">
        <f>D314-C314</f>
        <v>9295992</v>
      </c>
    </row>
    <row r="315" spans="1:5" x14ac:dyDescent="0.2">
      <c r="A315" s="512">
        <v>2</v>
      </c>
      <c r="B315" s="583" t="s">
        <v>830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831</v>
      </c>
      <c r="C316" s="581">
        <f>C314+C315</f>
        <v>230831708</v>
      </c>
      <c r="D316" s="581">
        <f>D314+D315</f>
        <v>240127700</v>
      </c>
      <c r="E316" s="517">
        <f>D316-C316</f>
        <v>9295992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230831708</v>
      </c>
      <c r="D318" s="513">
        <v>240127700</v>
      </c>
      <c r="E318" s="514">
        <f>D318-C318</f>
        <v>9295992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5702221</v>
      </c>
      <c r="D324" s="513">
        <f>+D193+D194</f>
        <v>5273975</v>
      </c>
      <c r="E324" s="514">
        <f>D324-C324</f>
        <v>-428246</v>
      </c>
    </row>
    <row r="325" spans="1:5" x14ac:dyDescent="0.2">
      <c r="A325" s="512">
        <v>2</v>
      </c>
      <c r="B325" s="511" t="s">
        <v>835</v>
      </c>
      <c r="C325" s="513">
        <v>904175</v>
      </c>
      <c r="D325" s="513">
        <v>386008</v>
      </c>
      <c r="E325" s="514">
        <f>D325-C325</f>
        <v>-518167</v>
      </c>
    </row>
    <row r="326" spans="1:5" x14ac:dyDescent="0.2">
      <c r="A326" s="512"/>
      <c r="B326" s="516" t="s">
        <v>836</v>
      </c>
      <c r="C326" s="581">
        <f>C324+C325</f>
        <v>6606396</v>
      </c>
      <c r="D326" s="581">
        <f>D324+D325</f>
        <v>5659983</v>
      </c>
      <c r="E326" s="517">
        <f>D326-C326</f>
        <v>-946413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6606397</v>
      </c>
      <c r="D328" s="513">
        <v>5659983</v>
      </c>
      <c r="E328" s="514">
        <f>D328-C328</f>
        <v>-946414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-1</v>
      </c>
      <c r="D330" s="581">
        <f>D326-D328</f>
        <v>0</v>
      </c>
      <c r="E330" s="517">
        <f>D330-C330</f>
        <v>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&amp;LOFFICE OF HEALTH CARE ACCESS&amp;CTWELVE MONTHS ACTUAL FILING&amp;RNEW 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A4" sqref="A4:C4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26363581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600</v>
      </c>
      <c r="C15" s="515">
        <v>38429316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5369480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4407849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961631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103220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947053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43902016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70265597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89492748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68832746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11235892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10470053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765839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300717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4062137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80369355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169862103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115856329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124271371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240127700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10576634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12568177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1413992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1217702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196290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23033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51906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14005202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24581836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44048867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13272075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3003145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2816920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186225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74027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222636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16349247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60398114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54625501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30354449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84979950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1057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1167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283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252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31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5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51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1455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2512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1.161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1.5347999999999999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0.90699893992932867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0.82089999999999996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1.6069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0.874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1.0268999999999999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1.410420824742268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1.3054694665605093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110847139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54890286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55956853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0.50481098118373624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351378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2208785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3065190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5273975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3523807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91802230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84979950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351378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85331328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3065190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88396518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88396564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-46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240127700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240127700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240127700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5273975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386008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5659983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5659983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FILING&amp;RNEW 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A4" sqref="A4:F4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274</v>
      </c>
      <c r="D12" s="49">
        <v>238</v>
      </c>
      <c r="E12" s="49">
        <f>+D12-C12</f>
        <v>-36</v>
      </c>
      <c r="F12" s="70">
        <f>IF(C12=0,0,+E12/C12)</f>
        <v>-0.13138686131386862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250</v>
      </c>
      <c r="D13" s="49">
        <v>218</v>
      </c>
      <c r="E13" s="49">
        <f>+D13-C13</f>
        <v>-32</v>
      </c>
      <c r="F13" s="70">
        <f>IF(C13=0,0,+E13/C13)</f>
        <v>-0.128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856</v>
      </c>
      <c r="C15" s="51">
        <v>1620381</v>
      </c>
      <c r="D15" s="51">
        <v>2208785</v>
      </c>
      <c r="E15" s="51">
        <f>+D15-C15</f>
        <v>588404</v>
      </c>
      <c r="F15" s="70">
        <f>IF(C15=0,0,+E15/C15)</f>
        <v>0.36312694360153569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6481.5240000000003</v>
      </c>
      <c r="D16" s="27">
        <f>IF(D13=0,0,+D15/+D13)</f>
        <v>10132.041284403669</v>
      </c>
      <c r="E16" s="27">
        <f>+D16-C16</f>
        <v>3650.5172844036688</v>
      </c>
      <c r="F16" s="28">
        <f>IF(C16=0,0,+E16/C16)</f>
        <v>0.56321897202010951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0.418624</v>
      </c>
      <c r="D18" s="210">
        <v>0.42127900000000001</v>
      </c>
      <c r="E18" s="210">
        <f>+D18-C18</f>
        <v>2.6550000000000185E-3</v>
      </c>
      <c r="F18" s="70">
        <f>IF(C18=0,0,+E18/C18)</f>
        <v>6.3422068491056855E-3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678330.37574399996</v>
      </c>
      <c r="D19" s="27">
        <f>+D15*D18</f>
        <v>930514.73601500003</v>
      </c>
      <c r="E19" s="27">
        <f>+D19-C19</f>
        <v>252184.36027100007</v>
      </c>
      <c r="F19" s="28">
        <f>IF(C19=0,0,+E19/C19)</f>
        <v>0.37177217663944589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2713.3215029759999</v>
      </c>
      <c r="D20" s="27">
        <f>IF(D13=0,0,+D19/D13)</f>
        <v>4268.4162202522939</v>
      </c>
      <c r="E20" s="27">
        <f>+D20-C20</f>
        <v>1555.094717276294</v>
      </c>
      <c r="F20" s="28">
        <f>IF(C20=0,0,+E20/C20)</f>
        <v>0.57313323009110773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749801</v>
      </c>
      <c r="D22" s="51">
        <v>570582</v>
      </c>
      <c r="E22" s="51">
        <f>+D22-C22</f>
        <v>-179219</v>
      </c>
      <c r="F22" s="70">
        <f>IF(C22=0,0,+E22/C22)</f>
        <v>-0.23902208719380208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721359</v>
      </c>
      <c r="D23" s="49">
        <v>1306699</v>
      </c>
      <c r="E23" s="49">
        <f>+D23-C23</f>
        <v>585340</v>
      </c>
      <c r="F23" s="70">
        <f>IF(C23=0,0,+E23/C23)</f>
        <v>0.81144062803680272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149221</v>
      </c>
      <c r="D24" s="49">
        <v>331504</v>
      </c>
      <c r="E24" s="49">
        <f>+D24-C24</f>
        <v>182283</v>
      </c>
      <c r="F24" s="70">
        <f>IF(C24=0,0,+E24/C24)</f>
        <v>1.2215639889827838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1620381</v>
      </c>
      <c r="D25" s="27">
        <f>+D22+D23+D24</f>
        <v>2208785</v>
      </c>
      <c r="E25" s="27">
        <f>+E22+E23+E24</f>
        <v>588404</v>
      </c>
      <c r="F25" s="28">
        <f>IF(C25=0,0,+E25/C25)</f>
        <v>0.36312694360153569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140</v>
      </c>
      <c r="D27" s="49">
        <v>115</v>
      </c>
      <c r="E27" s="49">
        <f>+D27-C27</f>
        <v>-25</v>
      </c>
      <c r="F27" s="70">
        <f>IF(C27=0,0,+E27/C27)</f>
        <v>-0.17857142857142858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39</v>
      </c>
      <c r="D28" s="49">
        <v>39</v>
      </c>
      <c r="E28" s="49">
        <f>+D28-C28</f>
        <v>0</v>
      </c>
      <c r="F28" s="70">
        <f>IF(C28=0,0,+E28/C28)</f>
        <v>0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174</v>
      </c>
      <c r="D29" s="49">
        <v>293</v>
      </c>
      <c r="E29" s="49">
        <f>+D29-C29</f>
        <v>119</v>
      </c>
      <c r="F29" s="70">
        <f>IF(C29=0,0,+E29/C29)</f>
        <v>0.68390804597701149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484</v>
      </c>
      <c r="D30" s="49">
        <v>472</v>
      </c>
      <c r="E30" s="49">
        <f>+D30-C30</f>
        <v>-12</v>
      </c>
      <c r="F30" s="70">
        <f>IF(C30=0,0,+E30/C30)</f>
        <v>-2.4793388429752067E-2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1293341</v>
      </c>
      <c r="D33" s="51">
        <v>896929</v>
      </c>
      <c r="E33" s="51">
        <f>+D33-C33</f>
        <v>-396412</v>
      </c>
      <c r="F33" s="70">
        <f>IF(C33=0,0,+E33/C33)</f>
        <v>-0.30650230681622248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2490722</v>
      </c>
      <c r="D34" s="49">
        <v>2083090</v>
      </c>
      <c r="E34" s="49">
        <f>+D34-C34</f>
        <v>-407632</v>
      </c>
      <c r="F34" s="70">
        <f>IF(C34=0,0,+E34/C34)</f>
        <v>-0.16366017564384946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297777</v>
      </c>
      <c r="D35" s="49">
        <v>85171</v>
      </c>
      <c r="E35" s="49">
        <f>+D35-C35</f>
        <v>-212606</v>
      </c>
      <c r="F35" s="70">
        <f>IF(C35=0,0,+E35/C35)</f>
        <v>-0.71397723800024848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4081840</v>
      </c>
      <c r="D36" s="27">
        <f>+D33+D34+D35</f>
        <v>3065190</v>
      </c>
      <c r="E36" s="27">
        <f>+E33+E34+E35</f>
        <v>-1016650</v>
      </c>
      <c r="F36" s="28">
        <f>IF(C36=0,0,+E36/C36)</f>
        <v>-0.24906659741685122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1620381</v>
      </c>
      <c r="D39" s="51">
        <f>+D25</f>
        <v>2208785</v>
      </c>
      <c r="E39" s="51">
        <f>+D39-C39</f>
        <v>588404</v>
      </c>
      <c r="F39" s="70">
        <f>IF(C39=0,0,+E39/C39)</f>
        <v>0.36312694360153569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4081840</v>
      </c>
      <c r="D40" s="49">
        <f>+D36</f>
        <v>3065190</v>
      </c>
      <c r="E40" s="49">
        <f>+D40-C40</f>
        <v>-1016650</v>
      </c>
      <c r="F40" s="70">
        <f>IF(C40=0,0,+E40/C40)</f>
        <v>-0.24906659741685122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5702221</v>
      </c>
      <c r="D41" s="27">
        <f>+D39+D40</f>
        <v>5273975</v>
      </c>
      <c r="E41" s="27">
        <f>+E39+E40</f>
        <v>-428246</v>
      </c>
      <c r="F41" s="28">
        <f>IF(C41=0,0,+E41/C41)</f>
        <v>-7.5101613914999088E-2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2043142</v>
      </c>
      <c r="D43" s="51">
        <f t="shared" si="0"/>
        <v>1467511</v>
      </c>
      <c r="E43" s="51">
        <f>+D43-C43</f>
        <v>-575631</v>
      </c>
      <c r="F43" s="70">
        <f>IF(C43=0,0,+E43/C43)</f>
        <v>-0.28173812686538674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3212081</v>
      </c>
      <c r="D44" s="49">
        <f t="shared" si="0"/>
        <v>3389789</v>
      </c>
      <c r="E44" s="49">
        <f>+D44-C44</f>
        <v>177708</v>
      </c>
      <c r="F44" s="70">
        <f>IF(C44=0,0,+E44/C44)</f>
        <v>5.532488128412702E-2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446998</v>
      </c>
      <c r="D45" s="49">
        <f t="shared" si="0"/>
        <v>416675</v>
      </c>
      <c r="E45" s="49">
        <f>+D45-C45</f>
        <v>-30323</v>
      </c>
      <c r="F45" s="70">
        <f>IF(C45=0,0,+E45/C45)</f>
        <v>-6.7836992559250825E-2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5702221</v>
      </c>
      <c r="D46" s="27">
        <f>+D43+D44+D45</f>
        <v>5273975</v>
      </c>
      <c r="E46" s="27">
        <f>+E43+E44+E45</f>
        <v>-428246</v>
      </c>
      <c r="F46" s="28">
        <f>IF(C46=0,0,+E46/C46)</f>
        <v>-7.5101613914999088E-2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FILING&amp;RNEW 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A3" sqref="A3:F3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110596764</v>
      </c>
      <c r="D15" s="51">
        <v>110847139</v>
      </c>
      <c r="E15" s="51">
        <f>+D15-C15</f>
        <v>250375</v>
      </c>
      <c r="F15" s="70">
        <f>+E15/C15</f>
        <v>2.2638546639574372E-3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53635049</v>
      </c>
      <c r="D17" s="51">
        <v>55956853</v>
      </c>
      <c r="E17" s="51">
        <f>+D17-C17</f>
        <v>2321804</v>
      </c>
      <c r="F17" s="70">
        <f>+E17/C17</f>
        <v>4.3288932205506142E-2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56961715</v>
      </c>
      <c r="D19" s="27">
        <f>+D15-D17</f>
        <v>54890286</v>
      </c>
      <c r="E19" s="27">
        <f>+D19-C19</f>
        <v>-2071429</v>
      </c>
      <c r="F19" s="28">
        <f>+E19/C19</f>
        <v>-3.6365284998880386E-2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0.48496038274682252</v>
      </c>
      <c r="D21" s="628">
        <f>+D17/D15</f>
        <v>0.50481098118373624</v>
      </c>
      <c r="E21" s="628">
        <f>+D21-C21</f>
        <v>1.9850598436913724E-2</v>
      </c>
      <c r="F21" s="28">
        <f>+E21/C21</f>
        <v>4.0932412508584003E-2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FILING&amp;R&amp;12NEW 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activeCell="A2" sqref="A2:E2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75823607</v>
      </c>
      <c r="D10" s="641">
        <v>73007025</v>
      </c>
      <c r="E10" s="641">
        <v>70265597</v>
      </c>
    </row>
    <row r="11" spans="1:6" ht="26.1" customHeight="1" x14ac:dyDescent="0.25">
      <c r="A11" s="639">
        <v>2</v>
      </c>
      <c r="B11" s="640" t="s">
        <v>902</v>
      </c>
      <c r="C11" s="641">
        <v>139057828</v>
      </c>
      <c r="D11" s="641">
        <v>157824683</v>
      </c>
      <c r="E11" s="641">
        <v>169862103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214881435</v>
      </c>
      <c r="D12" s="641">
        <f>+D11+D10</f>
        <v>230831708</v>
      </c>
      <c r="E12" s="641">
        <f>+E11+E10</f>
        <v>240127700</v>
      </c>
    </row>
    <row r="13" spans="1:6" ht="26.1" customHeight="1" x14ac:dyDescent="0.25">
      <c r="A13" s="639">
        <v>4</v>
      </c>
      <c r="B13" s="640" t="s">
        <v>484</v>
      </c>
      <c r="C13" s="641">
        <v>88824490</v>
      </c>
      <c r="D13" s="641">
        <v>89326362</v>
      </c>
      <c r="E13" s="641">
        <v>88045146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95880966</v>
      </c>
      <c r="D16" s="641">
        <v>98752754</v>
      </c>
      <c r="E16" s="641">
        <v>91802230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11785</v>
      </c>
      <c r="D19" s="644">
        <v>9874</v>
      </c>
      <c r="E19" s="644">
        <v>9382</v>
      </c>
    </row>
    <row r="20" spans="1:5" ht="26.1" customHeight="1" x14ac:dyDescent="0.25">
      <c r="A20" s="639">
        <v>2</v>
      </c>
      <c r="B20" s="640" t="s">
        <v>373</v>
      </c>
      <c r="C20" s="645">
        <v>3032</v>
      </c>
      <c r="D20" s="645">
        <v>2774</v>
      </c>
      <c r="E20" s="645">
        <v>2512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3.8868733509234827</v>
      </c>
      <c r="D21" s="646">
        <f>IF(D20=0,0,+D19/D20)</f>
        <v>3.5594808940158615</v>
      </c>
      <c r="E21" s="646">
        <f>IF(E20=0,0,+E19/E20)</f>
        <v>3.7348726114649682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33398.275440457481</v>
      </c>
      <c r="D22" s="645">
        <f>IF(D10=0,0,D19*(D12/D10))</f>
        <v>31219.355737232137</v>
      </c>
      <c r="E22" s="645">
        <f>IF(E10=0,0,E19*(E12/E10))</f>
        <v>32062.320361413851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8592.5813436968256</v>
      </c>
      <c r="D23" s="645">
        <f>IF(D10=0,0,D20*(D12/D10))</f>
        <v>8770.760868450674</v>
      </c>
      <c r="E23" s="645">
        <f>IF(E10=0,0,E20*(E12/E10))</f>
        <v>8584.582045179237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1.2789539577836411</v>
      </c>
      <c r="D26" s="647">
        <v>1.2982345710165824</v>
      </c>
      <c r="E26" s="647">
        <v>1.3054694665605093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15072.472392480209</v>
      </c>
      <c r="D27" s="645">
        <f>D19*D26</f>
        <v>12818.768154217734</v>
      </c>
      <c r="E27" s="645">
        <f>E19*E26</f>
        <v>12247.914535270698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3877.7883999999999</v>
      </c>
      <c r="D28" s="645">
        <f>D20*D26</f>
        <v>3601.3026999999993</v>
      </c>
      <c r="E28" s="645">
        <f>E20*E26</f>
        <v>3279.3392999999996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42714.856557721272</v>
      </c>
      <c r="D29" s="645">
        <f>D22*D26</f>
        <v>40530.046902939641</v>
      </c>
      <c r="E29" s="645">
        <f>E22*E26</f>
        <v>41856.380258907098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10989.515917098932</v>
      </c>
      <c r="D30" s="645">
        <f>D23*D26</f>
        <v>11386.504973542089</v>
      </c>
      <c r="E30" s="645">
        <f>E23*E26</f>
        <v>11206.909743165064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18233.469240560033</v>
      </c>
      <c r="D33" s="641">
        <f>IF(D19=0,0,D12/D19)</f>
        <v>23377.730200526636</v>
      </c>
      <c r="E33" s="641">
        <f>IF(E19=0,0,E12/E19)</f>
        <v>25594.510765295247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70871.18568601583</v>
      </c>
      <c r="D34" s="641">
        <f>IF(D20=0,0,D12/D20)</f>
        <v>83212.583994232162</v>
      </c>
      <c r="E34" s="641">
        <f>IF(E20=0,0,E12/E20)</f>
        <v>95592.237261146496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6433.9081035214258</v>
      </c>
      <c r="D35" s="641">
        <f>IF(D22=0,0,D12/D22)</f>
        <v>7393.8652015393964</v>
      </c>
      <c r="E35" s="641">
        <f>IF(E22=0,0,E12/E22)</f>
        <v>7489.4049243231721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25007.785949868074</v>
      </c>
      <c r="D36" s="641">
        <f>IF(D23=0,0,D12/D23)</f>
        <v>26318.321917808214</v>
      </c>
      <c r="E36" s="641">
        <f>IF(E23=0,0,E12/E23)</f>
        <v>27971.973328025477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5030.6018167151578</v>
      </c>
      <c r="D37" s="641">
        <f>IF(D29=0,0,D12/D29)</f>
        <v>5695.3229921689972</v>
      </c>
      <c r="E37" s="641">
        <f>IF(E29=0,0,E12/E29)</f>
        <v>5736.9437709296535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19553.312140497404</v>
      </c>
      <c r="D38" s="641">
        <f>IF(D30=0,0,D12/D30)</f>
        <v>20272.393375874792</v>
      </c>
      <c r="E38" s="641">
        <f>IF(E30=0,0,E12/E30)</f>
        <v>21426.754163559715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2270.2850970607296</v>
      </c>
      <c r="D39" s="641">
        <f>IF(D22=0,0,D10/D22)</f>
        <v>2338.5179891118628</v>
      </c>
      <c r="E39" s="641">
        <f>IF(E22=0,0,E10/E22)</f>
        <v>2191.5318731754292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8824.3106427640832</v>
      </c>
      <c r="D40" s="641">
        <f>IF(D23=0,0,D10/D23)</f>
        <v>8323.9101025560685</v>
      </c>
      <c r="E40" s="641">
        <f>IF(E23=0,0,E10/E23)</f>
        <v>8185.092370275428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7537.0801866779802</v>
      </c>
      <c r="D43" s="641">
        <f>IF(D19=0,0,D13/D19)</f>
        <v>9046.6236580919594</v>
      </c>
      <c r="E43" s="641">
        <f>IF(E19=0,0,E13/E19)</f>
        <v>9384.4751652099767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29295.676121372031</v>
      </c>
      <c r="D44" s="641">
        <f>IF(D20=0,0,D13/D20)</f>
        <v>32201.284066330209</v>
      </c>
      <c r="E44" s="641">
        <f>IF(E20=0,0,E13/E20)</f>
        <v>35049.819267515923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2659.5531903542892</v>
      </c>
      <c r="D45" s="641">
        <f>IF(D22=0,0,D13/D22)</f>
        <v>2861.2493720832799</v>
      </c>
      <c r="E45" s="641">
        <f>IF(E22=0,0,E13/E22)</f>
        <v>2746.0628241354607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10337.346420951615</v>
      </c>
      <c r="D46" s="641">
        <f>IF(D23=0,0,D13/D23)</f>
        <v>10184.562472945316</v>
      </c>
      <c r="E46" s="641">
        <f>IF(E23=0,0,E13/E23)</f>
        <v>10256.194831225672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2079.4753197864552</v>
      </c>
      <c r="D47" s="641">
        <f>IF(D29=0,0,D13/D29)</f>
        <v>2203.9540742184822</v>
      </c>
      <c r="E47" s="641">
        <f>IF(E29=0,0,E13/E29)</f>
        <v>2103.5059758007592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8082.6572043810584</v>
      </c>
      <c r="D48" s="641">
        <f>IF(D30=0,0,D13/D30)</f>
        <v>7844.9324184691022</v>
      </c>
      <c r="E48" s="641">
        <f>IF(E30=0,0,E13/E30)</f>
        <v>7856.3268570711462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8135.8477725922785</v>
      </c>
      <c r="D51" s="641">
        <f>IF(D19=0,0,D16/D19)</f>
        <v>10001.29167510634</v>
      </c>
      <c r="E51" s="641">
        <f>IF(E19=0,0,E16/E19)</f>
        <v>9784.9317842677465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31623.009894459105</v>
      </c>
      <c r="D52" s="641">
        <f>IF(D20=0,0,D16/D20)</f>
        <v>35599.40663302091</v>
      </c>
      <c r="E52" s="641">
        <f>IF(E20=0,0,E16/E20)</f>
        <v>36545.473726114651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2870.8358361477913</v>
      </c>
      <c r="D53" s="641">
        <f>IF(D22=0,0,D16/D22)</f>
        <v>3163.1900040213732</v>
      </c>
      <c r="E53" s="641">
        <f>IF(E22=0,0,E16/E22)</f>
        <v>2863.2434884682125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11158.575306398983</v>
      </c>
      <c r="D54" s="641">
        <f>IF(D23=0,0,D16/D23)</f>
        <v>11259.314383456032</v>
      </c>
      <c r="E54" s="641">
        <f>IF(E23=0,0,E16/E23)</f>
        <v>10693.849685035339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2244.674891285998</v>
      </c>
      <c r="D55" s="641">
        <f>IF(D29=0,0,D16/D29)</f>
        <v>2436.5319447196957</v>
      </c>
      <c r="E55" s="641">
        <f>IF(E29=0,0,E16/E29)</f>
        <v>2193.2672971754255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8724.767016426611</v>
      </c>
      <c r="D56" s="641">
        <f>IF(D30=0,0,D16/D30)</f>
        <v>8672.7889048890665</v>
      </c>
      <c r="E56" s="641">
        <f>IF(E30=0,0,E16/E30)</f>
        <v>8191.5739578422927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13452782</v>
      </c>
      <c r="D59" s="649">
        <v>13297685</v>
      </c>
      <c r="E59" s="649">
        <v>12548614</v>
      </c>
    </row>
    <row r="60" spans="1:6" ht="26.1" customHeight="1" x14ac:dyDescent="0.25">
      <c r="A60" s="639">
        <v>2</v>
      </c>
      <c r="B60" s="640" t="s">
        <v>938</v>
      </c>
      <c r="C60" s="649">
        <v>4141553</v>
      </c>
      <c r="D60" s="649">
        <v>4423223</v>
      </c>
      <c r="E60" s="649">
        <v>3896996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17594335</v>
      </c>
      <c r="D61" s="652">
        <f>D59+D60</f>
        <v>17720908</v>
      </c>
      <c r="E61" s="652">
        <f>E59+E60</f>
        <v>16445610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4926356</v>
      </c>
      <c r="D64" s="641">
        <v>5922680</v>
      </c>
      <c r="E64" s="649">
        <v>5959747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1516620</v>
      </c>
      <c r="D65" s="649">
        <v>1970068</v>
      </c>
      <c r="E65" s="649">
        <v>1850811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6442976</v>
      </c>
      <c r="D66" s="654">
        <f>D64+D65</f>
        <v>7892748</v>
      </c>
      <c r="E66" s="654">
        <f>E64+E65</f>
        <v>7810558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19645289</v>
      </c>
      <c r="D69" s="649">
        <v>20701766</v>
      </c>
      <c r="E69" s="649">
        <v>19144523</v>
      </c>
    </row>
    <row r="70" spans="1:6" ht="26.1" customHeight="1" x14ac:dyDescent="0.25">
      <c r="A70" s="639">
        <v>2</v>
      </c>
      <c r="B70" s="640" t="s">
        <v>946</v>
      </c>
      <c r="C70" s="649">
        <v>6047969</v>
      </c>
      <c r="D70" s="649">
        <v>6886051</v>
      </c>
      <c r="E70" s="649">
        <v>5945367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25693258</v>
      </c>
      <c r="D71" s="652">
        <f>D69+D70</f>
        <v>27587817</v>
      </c>
      <c r="E71" s="652">
        <f>E69+E70</f>
        <v>25089890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38024427</v>
      </c>
      <c r="D75" s="641">
        <f t="shared" si="0"/>
        <v>39922131</v>
      </c>
      <c r="E75" s="641">
        <f t="shared" si="0"/>
        <v>37652884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11706142</v>
      </c>
      <c r="D76" s="641">
        <f t="shared" si="0"/>
        <v>13279342</v>
      </c>
      <c r="E76" s="641">
        <f t="shared" si="0"/>
        <v>11693174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49730569</v>
      </c>
      <c r="D77" s="654">
        <f>D75+D76</f>
        <v>53201473</v>
      </c>
      <c r="E77" s="654">
        <f>E75+E76</f>
        <v>49346058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160.9</v>
      </c>
      <c r="D80" s="646">
        <v>154.5</v>
      </c>
      <c r="E80" s="646">
        <v>145.80000000000001</v>
      </c>
    </row>
    <row r="81" spans="1:5" ht="26.1" customHeight="1" x14ac:dyDescent="0.25">
      <c r="A81" s="639">
        <v>2</v>
      </c>
      <c r="B81" s="640" t="s">
        <v>579</v>
      </c>
      <c r="C81" s="646">
        <v>20.7</v>
      </c>
      <c r="D81" s="646">
        <v>24.4</v>
      </c>
      <c r="E81" s="646">
        <v>24.2</v>
      </c>
    </row>
    <row r="82" spans="1:5" ht="26.1" customHeight="1" x14ac:dyDescent="0.25">
      <c r="A82" s="639">
        <v>3</v>
      </c>
      <c r="B82" s="640" t="s">
        <v>952</v>
      </c>
      <c r="C82" s="646">
        <v>306.5</v>
      </c>
      <c r="D82" s="646">
        <v>309.89999999999998</v>
      </c>
      <c r="E82" s="646">
        <v>305.5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488.1</v>
      </c>
      <c r="D83" s="656">
        <f>D80+D81+D82</f>
        <v>488.79999999999995</v>
      </c>
      <c r="E83" s="656">
        <f>E80+E81+E82</f>
        <v>475.5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83609.583592293347</v>
      </c>
      <c r="D86" s="649">
        <f>IF(D80=0,0,D59/D80)</f>
        <v>86069.158576051777</v>
      </c>
      <c r="E86" s="649">
        <f>IF(E80=0,0,E59/E80)</f>
        <v>86067.311385459529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25739.919204474827</v>
      </c>
      <c r="D87" s="649">
        <f>IF(D80=0,0,D60/D80)</f>
        <v>28629.275080906147</v>
      </c>
      <c r="E87" s="649">
        <f>IF(E80=0,0,E60/E80)</f>
        <v>26728.367626886142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109349.50279676818</v>
      </c>
      <c r="D88" s="652">
        <f>+D86+D87</f>
        <v>114698.43365695793</v>
      </c>
      <c r="E88" s="652">
        <f>+E86+E87</f>
        <v>112795.67901234567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237988.21256038648</v>
      </c>
      <c r="D91" s="641">
        <f>IF(D81=0,0,D64/D81)</f>
        <v>242732.78688524591</v>
      </c>
      <c r="E91" s="641">
        <f>IF(E81=0,0,E64/E81)</f>
        <v>246270.53719008266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73266.666666666672</v>
      </c>
      <c r="D92" s="641">
        <f>IF(D81=0,0,D65/D81)</f>
        <v>80740.491803278695</v>
      </c>
      <c r="E92" s="641">
        <f>IF(E81=0,0,E65/E81)</f>
        <v>76479.793388429753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311254.87922705314</v>
      </c>
      <c r="D93" s="654">
        <f>+D91+D92</f>
        <v>323473.27868852462</v>
      </c>
      <c r="E93" s="654">
        <f>+E91+E92</f>
        <v>322750.3305785124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64095.559543230018</v>
      </c>
      <c r="D96" s="649">
        <f>IF(D82=0,0,D69/D82)</f>
        <v>66801.43917392708</v>
      </c>
      <c r="E96" s="649">
        <f>IF(E82=0,0,E69/E82)</f>
        <v>62666.196399345332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19732.362153344209</v>
      </c>
      <c r="D97" s="649">
        <f>IF(D82=0,0,D70/D82)</f>
        <v>22220.235559858022</v>
      </c>
      <c r="E97" s="649">
        <f>IF(E82=0,0,E70/E82)</f>
        <v>19461.103109656302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83827.921696574223</v>
      </c>
      <c r="D98" s="654">
        <f>+D96+D97</f>
        <v>89021.674733785097</v>
      </c>
      <c r="E98" s="654">
        <f>+E96+E97</f>
        <v>82127.299509001634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77902.944068838347</v>
      </c>
      <c r="D101" s="641">
        <f>IF(D83=0,0,D75/D83)</f>
        <v>81673.754091653042</v>
      </c>
      <c r="E101" s="641">
        <f>IF(E83=0,0,E75/E83)</f>
        <v>79185.875920084116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23983.081335791845</v>
      </c>
      <c r="D102" s="658">
        <f>IF(D83=0,0,D76/D83)</f>
        <v>27167.229950900168</v>
      </c>
      <c r="E102" s="658">
        <f>IF(E83=0,0,E76/E83)</f>
        <v>24591.322818086224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101886.0254046302</v>
      </c>
      <c r="D103" s="654">
        <f>+D101+D102</f>
        <v>108840.9840425532</v>
      </c>
      <c r="E103" s="654">
        <f>+E101+E102</f>
        <v>103777.19873817034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4219.8191769198129</v>
      </c>
      <c r="D108" s="641">
        <f>IF(D19=0,0,D77/D19)</f>
        <v>5388.0365606643709</v>
      </c>
      <c r="E108" s="641">
        <f>IF(E19=0,0,E77/E19)</f>
        <v>5259.6523129396719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16401.902704485488</v>
      </c>
      <c r="D109" s="641">
        <f>IF(D20=0,0,D77/D20)</f>
        <v>19178.613193943762</v>
      </c>
      <c r="E109" s="641">
        <f>IF(E20=0,0,E77/E20)</f>
        <v>19644.131369426752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1489.0160747569068</v>
      </c>
      <c r="D110" s="641">
        <f>IF(D22=0,0,D77/D22)</f>
        <v>1704.1182222909245</v>
      </c>
      <c r="E110" s="641">
        <f>IF(E22=0,0,E77/E22)</f>
        <v>1539.066962208595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5787.6169000693089</v>
      </c>
      <c r="D111" s="641">
        <f>IF(D23=0,0,D77/D23)</f>
        <v>6065.7762533888199</v>
      </c>
      <c r="E111" s="641">
        <f>IF(E23=0,0,E77/E23)</f>
        <v>5748.2190443634709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1164.2452534704942</v>
      </c>
      <c r="D112" s="641">
        <f>IF(D29=0,0,D77/D29)</f>
        <v>1312.6427691387967</v>
      </c>
      <c r="E112" s="641">
        <f>IF(E29=0,0,E77/E29)</f>
        <v>1178.937540579589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4525.2738496536185</v>
      </c>
      <c r="D113" s="641">
        <f>IF(D30=0,0,D77/D30)</f>
        <v>4672.3268574176191</v>
      </c>
      <c r="E113" s="641">
        <f>IF(E30=0,0,E77/E30)</f>
        <v>4403.1815309385765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FILING&amp;R&amp;12NEW MILFORD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230831708</v>
      </c>
      <c r="D12" s="51">
        <v>240127700</v>
      </c>
      <c r="E12" s="51">
        <f t="shared" ref="E12:E19" si="0">D12-C12</f>
        <v>9295992</v>
      </c>
      <c r="F12" s="70">
        <f t="shared" ref="F12:F19" si="1">IF(C12=0,0,E12/C12)</f>
        <v>4.0271729046860411E-2</v>
      </c>
    </row>
    <row r="13" spans="1:8" ht="23.1" customHeight="1" x14ac:dyDescent="0.2">
      <c r="A13" s="25">
        <v>2</v>
      </c>
      <c r="B13" s="48" t="s">
        <v>72</v>
      </c>
      <c r="C13" s="51">
        <v>138119123</v>
      </c>
      <c r="D13" s="51">
        <v>149487761</v>
      </c>
      <c r="E13" s="51">
        <f t="shared" si="0"/>
        <v>11368638</v>
      </c>
      <c r="F13" s="70">
        <f t="shared" si="1"/>
        <v>8.2310383624431216E-2</v>
      </c>
    </row>
    <row r="14" spans="1:8" ht="23.1" customHeight="1" x14ac:dyDescent="0.2">
      <c r="A14" s="25">
        <v>3</v>
      </c>
      <c r="B14" s="48" t="s">
        <v>73</v>
      </c>
      <c r="C14" s="51">
        <v>3386223</v>
      </c>
      <c r="D14" s="51">
        <v>2594793</v>
      </c>
      <c r="E14" s="51">
        <f t="shared" si="0"/>
        <v>-791430</v>
      </c>
      <c r="F14" s="70">
        <f t="shared" si="1"/>
        <v>-0.23372057894592294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89326362</v>
      </c>
      <c r="D16" s="27">
        <f>D12-D13-D14-D15</f>
        <v>88045146</v>
      </c>
      <c r="E16" s="27">
        <f t="shared" si="0"/>
        <v>-1281216</v>
      </c>
      <c r="F16" s="28">
        <f t="shared" si="1"/>
        <v>-1.4343089445420379E-2</v>
      </c>
    </row>
    <row r="17" spans="1:7" ht="23.1" customHeight="1" x14ac:dyDescent="0.2">
      <c r="A17" s="25">
        <v>5</v>
      </c>
      <c r="B17" s="48" t="s">
        <v>76</v>
      </c>
      <c r="C17" s="51">
        <v>3899680</v>
      </c>
      <c r="D17" s="51">
        <v>3875185</v>
      </c>
      <c r="E17" s="51">
        <f t="shared" si="0"/>
        <v>-24495</v>
      </c>
      <c r="F17" s="70">
        <f t="shared" si="1"/>
        <v>-6.2812846182250855E-3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93226042</v>
      </c>
      <c r="D19" s="27">
        <f>SUM(D16:D18)</f>
        <v>91920331</v>
      </c>
      <c r="E19" s="27">
        <f t="shared" si="0"/>
        <v>-1305711</v>
      </c>
      <c r="F19" s="28">
        <f t="shared" si="1"/>
        <v>-1.4005861151972965E-2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39922131</v>
      </c>
      <c r="D22" s="51">
        <v>37652884</v>
      </c>
      <c r="E22" s="51">
        <f t="shared" ref="E22:E31" si="2">D22-C22</f>
        <v>-2269247</v>
      </c>
      <c r="F22" s="70">
        <f t="shared" ref="F22:F31" si="3">IF(C22=0,0,E22/C22)</f>
        <v>-5.6841830412309405E-2</v>
      </c>
    </row>
    <row r="23" spans="1:7" ht="23.1" customHeight="1" x14ac:dyDescent="0.2">
      <c r="A23" s="25">
        <v>2</v>
      </c>
      <c r="B23" s="48" t="s">
        <v>81</v>
      </c>
      <c r="C23" s="51">
        <v>13279342</v>
      </c>
      <c r="D23" s="51">
        <v>11693174</v>
      </c>
      <c r="E23" s="51">
        <f t="shared" si="2"/>
        <v>-1586168</v>
      </c>
      <c r="F23" s="70">
        <f t="shared" si="3"/>
        <v>-0.1194462797930801</v>
      </c>
    </row>
    <row r="24" spans="1:7" ht="23.1" customHeight="1" x14ac:dyDescent="0.2">
      <c r="A24" s="25">
        <v>3</v>
      </c>
      <c r="B24" s="48" t="s">
        <v>82</v>
      </c>
      <c r="C24" s="51">
        <v>1429887</v>
      </c>
      <c r="D24" s="51">
        <v>1312983</v>
      </c>
      <c r="E24" s="51">
        <f t="shared" si="2"/>
        <v>-116904</v>
      </c>
      <c r="F24" s="70">
        <f t="shared" si="3"/>
        <v>-8.1757509509492704E-2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14176511</v>
      </c>
      <c r="D25" s="51">
        <v>14059181</v>
      </c>
      <c r="E25" s="51">
        <f t="shared" si="2"/>
        <v>-117330</v>
      </c>
      <c r="F25" s="70">
        <f t="shared" si="3"/>
        <v>-8.276366448698131E-3</v>
      </c>
    </row>
    <row r="26" spans="1:7" ht="23.1" customHeight="1" x14ac:dyDescent="0.2">
      <c r="A26" s="25">
        <v>5</v>
      </c>
      <c r="B26" s="48" t="s">
        <v>84</v>
      </c>
      <c r="C26" s="51">
        <v>4946076</v>
      </c>
      <c r="D26" s="51">
        <v>5437648</v>
      </c>
      <c r="E26" s="51">
        <f t="shared" si="2"/>
        <v>491572</v>
      </c>
      <c r="F26" s="70">
        <f t="shared" si="3"/>
        <v>9.9386260947061877E-2</v>
      </c>
    </row>
    <row r="27" spans="1:7" ht="23.1" customHeight="1" x14ac:dyDescent="0.2">
      <c r="A27" s="25">
        <v>6</v>
      </c>
      <c r="B27" s="48" t="s">
        <v>85</v>
      </c>
      <c r="C27" s="51">
        <v>3220173</v>
      </c>
      <c r="D27" s="51">
        <v>3065190</v>
      </c>
      <c r="E27" s="51">
        <f t="shared" si="2"/>
        <v>-154983</v>
      </c>
      <c r="F27" s="70">
        <f t="shared" si="3"/>
        <v>-4.8128780658678899E-2</v>
      </c>
    </row>
    <row r="28" spans="1:7" ht="23.1" customHeight="1" x14ac:dyDescent="0.2">
      <c r="A28" s="25">
        <v>7</v>
      </c>
      <c r="B28" s="48" t="s">
        <v>86</v>
      </c>
      <c r="C28" s="51">
        <v>675584</v>
      </c>
      <c r="D28" s="51">
        <v>538204</v>
      </c>
      <c r="E28" s="51">
        <f t="shared" si="2"/>
        <v>-137380</v>
      </c>
      <c r="F28" s="70">
        <f t="shared" si="3"/>
        <v>-0.20334999052671465</v>
      </c>
    </row>
    <row r="29" spans="1:7" ht="23.1" customHeight="1" x14ac:dyDescent="0.2">
      <c r="A29" s="25">
        <v>8</v>
      </c>
      <c r="B29" s="48" t="s">
        <v>87</v>
      </c>
      <c r="C29" s="51">
        <v>2375725</v>
      </c>
      <c r="D29" s="51">
        <v>1526053</v>
      </c>
      <c r="E29" s="51">
        <f t="shared" si="2"/>
        <v>-849672</v>
      </c>
      <c r="F29" s="70">
        <f t="shared" si="3"/>
        <v>-0.3576474549874249</v>
      </c>
    </row>
    <row r="30" spans="1:7" ht="23.1" customHeight="1" x14ac:dyDescent="0.2">
      <c r="A30" s="25">
        <v>9</v>
      </c>
      <c r="B30" s="48" t="s">
        <v>88</v>
      </c>
      <c r="C30" s="51">
        <v>18727325</v>
      </c>
      <c r="D30" s="51">
        <v>16516913</v>
      </c>
      <c r="E30" s="51">
        <f t="shared" si="2"/>
        <v>-2210412</v>
      </c>
      <c r="F30" s="70">
        <f t="shared" si="3"/>
        <v>-0.11803137928134425</v>
      </c>
    </row>
    <row r="31" spans="1:7" ht="23.1" customHeight="1" x14ac:dyDescent="0.25">
      <c r="A31" s="29"/>
      <c r="B31" s="71" t="s">
        <v>89</v>
      </c>
      <c r="C31" s="27">
        <f>SUM(C22:C30)</f>
        <v>98752754</v>
      </c>
      <c r="D31" s="27">
        <f>SUM(D22:D30)</f>
        <v>91802230</v>
      </c>
      <c r="E31" s="27">
        <f t="shared" si="2"/>
        <v>-6950524</v>
      </c>
      <c r="F31" s="28">
        <f t="shared" si="3"/>
        <v>-7.0383090278170871E-2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-5526712</v>
      </c>
      <c r="D33" s="27">
        <f>+D19-D31</f>
        <v>118101</v>
      </c>
      <c r="E33" s="27">
        <f>D33-C33</f>
        <v>5644813</v>
      </c>
      <c r="F33" s="28">
        <f>IF(C33=0,0,E33/C33)</f>
        <v>-1.0213691250783468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81496</v>
      </c>
      <c r="D36" s="51">
        <v>35184</v>
      </c>
      <c r="E36" s="51">
        <f>D36-C36</f>
        <v>-46312</v>
      </c>
      <c r="F36" s="70">
        <f>IF(C36=0,0,E36/C36)</f>
        <v>-0.56827328948660061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280146</v>
      </c>
      <c r="D38" s="51">
        <v>36962</v>
      </c>
      <c r="E38" s="51">
        <f>D38-C38</f>
        <v>-243184</v>
      </c>
      <c r="F38" s="70">
        <f>IF(C38=0,0,E38/C38)</f>
        <v>-0.86806165356635467</v>
      </c>
    </row>
    <row r="39" spans="1:6" ht="23.1" customHeight="1" x14ac:dyDescent="0.25">
      <c r="A39" s="20"/>
      <c r="B39" s="71" t="s">
        <v>95</v>
      </c>
      <c r="C39" s="27">
        <f>SUM(C36:C38)</f>
        <v>361642</v>
      </c>
      <c r="D39" s="27">
        <f>SUM(D36:D38)</f>
        <v>72146</v>
      </c>
      <c r="E39" s="27">
        <f>D39-C39</f>
        <v>-289496</v>
      </c>
      <c r="F39" s="28">
        <f>IF(C39=0,0,E39/C39)</f>
        <v>-0.80050436619640419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-5165070</v>
      </c>
      <c r="D41" s="27">
        <f>D33+D39</f>
        <v>190247</v>
      </c>
      <c r="E41" s="27">
        <f>D41-C41</f>
        <v>5355317</v>
      </c>
      <c r="F41" s="28">
        <f>IF(C41=0,0,E41/C41)</f>
        <v>-1.0368333827034291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-5165070</v>
      </c>
      <c r="D48" s="27">
        <f>D41+D46</f>
        <v>190247</v>
      </c>
      <c r="E48" s="27">
        <f>D48-C48</f>
        <v>5355317</v>
      </c>
      <c r="F48" s="28">
        <f>IF(C48=0,0,E48/C48)</f>
        <v>-1.0368333827034291</v>
      </c>
    </row>
    <row r="49" spans="1:6" ht="23.1" customHeight="1" x14ac:dyDescent="0.2">
      <c r="A49" s="44"/>
      <c r="B49" s="48" t="s">
        <v>102</v>
      </c>
      <c r="C49" s="51">
        <v>1412730</v>
      </c>
      <c r="D49" s="51">
        <v>1871926</v>
      </c>
      <c r="E49" s="51">
        <f>D49-C49</f>
        <v>459196</v>
      </c>
      <c r="F49" s="70">
        <f>IF(C49=0,0,E49/C49)</f>
        <v>0.32504158614880407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FILING&amp;RNEW MILFORD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38677463</v>
      </c>
      <c r="D14" s="97">
        <v>36103221</v>
      </c>
      <c r="E14" s="97">
        <f t="shared" ref="E14:E25" si="0">D14-C14</f>
        <v>-2574242</v>
      </c>
      <c r="F14" s="98">
        <f t="shared" ref="F14:F25" si="1">IF(C14=0,0,E14/C14)</f>
        <v>-6.6556640491130456E-2</v>
      </c>
    </row>
    <row r="15" spans="1:6" ht="18" customHeight="1" x14ac:dyDescent="0.25">
      <c r="A15" s="99">
        <v>2</v>
      </c>
      <c r="B15" s="100" t="s">
        <v>113</v>
      </c>
      <c r="C15" s="97">
        <v>1779387</v>
      </c>
      <c r="D15" s="97">
        <v>2326095</v>
      </c>
      <c r="E15" s="97">
        <f t="shared" si="0"/>
        <v>546708</v>
      </c>
      <c r="F15" s="98">
        <f t="shared" si="1"/>
        <v>0.3072451355438699</v>
      </c>
    </row>
    <row r="16" spans="1:6" ht="18" customHeight="1" x14ac:dyDescent="0.25">
      <c r="A16" s="99">
        <v>3</v>
      </c>
      <c r="B16" s="100" t="s">
        <v>114</v>
      </c>
      <c r="C16" s="97">
        <v>1258906</v>
      </c>
      <c r="D16" s="97">
        <v>2873479</v>
      </c>
      <c r="E16" s="97">
        <f t="shared" si="0"/>
        <v>1614573</v>
      </c>
      <c r="F16" s="98">
        <f t="shared" si="1"/>
        <v>1.2825206965412828</v>
      </c>
    </row>
    <row r="17" spans="1:6" ht="18" customHeight="1" x14ac:dyDescent="0.25">
      <c r="A17" s="99">
        <v>4</v>
      </c>
      <c r="B17" s="100" t="s">
        <v>115</v>
      </c>
      <c r="C17" s="97">
        <v>1182686</v>
      </c>
      <c r="D17" s="97">
        <v>1534370</v>
      </c>
      <c r="E17" s="97">
        <f t="shared" si="0"/>
        <v>351684</v>
      </c>
      <c r="F17" s="98">
        <f t="shared" si="1"/>
        <v>0.29736041519050704</v>
      </c>
    </row>
    <row r="18" spans="1:6" ht="18" customHeight="1" x14ac:dyDescent="0.25">
      <c r="A18" s="99">
        <v>5</v>
      </c>
      <c r="B18" s="100" t="s">
        <v>116</v>
      </c>
      <c r="C18" s="97">
        <v>65802</v>
      </c>
      <c r="D18" s="97">
        <v>103220</v>
      </c>
      <c r="E18" s="97">
        <f t="shared" si="0"/>
        <v>37418</v>
      </c>
      <c r="F18" s="98">
        <f t="shared" si="1"/>
        <v>0.56864532992918149</v>
      </c>
    </row>
    <row r="19" spans="1:6" ht="18" customHeight="1" x14ac:dyDescent="0.25">
      <c r="A19" s="99">
        <v>6</v>
      </c>
      <c r="B19" s="100" t="s">
        <v>117</v>
      </c>
      <c r="C19" s="97">
        <v>1802193</v>
      </c>
      <c r="D19" s="97">
        <v>2419019</v>
      </c>
      <c r="E19" s="97">
        <f t="shared" si="0"/>
        <v>616826</v>
      </c>
      <c r="F19" s="98">
        <f t="shared" si="1"/>
        <v>0.34226411932573259</v>
      </c>
    </row>
    <row r="20" spans="1:6" ht="18" customHeight="1" x14ac:dyDescent="0.25">
      <c r="A20" s="99">
        <v>7</v>
      </c>
      <c r="B20" s="100" t="s">
        <v>118</v>
      </c>
      <c r="C20" s="97">
        <v>24798525</v>
      </c>
      <c r="D20" s="97">
        <v>22043791</v>
      </c>
      <c r="E20" s="97">
        <f t="shared" si="0"/>
        <v>-2754734</v>
      </c>
      <c r="F20" s="98">
        <f t="shared" si="1"/>
        <v>-0.11108459071658495</v>
      </c>
    </row>
    <row r="21" spans="1:6" ht="18" customHeight="1" x14ac:dyDescent="0.25">
      <c r="A21" s="99">
        <v>8</v>
      </c>
      <c r="B21" s="100" t="s">
        <v>119</v>
      </c>
      <c r="C21" s="97">
        <v>1740810</v>
      </c>
      <c r="D21" s="97">
        <v>953718</v>
      </c>
      <c r="E21" s="97">
        <f t="shared" si="0"/>
        <v>-787092</v>
      </c>
      <c r="F21" s="98">
        <f t="shared" si="1"/>
        <v>-0.45214124459303429</v>
      </c>
    </row>
    <row r="22" spans="1:6" ht="18" customHeight="1" x14ac:dyDescent="0.25">
      <c r="A22" s="99">
        <v>9</v>
      </c>
      <c r="B22" s="100" t="s">
        <v>120</v>
      </c>
      <c r="C22" s="97">
        <v>1206064</v>
      </c>
      <c r="D22" s="97">
        <v>947053</v>
      </c>
      <c r="E22" s="97">
        <f t="shared" si="0"/>
        <v>-259011</v>
      </c>
      <c r="F22" s="98">
        <f t="shared" si="1"/>
        <v>-0.2147572599795699</v>
      </c>
    </row>
    <row r="23" spans="1:6" ht="18" customHeight="1" x14ac:dyDescent="0.25">
      <c r="A23" s="99">
        <v>10</v>
      </c>
      <c r="B23" s="100" t="s">
        <v>121</v>
      </c>
      <c r="C23" s="97">
        <v>393529</v>
      </c>
      <c r="D23" s="97">
        <v>488981</v>
      </c>
      <c r="E23" s="97">
        <f t="shared" si="0"/>
        <v>95452</v>
      </c>
      <c r="F23" s="98">
        <f t="shared" si="1"/>
        <v>0.24255391597569684</v>
      </c>
    </row>
    <row r="24" spans="1:6" ht="18" customHeight="1" x14ac:dyDescent="0.25">
      <c r="A24" s="99">
        <v>11</v>
      </c>
      <c r="B24" s="100" t="s">
        <v>122</v>
      </c>
      <c r="C24" s="97">
        <v>101660</v>
      </c>
      <c r="D24" s="97">
        <v>472650</v>
      </c>
      <c r="E24" s="97">
        <f t="shared" si="0"/>
        <v>370990</v>
      </c>
      <c r="F24" s="98">
        <f t="shared" si="1"/>
        <v>3.6493212669683257</v>
      </c>
    </row>
    <row r="25" spans="1:6" ht="18" customHeight="1" x14ac:dyDescent="0.25">
      <c r="A25" s="101"/>
      <c r="B25" s="102" t="s">
        <v>123</v>
      </c>
      <c r="C25" s="103">
        <f>SUM(C14:C24)</f>
        <v>73007025</v>
      </c>
      <c r="D25" s="103">
        <f>SUM(D14:D24)</f>
        <v>70265597</v>
      </c>
      <c r="E25" s="103">
        <f t="shared" si="0"/>
        <v>-2741428</v>
      </c>
      <c r="F25" s="104">
        <f t="shared" si="1"/>
        <v>-3.7550194655925233E-2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59901818</v>
      </c>
      <c r="D27" s="97">
        <v>64832570</v>
      </c>
      <c r="E27" s="97">
        <f t="shared" ref="E27:E38" si="2">D27-C27</f>
        <v>4930752</v>
      </c>
      <c r="F27" s="98">
        <f t="shared" ref="F27:F38" si="3">IF(C27=0,0,E27/C27)</f>
        <v>8.2313895715151755E-2</v>
      </c>
    </row>
    <row r="28" spans="1:6" ht="18" customHeight="1" x14ac:dyDescent="0.25">
      <c r="A28" s="99">
        <v>2</v>
      </c>
      <c r="B28" s="100" t="s">
        <v>113</v>
      </c>
      <c r="C28" s="97">
        <v>4046469</v>
      </c>
      <c r="D28" s="97">
        <v>4000176</v>
      </c>
      <c r="E28" s="97">
        <f t="shared" si="2"/>
        <v>-46293</v>
      </c>
      <c r="F28" s="98">
        <f t="shared" si="3"/>
        <v>-1.1440344656044566E-2</v>
      </c>
    </row>
    <row r="29" spans="1:6" ht="18" customHeight="1" x14ac:dyDescent="0.25">
      <c r="A29" s="99">
        <v>3</v>
      </c>
      <c r="B29" s="100" t="s">
        <v>114</v>
      </c>
      <c r="C29" s="97">
        <v>3822182</v>
      </c>
      <c r="D29" s="97">
        <v>4455068</v>
      </c>
      <c r="E29" s="97">
        <f t="shared" si="2"/>
        <v>632886</v>
      </c>
      <c r="F29" s="98">
        <f t="shared" si="3"/>
        <v>0.16558238200064779</v>
      </c>
    </row>
    <row r="30" spans="1:6" ht="18" customHeight="1" x14ac:dyDescent="0.25">
      <c r="A30" s="99">
        <v>4</v>
      </c>
      <c r="B30" s="100" t="s">
        <v>115</v>
      </c>
      <c r="C30" s="97">
        <v>3167435</v>
      </c>
      <c r="D30" s="97">
        <v>6014985</v>
      </c>
      <c r="E30" s="97">
        <f t="shared" si="2"/>
        <v>2847550</v>
      </c>
      <c r="F30" s="98">
        <f t="shared" si="3"/>
        <v>0.89900818801332938</v>
      </c>
    </row>
    <row r="31" spans="1:6" ht="18" customHeight="1" x14ac:dyDescent="0.25">
      <c r="A31" s="99">
        <v>5</v>
      </c>
      <c r="B31" s="100" t="s">
        <v>116</v>
      </c>
      <c r="C31" s="97">
        <v>212408</v>
      </c>
      <c r="D31" s="97">
        <v>300717</v>
      </c>
      <c r="E31" s="97">
        <f t="shared" si="2"/>
        <v>88309</v>
      </c>
      <c r="F31" s="98">
        <f t="shared" si="3"/>
        <v>0.41575176076230652</v>
      </c>
    </row>
    <row r="32" spans="1:6" ht="18" customHeight="1" x14ac:dyDescent="0.25">
      <c r="A32" s="99">
        <v>6</v>
      </c>
      <c r="B32" s="100" t="s">
        <v>117</v>
      </c>
      <c r="C32" s="97">
        <v>5357707</v>
      </c>
      <c r="D32" s="97">
        <v>7749409</v>
      </c>
      <c r="E32" s="97">
        <f t="shared" si="2"/>
        <v>2391702</v>
      </c>
      <c r="F32" s="98">
        <f t="shared" si="3"/>
        <v>0.4464040306795426</v>
      </c>
    </row>
    <row r="33" spans="1:6" ht="18" customHeight="1" x14ac:dyDescent="0.25">
      <c r="A33" s="99">
        <v>7</v>
      </c>
      <c r="B33" s="100" t="s">
        <v>118</v>
      </c>
      <c r="C33" s="97">
        <v>75387106</v>
      </c>
      <c r="D33" s="97">
        <v>76178979</v>
      </c>
      <c r="E33" s="97">
        <f t="shared" si="2"/>
        <v>791873</v>
      </c>
      <c r="F33" s="98">
        <f t="shared" si="3"/>
        <v>1.0504090712807041E-2</v>
      </c>
    </row>
    <row r="34" spans="1:6" ht="18" customHeight="1" x14ac:dyDescent="0.25">
      <c r="A34" s="99">
        <v>8</v>
      </c>
      <c r="B34" s="100" t="s">
        <v>119</v>
      </c>
      <c r="C34" s="97">
        <v>1510423</v>
      </c>
      <c r="D34" s="97">
        <v>1502223</v>
      </c>
      <c r="E34" s="97">
        <f t="shared" si="2"/>
        <v>-8200</v>
      </c>
      <c r="F34" s="98">
        <f t="shared" si="3"/>
        <v>-5.4289427531228011E-3</v>
      </c>
    </row>
    <row r="35" spans="1:6" ht="18" customHeight="1" x14ac:dyDescent="0.25">
      <c r="A35" s="99">
        <v>9</v>
      </c>
      <c r="B35" s="100" t="s">
        <v>120</v>
      </c>
      <c r="C35" s="97">
        <v>3396201</v>
      </c>
      <c r="D35" s="97">
        <v>4062137</v>
      </c>
      <c r="E35" s="97">
        <f t="shared" si="2"/>
        <v>665936</v>
      </c>
      <c r="F35" s="98">
        <f t="shared" si="3"/>
        <v>0.19608262290718365</v>
      </c>
    </row>
    <row r="36" spans="1:6" ht="18" customHeight="1" x14ac:dyDescent="0.25">
      <c r="A36" s="99">
        <v>10</v>
      </c>
      <c r="B36" s="100" t="s">
        <v>121</v>
      </c>
      <c r="C36" s="97">
        <v>837929</v>
      </c>
      <c r="D36" s="97">
        <v>494608</v>
      </c>
      <c r="E36" s="97">
        <f t="shared" si="2"/>
        <v>-343321</v>
      </c>
      <c r="F36" s="98">
        <f t="shared" si="3"/>
        <v>-0.40972564501288294</v>
      </c>
    </row>
    <row r="37" spans="1:6" ht="18" customHeight="1" x14ac:dyDescent="0.25">
      <c r="A37" s="99">
        <v>11</v>
      </c>
      <c r="B37" s="100" t="s">
        <v>122</v>
      </c>
      <c r="C37" s="97">
        <v>185005</v>
      </c>
      <c r="D37" s="97">
        <v>271231</v>
      </c>
      <c r="E37" s="97">
        <f t="shared" si="2"/>
        <v>86226</v>
      </c>
      <c r="F37" s="98">
        <f t="shared" si="3"/>
        <v>0.4660738898948677</v>
      </c>
    </row>
    <row r="38" spans="1:6" ht="18" customHeight="1" x14ac:dyDescent="0.25">
      <c r="A38" s="101"/>
      <c r="B38" s="102" t="s">
        <v>126</v>
      </c>
      <c r="C38" s="103">
        <f>SUM(C27:C37)</f>
        <v>157824683</v>
      </c>
      <c r="D38" s="103">
        <f>SUM(D27:D37)</f>
        <v>169862103</v>
      </c>
      <c r="E38" s="103">
        <f t="shared" si="2"/>
        <v>12037420</v>
      </c>
      <c r="F38" s="104">
        <f t="shared" si="3"/>
        <v>7.627083274420389E-2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98579281</v>
      </c>
      <c r="D41" s="103">
        <f t="shared" si="4"/>
        <v>100935791</v>
      </c>
      <c r="E41" s="107">
        <f t="shared" ref="E41:E52" si="5">D41-C41</f>
        <v>2356510</v>
      </c>
      <c r="F41" s="108">
        <f t="shared" ref="F41:F52" si="6">IF(C41=0,0,E41/C41)</f>
        <v>2.3904718883068339E-2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5825856</v>
      </c>
      <c r="D42" s="103">
        <f t="shared" si="4"/>
        <v>6326271</v>
      </c>
      <c r="E42" s="107">
        <f t="shared" si="5"/>
        <v>500415</v>
      </c>
      <c r="F42" s="108">
        <f t="shared" si="6"/>
        <v>8.5895531918399631E-2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5081088</v>
      </c>
      <c r="D43" s="103">
        <f t="shared" si="4"/>
        <v>7328547</v>
      </c>
      <c r="E43" s="107">
        <f t="shared" si="5"/>
        <v>2247459</v>
      </c>
      <c r="F43" s="108">
        <f t="shared" si="6"/>
        <v>0.44231845620465537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4350121</v>
      </c>
      <c r="D44" s="103">
        <f t="shared" si="4"/>
        <v>7549355</v>
      </c>
      <c r="E44" s="107">
        <f t="shared" si="5"/>
        <v>3199234</v>
      </c>
      <c r="F44" s="108">
        <f t="shared" si="6"/>
        <v>0.73543563500877329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278210</v>
      </c>
      <c r="D45" s="103">
        <f t="shared" si="4"/>
        <v>403937</v>
      </c>
      <c r="E45" s="107">
        <f t="shared" si="5"/>
        <v>125727</v>
      </c>
      <c r="F45" s="108">
        <f t="shared" si="6"/>
        <v>0.45191402178210704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7159900</v>
      </c>
      <c r="D46" s="103">
        <f t="shared" si="4"/>
        <v>10168428</v>
      </c>
      <c r="E46" s="107">
        <f t="shared" si="5"/>
        <v>3008528</v>
      </c>
      <c r="F46" s="108">
        <f t="shared" si="6"/>
        <v>0.42019134345451753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100185631</v>
      </c>
      <c r="D47" s="103">
        <f t="shared" si="4"/>
        <v>98222770</v>
      </c>
      <c r="E47" s="107">
        <f t="shared" si="5"/>
        <v>-1962861</v>
      </c>
      <c r="F47" s="108">
        <f t="shared" si="6"/>
        <v>-1.959224072761492E-2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3251233</v>
      </c>
      <c r="D48" s="103">
        <f t="shared" si="4"/>
        <v>2455941</v>
      </c>
      <c r="E48" s="107">
        <f t="shared" si="5"/>
        <v>-795292</v>
      </c>
      <c r="F48" s="108">
        <f t="shared" si="6"/>
        <v>-0.24461242857709675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4602265</v>
      </c>
      <c r="D49" s="103">
        <f t="shared" si="4"/>
        <v>5009190</v>
      </c>
      <c r="E49" s="107">
        <f t="shared" si="5"/>
        <v>406925</v>
      </c>
      <c r="F49" s="108">
        <f t="shared" si="6"/>
        <v>8.841842006055714E-2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1231458</v>
      </c>
      <c r="D50" s="103">
        <f t="shared" si="4"/>
        <v>983589</v>
      </c>
      <c r="E50" s="107">
        <f t="shared" si="5"/>
        <v>-247869</v>
      </c>
      <c r="F50" s="108">
        <f t="shared" si="6"/>
        <v>-0.20128092066477299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286665</v>
      </c>
      <c r="D51" s="103">
        <f t="shared" si="4"/>
        <v>743881</v>
      </c>
      <c r="E51" s="107">
        <f t="shared" si="5"/>
        <v>457216</v>
      </c>
      <c r="F51" s="108">
        <f t="shared" si="6"/>
        <v>1.5949488078419061</v>
      </c>
    </row>
    <row r="52" spans="1:6" ht="18.75" customHeight="1" thickBot="1" x14ac:dyDescent="0.3">
      <c r="A52" s="109"/>
      <c r="B52" s="110" t="s">
        <v>128</v>
      </c>
      <c r="C52" s="111">
        <f>SUM(C41:C51)</f>
        <v>230831708</v>
      </c>
      <c r="D52" s="112">
        <f>SUM(D41:D51)</f>
        <v>240127700</v>
      </c>
      <c r="E52" s="111">
        <f t="shared" si="5"/>
        <v>9295992</v>
      </c>
      <c r="F52" s="113">
        <f t="shared" si="6"/>
        <v>4.0271729046860411E-2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12709505</v>
      </c>
      <c r="D57" s="97">
        <v>11851190</v>
      </c>
      <c r="E57" s="97">
        <f t="shared" ref="E57:E68" si="7">D57-C57</f>
        <v>-858315</v>
      </c>
      <c r="F57" s="98">
        <f t="shared" ref="F57:F68" si="8">IF(C57=0,0,E57/C57)</f>
        <v>-6.7533314633418065E-2</v>
      </c>
    </row>
    <row r="58" spans="1:6" ht="18" customHeight="1" x14ac:dyDescent="0.25">
      <c r="A58" s="99">
        <v>2</v>
      </c>
      <c r="B58" s="100" t="s">
        <v>113</v>
      </c>
      <c r="C58" s="97">
        <v>647213</v>
      </c>
      <c r="D58" s="97">
        <v>716987</v>
      </c>
      <c r="E58" s="97">
        <f t="shared" si="7"/>
        <v>69774</v>
      </c>
      <c r="F58" s="98">
        <f t="shared" si="8"/>
        <v>0.10780685802046622</v>
      </c>
    </row>
    <row r="59" spans="1:6" ht="18" customHeight="1" x14ac:dyDescent="0.25">
      <c r="A59" s="99">
        <v>3</v>
      </c>
      <c r="B59" s="100" t="s">
        <v>114</v>
      </c>
      <c r="C59" s="97">
        <v>366933</v>
      </c>
      <c r="D59" s="97">
        <v>586539</v>
      </c>
      <c r="E59" s="97">
        <f t="shared" si="7"/>
        <v>219606</v>
      </c>
      <c r="F59" s="98">
        <f t="shared" si="8"/>
        <v>0.59849073264056385</v>
      </c>
    </row>
    <row r="60" spans="1:6" ht="18" customHeight="1" x14ac:dyDescent="0.25">
      <c r="A60" s="99">
        <v>4</v>
      </c>
      <c r="B60" s="100" t="s">
        <v>115</v>
      </c>
      <c r="C60" s="97">
        <v>443232</v>
      </c>
      <c r="D60" s="97">
        <v>631163</v>
      </c>
      <c r="E60" s="97">
        <f t="shared" si="7"/>
        <v>187931</v>
      </c>
      <c r="F60" s="98">
        <f t="shared" si="8"/>
        <v>0.42400142588982748</v>
      </c>
    </row>
    <row r="61" spans="1:6" ht="18" customHeight="1" x14ac:dyDescent="0.25">
      <c r="A61" s="99">
        <v>5</v>
      </c>
      <c r="B61" s="100" t="s">
        <v>116</v>
      </c>
      <c r="C61" s="97">
        <v>15679</v>
      </c>
      <c r="D61" s="97">
        <v>23033</v>
      </c>
      <c r="E61" s="97">
        <f t="shared" si="7"/>
        <v>7354</v>
      </c>
      <c r="F61" s="98">
        <f t="shared" si="8"/>
        <v>0.46903501498820077</v>
      </c>
    </row>
    <row r="62" spans="1:6" ht="18" customHeight="1" x14ac:dyDescent="0.25">
      <c r="A62" s="99">
        <v>6</v>
      </c>
      <c r="B62" s="100" t="s">
        <v>117</v>
      </c>
      <c r="C62" s="97">
        <v>724301</v>
      </c>
      <c r="D62" s="97">
        <v>951353</v>
      </c>
      <c r="E62" s="97">
        <f t="shared" si="7"/>
        <v>227052</v>
      </c>
      <c r="F62" s="98">
        <f t="shared" si="8"/>
        <v>0.31347740787324607</v>
      </c>
    </row>
    <row r="63" spans="1:6" ht="18" customHeight="1" x14ac:dyDescent="0.25">
      <c r="A63" s="99">
        <v>7</v>
      </c>
      <c r="B63" s="100" t="s">
        <v>118</v>
      </c>
      <c r="C63" s="97">
        <v>10099075</v>
      </c>
      <c r="D63" s="97">
        <v>8937596</v>
      </c>
      <c r="E63" s="97">
        <f t="shared" si="7"/>
        <v>-1161479</v>
      </c>
      <c r="F63" s="98">
        <f t="shared" si="8"/>
        <v>-0.1150084537445261</v>
      </c>
    </row>
    <row r="64" spans="1:6" ht="18" customHeight="1" x14ac:dyDescent="0.25">
      <c r="A64" s="99">
        <v>8</v>
      </c>
      <c r="B64" s="100" t="s">
        <v>119</v>
      </c>
      <c r="C64" s="97">
        <v>1080426</v>
      </c>
      <c r="D64" s="97">
        <v>635779</v>
      </c>
      <c r="E64" s="97">
        <f t="shared" si="7"/>
        <v>-444647</v>
      </c>
      <c r="F64" s="98">
        <f t="shared" si="8"/>
        <v>-0.41154785242117459</v>
      </c>
    </row>
    <row r="65" spans="1:6" ht="18" customHeight="1" x14ac:dyDescent="0.25">
      <c r="A65" s="99">
        <v>9</v>
      </c>
      <c r="B65" s="100" t="s">
        <v>120</v>
      </c>
      <c r="C65" s="97">
        <v>65680</v>
      </c>
      <c r="D65" s="97">
        <v>51906</v>
      </c>
      <c r="E65" s="97">
        <f t="shared" si="7"/>
        <v>-13774</v>
      </c>
      <c r="F65" s="98">
        <f t="shared" si="8"/>
        <v>-0.20971376370280145</v>
      </c>
    </row>
    <row r="66" spans="1:6" ht="18" customHeight="1" x14ac:dyDescent="0.25">
      <c r="A66" s="99">
        <v>10</v>
      </c>
      <c r="B66" s="100" t="s">
        <v>121</v>
      </c>
      <c r="C66" s="97">
        <v>114702</v>
      </c>
      <c r="D66" s="97">
        <v>99812</v>
      </c>
      <c r="E66" s="97">
        <f t="shared" si="7"/>
        <v>-14890</v>
      </c>
      <c r="F66" s="98">
        <f t="shared" si="8"/>
        <v>-0.12981465013687643</v>
      </c>
    </row>
    <row r="67" spans="1:6" ht="18" customHeight="1" x14ac:dyDescent="0.25">
      <c r="A67" s="99">
        <v>11</v>
      </c>
      <c r="B67" s="100" t="s">
        <v>122</v>
      </c>
      <c r="C67" s="97">
        <v>29631</v>
      </c>
      <c r="D67" s="97">
        <v>96478</v>
      </c>
      <c r="E67" s="97">
        <f t="shared" si="7"/>
        <v>66847</v>
      </c>
      <c r="F67" s="98">
        <f t="shared" si="8"/>
        <v>2.2559819108366237</v>
      </c>
    </row>
    <row r="68" spans="1:6" ht="18" customHeight="1" x14ac:dyDescent="0.25">
      <c r="A68" s="101"/>
      <c r="B68" s="102" t="s">
        <v>131</v>
      </c>
      <c r="C68" s="103">
        <f>SUM(C57:C67)</f>
        <v>26296377</v>
      </c>
      <c r="D68" s="103">
        <f>SUM(D57:D67)</f>
        <v>24581836</v>
      </c>
      <c r="E68" s="103">
        <f t="shared" si="7"/>
        <v>-1714541</v>
      </c>
      <c r="F68" s="104">
        <f t="shared" si="8"/>
        <v>-6.520065482784948E-2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12469898</v>
      </c>
      <c r="D70" s="97">
        <v>12195254</v>
      </c>
      <c r="E70" s="97">
        <f t="shared" ref="E70:E81" si="9">D70-C70</f>
        <v>-274644</v>
      </c>
      <c r="F70" s="98">
        <f t="shared" ref="F70:F81" si="10">IF(C70=0,0,E70/C70)</f>
        <v>-2.2024558661185519E-2</v>
      </c>
    </row>
    <row r="71" spans="1:6" ht="18" customHeight="1" x14ac:dyDescent="0.25">
      <c r="A71" s="99">
        <v>2</v>
      </c>
      <c r="B71" s="100" t="s">
        <v>113</v>
      </c>
      <c r="C71" s="97">
        <v>1203789</v>
      </c>
      <c r="D71" s="97">
        <v>1076821</v>
      </c>
      <c r="E71" s="97">
        <f t="shared" si="9"/>
        <v>-126968</v>
      </c>
      <c r="F71" s="98">
        <f t="shared" si="10"/>
        <v>-0.10547363366835882</v>
      </c>
    </row>
    <row r="72" spans="1:6" ht="18" customHeight="1" x14ac:dyDescent="0.25">
      <c r="A72" s="99">
        <v>3</v>
      </c>
      <c r="B72" s="100" t="s">
        <v>114</v>
      </c>
      <c r="C72" s="97">
        <v>922256</v>
      </c>
      <c r="D72" s="97">
        <v>1083315</v>
      </c>
      <c r="E72" s="97">
        <f t="shared" si="9"/>
        <v>161059</v>
      </c>
      <c r="F72" s="98">
        <f t="shared" si="10"/>
        <v>0.17463589285404488</v>
      </c>
    </row>
    <row r="73" spans="1:6" ht="18" customHeight="1" x14ac:dyDescent="0.25">
      <c r="A73" s="99">
        <v>4</v>
      </c>
      <c r="B73" s="100" t="s">
        <v>115</v>
      </c>
      <c r="C73" s="97">
        <v>1012218</v>
      </c>
      <c r="D73" s="97">
        <v>1733605</v>
      </c>
      <c r="E73" s="97">
        <f t="shared" si="9"/>
        <v>721387</v>
      </c>
      <c r="F73" s="98">
        <f t="shared" si="10"/>
        <v>0.71267948208785059</v>
      </c>
    </row>
    <row r="74" spans="1:6" ht="18" customHeight="1" x14ac:dyDescent="0.25">
      <c r="A74" s="99">
        <v>5</v>
      </c>
      <c r="B74" s="100" t="s">
        <v>116</v>
      </c>
      <c r="C74" s="97">
        <v>62550</v>
      </c>
      <c r="D74" s="97">
        <v>74027</v>
      </c>
      <c r="E74" s="97">
        <f t="shared" si="9"/>
        <v>11477</v>
      </c>
      <c r="F74" s="98">
        <f t="shared" si="10"/>
        <v>0.18348521183053557</v>
      </c>
    </row>
    <row r="75" spans="1:6" ht="18" customHeight="1" x14ac:dyDescent="0.25">
      <c r="A75" s="99">
        <v>6</v>
      </c>
      <c r="B75" s="100" t="s">
        <v>117</v>
      </c>
      <c r="C75" s="97">
        <v>2661747</v>
      </c>
      <c r="D75" s="97">
        <v>3599304</v>
      </c>
      <c r="E75" s="97">
        <f t="shared" si="9"/>
        <v>937557</v>
      </c>
      <c r="F75" s="98">
        <f t="shared" si="10"/>
        <v>0.35223370215125632</v>
      </c>
    </row>
    <row r="76" spans="1:6" ht="18" customHeight="1" x14ac:dyDescent="0.25">
      <c r="A76" s="99">
        <v>7</v>
      </c>
      <c r="B76" s="100" t="s">
        <v>118</v>
      </c>
      <c r="C76" s="97">
        <v>40015675</v>
      </c>
      <c r="D76" s="97">
        <v>39237528</v>
      </c>
      <c r="E76" s="97">
        <f t="shared" si="9"/>
        <v>-778147</v>
      </c>
      <c r="F76" s="98">
        <f t="shared" si="10"/>
        <v>-1.9446054577362495E-2</v>
      </c>
    </row>
    <row r="77" spans="1:6" ht="18" customHeight="1" x14ac:dyDescent="0.25">
      <c r="A77" s="99">
        <v>8</v>
      </c>
      <c r="B77" s="100" t="s">
        <v>119</v>
      </c>
      <c r="C77" s="97">
        <v>1029903</v>
      </c>
      <c r="D77" s="97">
        <v>989399</v>
      </c>
      <c r="E77" s="97">
        <f t="shared" si="9"/>
        <v>-40504</v>
      </c>
      <c r="F77" s="98">
        <f t="shared" si="10"/>
        <v>-3.9327975547211728E-2</v>
      </c>
    </row>
    <row r="78" spans="1:6" ht="18" customHeight="1" x14ac:dyDescent="0.25">
      <c r="A78" s="99">
        <v>9</v>
      </c>
      <c r="B78" s="100" t="s">
        <v>120</v>
      </c>
      <c r="C78" s="97">
        <v>184951</v>
      </c>
      <c r="D78" s="97">
        <v>222636</v>
      </c>
      <c r="E78" s="97">
        <f t="shared" si="9"/>
        <v>37685</v>
      </c>
      <c r="F78" s="98">
        <f t="shared" si="10"/>
        <v>0.20375667068574921</v>
      </c>
    </row>
    <row r="79" spans="1:6" ht="18" customHeight="1" x14ac:dyDescent="0.25">
      <c r="A79" s="99">
        <v>10</v>
      </c>
      <c r="B79" s="100" t="s">
        <v>121</v>
      </c>
      <c r="C79" s="97">
        <v>202184</v>
      </c>
      <c r="D79" s="97">
        <v>120271</v>
      </c>
      <c r="E79" s="97">
        <f t="shared" si="9"/>
        <v>-81913</v>
      </c>
      <c r="F79" s="98">
        <f t="shared" si="10"/>
        <v>-0.40514086178926129</v>
      </c>
    </row>
    <row r="80" spans="1:6" ht="18" customHeight="1" x14ac:dyDescent="0.25">
      <c r="A80" s="99">
        <v>11</v>
      </c>
      <c r="B80" s="100" t="s">
        <v>122</v>
      </c>
      <c r="C80" s="97">
        <v>44640</v>
      </c>
      <c r="D80" s="97">
        <v>65954</v>
      </c>
      <c r="E80" s="97">
        <f t="shared" si="9"/>
        <v>21314</v>
      </c>
      <c r="F80" s="98">
        <f t="shared" si="10"/>
        <v>0.47746415770609318</v>
      </c>
    </row>
    <row r="81" spans="1:6" ht="18" customHeight="1" x14ac:dyDescent="0.25">
      <c r="A81" s="101"/>
      <c r="B81" s="102" t="s">
        <v>133</v>
      </c>
      <c r="C81" s="103">
        <f>SUM(C70:C80)</f>
        <v>59809811</v>
      </c>
      <c r="D81" s="103">
        <f>SUM(D70:D80)</f>
        <v>60398114</v>
      </c>
      <c r="E81" s="103">
        <f t="shared" si="9"/>
        <v>588303</v>
      </c>
      <c r="F81" s="104">
        <f t="shared" si="10"/>
        <v>9.8362290427568815E-3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25179403</v>
      </c>
      <c r="D84" s="103">
        <f t="shared" si="11"/>
        <v>24046444</v>
      </c>
      <c r="E84" s="103">
        <f t="shared" ref="E84:E95" si="12">D84-C84</f>
        <v>-1132959</v>
      </c>
      <c r="F84" s="104">
        <f t="shared" ref="F84:F95" si="13">IF(C84=0,0,E84/C84)</f>
        <v>-4.4995467128430326E-2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1851002</v>
      </c>
      <c r="D85" s="103">
        <f t="shared" si="11"/>
        <v>1793808</v>
      </c>
      <c r="E85" s="103">
        <f t="shared" si="12"/>
        <v>-57194</v>
      </c>
      <c r="F85" s="104">
        <f t="shared" si="13"/>
        <v>-3.0898940141609786E-2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1289189</v>
      </c>
      <c r="D86" s="103">
        <f t="shared" si="11"/>
        <v>1669854</v>
      </c>
      <c r="E86" s="103">
        <f t="shared" si="12"/>
        <v>380665</v>
      </c>
      <c r="F86" s="104">
        <f t="shared" si="13"/>
        <v>0.29527478127722157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1455450</v>
      </c>
      <c r="D87" s="103">
        <f t="shared" si="11"/>
        <v>2364768</v>
      </c>
      <c r="E87" s="103">
        <f t="shared" si="12"/>
        <v>909318</v>
      </c>
      <c r="F87" s="104">
        <f t="shared" si="13"/>
        <v>0.62476759765021128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78229</v>
      </c>
      <c r="D88" s="103">
        <f t="shared" si="11"/>
        <v>97060</v>
      </c>
      <c r="E88" s="103">
        <f t="shared" si="12"/>
        <v>18831</v>
      </c>
      <c r="F88" s="104">
        <f t="shared" si="13"/>
        <v>0.2407163583837196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3386048</v>
      </c>
      <c r="D89" s="103">
        <f t="shared" si="11"/>
        <v>4550657</v>
      </c>
      <c r="E89" s="103">
        <f t="shared" si="12"/>
        <v>1164609</v>
      </c>
      <c r="F89" s="104">
        <f t="shared" si="13"/>
        <v>0.343943440849037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50114750</v>
      </c>
      <c r="D90" s="103">
        <f t="shared" si="11"/>
        <v>48175124</v>
      </c>
      <c r="E90" s="103">
        <f t="shared" si="12"/>
        <v>-1939626</v>
      </c>
      <c r="F90" s="104">
        <f t="shared" si="13"/>
        <v>-3.8703695019929263E-2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2110329</v>
      </c>
      <c r="D91" s="103">
        <f t="shared" si="11"/>
        <v>1625178</v>
      </c>
      <c r="E91" s="103">
        <f t="shared" si="12"/>
        <v>-485151</v>
      </c>
      <c r="F91" s="104">
        <f t="shared" si="13"/>
        <v>-0.22989353792702466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250631</v>
      </c>
      <c r="D92" s="103">
        <f t="shared" si="11"/>
        <v>274542</v>
      </c>
      <c r="E92" s="103">
        <f t="shared" si="12"/>
        <v>23911</v>
      </c>
      <c r="F92" s="104">
        <f t="shared" si="13"/>
        <v>9.5403202317351013E-2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316886</v>
      </c>
      <c r="D93" s="103">
        <f t="shared" si="11"/>
        <v>220083</v>
      </c>
      <c r="E93" s="103">
        <f t="shared" si="12"/>
        <v>-96803</v>
      </c>
      <c r="F93" s="104">
        <f t="shared" si="13"/>
        <v>-0.30548209766288192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74271</v>
      </c>
      <c r="D94" s="103">
        <f t="shared" si="11"/>
        <v>162432</v>
      </c>
      <c r="E94" s="103">
        <f t="shared" si="12"/>
        <v>88161</v>
      </c>
      <c r="F94" s="104">
        <f t="shared" si="13"/>
        <v>1.1870178131437574</v>
      </c>
    </row>
    <row r="95" spans="1:6" ht="18.75" customHeight="1" thickBot="1" x14ac:dyDescent="0.3">
      <c r="A95" s="115"/>
      <c r="B95" s="116" t="s">
        <v>134</v>
      </c>
      <c r="C95" s="112">
        <f>SUM(C84:C94)</f>
        <v>86106188</v>
      </c>
      <c r="D95" s="112">
        <f>SUM(D84:D94)</f>
        <v>84979950</v>
      </c>
      <c r="E95" s="112">
        <f t="shared" si="12"/>
        <v>-1126238</v>
      </c>
      <c r="F95" s="113">
        <f t="shared" si="13"/>
        <v>-1.3079640687380099E-2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1184</v>
      </c>
      <c r="D100" s="117">
        <v>1098</v>
      </c>
      <c r="E100" s="117">
        <f t="shared" ref="E100:E111" si="14">D100-C100</f>
        <v>-86</v>
      </c>
      <c r="F100" s="98">
        <f t="shared" ref="F100:F111" si="15">IF(C100=0,0,E100/C100)</f>
        <v>-7.2635135135135129E-2</v>
      </c>
    </row>
    <row r="101" spans="1:6" ht="18" customHeight="1" x14ac:dyDescent="0.25">
      <c r="A101" s="99">
        <v>2</v>
      </c>
      <c r="B101" s="100" t="s">
        <v>113</v>
      </c>
      <c r="C101" s="117">
        <v>64</v>
      </c>
      <c r="D101" s="117">
        <v>69</v>
      </c>
      <c r="E101" s="117">
        <f t="shared" si="14"/>
        <v>5</v>
      </c>
      <c r="F101" s="98">
        <f t="shared" si="15"/>
        <v>7.8125E-2</v>
      </c>
    </row>
    <row r="102" spans="1:6" ht="18" customHeight="1" x14ac:dyDescent="0.25">
      <c r="A102" s="99">
        <v>3</v>
      </c>
      <c r="B102" s="100" t="s">
        <v>114</v>
      </c>
      <c r="C102" s="117">
        <v>72</v>
      </c>
      <c r="D102" s="117">
        <v>101</v>
      </c>
      <c r="E102" s="117">
        <f t="shared" si="14"/>
        <v>29</v>
      </c>
      <c r="F102" s="98">
        <f t="shared" si="15"/>
        <v>0.40277777777777779</v>
      </c>
    </row>
    <row r="103" spans="1:6" ht="18" customHeight="1" x14ac:dyDescent="0.25">
      <c r="A103" s="99">
        <v>4</v>
      </c>
      <c r="B103" s="100" t="s">
        <v>115</v>
      </c>
      <c r="C103" s="117">
        <v>136</v>
      </c>
      <c r="D103" s="117">
        <v>151</v>
      </c>
      <c r="E103" s="117">
        <f t="shared" si="14"/>
        <v>15</v>
      </c>
      <c r="F103" s="98">
        <f t="shared" si="15"/>
        <v>0.11029411764705882</v>
      </c>
    </row>
    <row r="104" spans="1:6" ht="18" customHeight="1" x14ac:dyDescent="0.25">
      <c r="A104" s="99">
        <v>5</v>
      </c>
      <c r="B104" s="100" t="s">
        <v>116</v>
      </c>
      <c r="C104" s="117">
        <v>6</v>
      </c>
      <c r="D104" s="117">
        <v>5</v>
      </c>
      <c r="E104" s="117">
        <f t="shared" si="14"/>
        <v>-1</v>
      </c>
      <c r="F104" s="98">
        <f t="shared" si="15"/>
        <v>-0.16666666666666666</v>
      </c>
    </row>
    <row r="105" spans="1:6" ht="18" customHeight="1" x14ac:dyDescent="0.25">
      <c r="A105" s="99">
        <v>6</v>
      </c>
      <c r="B105" s="100" t="s">
        <v>117</v>
      </c>
      <c r="C105" s="117">
        <v>82</v>
      </c>
      <c r="D105" s="117">
        <v>96</v>
      </c>
      <c r="E105" s="117">
        <f t="shared" si="14"/>
        <v>14</v>
      </c>
      <c r="F105" s="98">
        <f t="shared" si="15"/>
        <v>0.17073170731707318</v>
      </c>
    </row>
    <row r="106" spans="1:6" ht="18" customHeight="1" x14ac:dyDescent="0.25">
      <c r="A106" s="99">
        <v>7</v>
      </c>
      <c r="B106" s="100" t="s">
        <v>118</v>
      </c>
      <c r="C106" s="117">
        <v>1113</v>
      </c>
      <c r="D106" s="117">
        <v>894</v>
      </c>
      <c r="E106" s="117">
        <f t="shared" si="14"/>
        <v>-219</v>
      </c>
      <c r="F106" s="98">
        <f t="shared" si="15"/>
        <v>-0.19676549865229109</v>
      </c>
    </row>
    <row r="107" spans="1:6" ht="18" customHeight="1" x14ac:dyDescent="0.25">
      <c r="A107" s="99">
        <v>8</v>
      </c>
      <c r="B107" s="100" t="s">
        <v>119</v>
      </c>
      <c r="C107" s="117">
        <v>30</v>
      </c>
      <c r="D107" s="117">
        <v>16</v>
      </c>
      <c r="E107" s="117">
        <f t="shared" si="14"/>
        <v>-14</v>
      </c>
      <c r="F107" s="98">
        <f t="shared" si="15"/>
        <v>-0.46666666666666667</v>
      </c>
    </row>
    <row r="108" spans="1:6" ht="18" customHeight="1" x14ac:dyDescent="0.25">
      <c r="A108" s="99">
        <v>9</v>
      </c>
      <c r="B108" s="100" t="s">
        <v>120</v>
      </c>
      <c r="C108" s="117">
        <v>60</v>
      </c>
      <c r="D108" s="117">
        <v>51</v>
      </c>
      <c r="E108" s="117">
        <f t="shared" si="14"/>
        <v>-9</v>
      </c>
      <c r="F108" s="98">
        <f t="shared" si="15"/>
        <v>-0.15</v>
      </c>
    </row>
    <row r="109" spans="1:6" ht="18" customHeight="1" x14ac:dyDescent="0.25">
      <c r="A109" s="99">
        <v>10</v>
      </c>
      <c r="B109" s="100" t="s">
        <v>121</v>
      </c>
      <c r="C109" s="117">
        <v>22</v>
      </c>
      <c r="D109" s="117">
        <v>11</v>
      </c>
      <c r="E109" s="117">
        <f t="shared" si="14"/>
        <v>-11</v>
      </c>
      <c r="F109" s="98">
        <f t="shared" si="15"/>
        <v>-0.5</v>
      </c>
    </row>
    <row r="110" spans="1:6" ht="18" customHeight="1" x14ac:dyDescent="0.25">
      <c r="A110" s="99">
        <v>11</v>
      </c>
      <c r="B110" s="100" t="s">
        <v>122</v>
      </c>
      <c r="C110" s="117">
        <v>5</v>
      </c>
      <c r="D110" s="117">
        <v>20</v>
      </c>
      <c r="E110" s="117">
        <f t="shared" si="14"/>
        <v>15</v>
      </c>
      <c r="F110" s="98">
        <f t="shared" si="15"/>
        <v>3</v>
      </c>
    </row>
    <row r="111" spans="1:6" ht="18" customHeight="1" x14ac:dyDescent="0.25">
      <c r="A111" s="101"/>
      <c r="B111" s="102" t="s">
        <v>138</v>
      </c>
      <c r="C111" s="118">
        <f>SUM(C100:C110)</f>
        <v>2774</v>
      </c>
      <c r="D111" s="118">
        <f>SUM(D100:D110)</f>
        <v>2512</v>
      </c>
      <c r="E111" s="118">
        <f t="shared" si="14"/>
        <v>-262</v>
      </c>
      <c r="F111" s="104">
        <f t="shared" si="15"/>
        <v>-9.4448449891852915E-2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5137</v>
      </c>
      <c r="D113" s="117">
        <v>4756</v>
      </c>
      <c r="E113" s="117">
        <f t="shared" ref="E113:E124" si="16">D113-C113</f>
        <v>-381</v>
      </c>
      <c r="F113" s="98">
        <f t="shared" ref="F113:F124" si="17">IF(C113=0,0,E113/C113)</f>
        <v>-7.4167802219194084E-2</v>
      </c>
    </row>
    <row r="114" spans="1:6" ht="18" customHeight="1" x14ac:dyDescent="0.25">
      <c r="A114" s="99">
        <v>2</v>
      </c>
      <c r="B114" s="100" t="s">
        <v>113</v>
      </c>
      <c r="C114" s="117">
        <v>233</v>
      </c>
      <c r="D114" s="117">
        <v>295</v>
      </c>
      <c r="E114" s="117">
        <f t="shared" si="16"/>
        <v>62</v>
      </c>
      <c r="F114" s="98">
        <f t="shared" si="17"/>
        <v>0.26609442060085836</v>
      </c>
    </row>
    <row r="115" spans="1:6" ht="18" customHeight="1" x14ac:dyDescent="0.25">
      <c r="A115" s="99">
        <v>3</v>
      </c>
      <c r="B115" s="100" t="s">
        <v>114</v>
      </c>
      <c r="C115" s="117">
        <v>234</v>
      </c>
      <c r="D115" s="117">
        <v>527</v>
      </c>
      <c r="E115" s="117">
        <f t="shared" si="16"/>
        <v>293</v>
      </c>
      <c r="F115" s="98">
        <f t="shared" si="17"/>
        <v>1.2521367521367521</v>
      </c>
    </row>
    <row r="116" spans="1:6" ht="18" customHeight="1" x14ac:dyDescent="0.25">
      <c r="A116" s="99">
        <v>4</v>
      </c>
      <c r="B116" s="100" t="s">
        <v>115</v>
      </c>
      <c r="C116" s="117">
        <v>320</v>
      </c>
      <c r="D116" s="117">
        <v>422</v>
      </c>
      <c r="E116" s="117">
        <f t="shared" si="16"/>
        <v>102</v>
      </c>
      <c r="F116" s="98">
        <f t="shared" si="17"/>
        <v>0.31874999999999998</v>
      </c>
    </row>
    <row r="117" spans="1:6" ht="18" customHeight="1" x14ac:dyDescent="0.25">
      <c r="A117" s="99">
        <v>5</v>
      </c>
      <c r="B117" s="100" t="s">
        <v>116</v>
      </c>
      <c r="C117" s="117">
        <v>17</v>
      </c>
      <c r="D117" s="117">
        <v>15</v>
      </c>
      <c r="E117" s="117">
        <f t="shared" si="16"/>
        <v>-2</v>
      </c>
      <c r="F117" s="98">
        <f t="shared" si="17"/>
        <v>-0.11764705882352941</v>
      </c>
    </row>
    <row r="118" spans="1:6" ht="18" customHeight="1" x14ac:dyDescent="0.25">
      <c r="A118" s="99">
        <v>6</v>
      </c>
      <c r="B118" s="100" t="s">
        <v>117</v>
      </c>
      <c r="C118" s="117">
        <v>248</v>
      </c>
      <c r="D118" s="117">
        <v>294</v>
      </c>
      <c r="E118" s="117">
        <f t="shared" si="16"/>
        <v>46</v>
      </c>
      <c r="F118" s="98">
        <f t="shared" si="17"/>
        <v>0.18548387096774194</v>
      </c>
    </row>
    <row r="119" spans="1:6" ht="18" customHeight="1" x14ac:dyDescent="0.25">
      <c r="A119" s="99">
        <v>7</v>
      </c>
      <c r="B119" s="100" t="s">
        <v>118</v>
      </c>
      <c r="C119" s="117">
        <v>3353</v>
      </c>
      <c r="D119" s="117">
        <v>2767</v>
      </c>
      <c r="E119" s="117">
        <f t="shared" si="16"/>
        <v>-586</v>
      </c>
      <c r="F119" s="98">
        <f t="shared" si="17"/>
        <v>-0.17476886370414554</v>
      </c>
    </row>
    <row r="120" spans="1:6" ht="18" customHeight="1" x14ac:dyDescent="0.25">
      <c r="A120" s="99">
        <v>8</v>
      </c>
      <c r="B120" s="100" t="s">
        <v>119</v>
      </c>
      <c r="C120" s="117">
        <v>68</v>
      </c>
      <c r="D120" s="117">
        <v>33</v>
      </c>
      <c r="E120" s="117">
        <f t="shared" si="16"/>
        <v>-35</v>
      </c>
      <c r="F120" s="98">
        <f t="shared" si="17"/>
        <v>-0.51470588235294112</v>
      </c>
    </row>
    <row r="121" spans="1:6" ht="18" customHeight="1" x14ac:dyDescent="0.25">
      <c r="A121" s="99">
        <v>9</v>
      </c>
      <c r="B121" s="100" t="s">
        <v>120</v>
      </c>
      <c r="C121" s="117">
        <v>189</v>
      </c>
      <c r="D121" s="117">
        <v>144</v>
      </c>
      <c r="E121" s="117">
        <f t="shared" si="16"/>
        <v>-45</v>
      </c>
      <c r="F121" s="98">
        <f t="shared" si="17"/>
        <v>-0.23809523809523808</v>
      </c>
    </row>
    <row r="122" spans="1:6" ht="18" customHeight="1" x14ac:dyDescent="0.25">
      <c r="A122" s="99">
        <v>10</v>
      </c>
      <c r="B122" s="100" t="s">
        <v>121</v>
      </c>
      <c r="C122" s="117">
        <v>56</v>
      </c>
      <c r="D122" s="117">
        <v>59</v>
      </c>
      <c r="E122" s="117">
        <f t="shared" si="16"/>
        <v>3</v>
      </c>
      <c r="F122" s="98">
        <f t="shared" si="17"/>
        <v>5.3571428571428568E-2</v>
      </c>
    </row>
    <row r="123" spans="1:6" ht="18" customHeight="1" x14ac:dyDescent="0.25">
      <c r="A123" s="99">
        <v>11</v>
      </c>
      <c r="B123" s="100" t="s">
        <v>122</v>
      </c>
      <c r="C123" s="117">
        <v>19</v>
      </c>
      <c r="D123" s="117">
        <v>70</v>
      </c>
      <c r="E123" s="117">
        <f t="shared" si="16"/>
        <v>51</v>
      </c>
      <c r="F123" s="98">
        <f t="shared" si="17"/>
        <v>2.6842105263157894</v>
      </c>
    </row>
    <row r="124" spans="1:6" ht="18" customHeight="1" x14ac:dyDescent="0.25">
      <c r="A124" s="101"/>
      <c r="B124" s="102" t="s">
        <v>140</v>
      </c>
      <c r="C124" s="118">
        <f>SUM(C113:C123)</f>
        <v>9874</v>
      </c>
      <c r="D124" s="118">
        <f>SUM(D113:D123)</f>
        <v>9382</v>
      </c>
      <c r="E124" s="118">
        <f t="shared" si="16"/>
        <v>-492</v>
      </c>
      <c r="F124" s="104">
        <f t="shared" si="17"/>
        <v>-4.9827830666396594E-2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34475</v>
      </c>
      <c r="D126" s="117">
        <v>35277</v>
      </c>
      <c r="E126" s="117">
        <f t="shared" ref="E126:E137" si="18">D126-C126</f>
        <v>802</v>
      </c>
      <c r="F126" s="98">
        <f t="shared" ref="F126:F137" si="19">IF(C126=0,0,E126/C126)</f>
        <v>2.3263234227701234E-2</v>
      </c>
    </row>
    <row r="127" spans="1:6" ht="18" customHeight="1" x14ac:dyDescent="0.25">
      <c r="A127" s="99">
        <v>2</v>
      </c>
      <c r="B127" s="100" t="s">
        <v>113</v>
      </c>
      <c r="C127" s="117">
        <v>2563</v>
      </c>
      <c r="D127" s="117">
        <v>2849</v>
      </c>
      <c r="E127" s="117">
        <f t="shared" si="18"/>
        <v>286</v>
      </c>
      <c r="F127" s="98">
        <f t="shared" si="19"/>
        <v>0.11158798283261803</v>
      </c>
    </row>
    <row r="128" spans="1:6" ht="18" customHeight="1" x14ac:dyDescent="0.25">
      <c r="A128" s="99">
        <v>3</v>
      </c>
      <c r="B128" s="100" t="s">
        <v>114</v>
      </c>
      <c r="C128" s="117">
        <v>3641</v>
      </c>
      <c r="D128" s="117">
        <v>2472</v>
      </c>
      <c r="E128" s="117">
        <f t="shared" si="18"/>
        <v>-1169</v>
      </c>
      <c r="F128" s="98">
        <f t="shared" si="19"/>
        <v>-0.32106564130733317</v>
      </c>
    </row>
    <row r="129" spans="1:6" ht="18" customHeight="1" x14ac:dyDescent="0.25">
      <c r="A129" s="99">
        <v>4</v>
      </c>
      <c r="B129" s="100" t="s">
        <v>115</v>
      </c>
      <c r="C129" s="117">
        <v>3784</v>
      </c>
      <c r="D129" s="117">
        <v>5582</v>
      </c>
      <c r="E129" s="117">
        <f t="shared" si="18"/>
        <v>1798</v>
      </c>
      <c r="F129" s="98">
        <f t="shared" si="19"/>
        <v>0.47515856236786469</v>
      </c>
    </row>
    <row r="130" spans="1:6" ht="18" customHeight="1" x14ac:dyDescent="0.25">
      <c r="A130" s="99">
        <v>5</v>
      </c>
      <c r="B130" s="100" t="s">
        <v>116</v>
      </c>
      <c r="C130" s="117">
        <v>259</v>
      </c>
      <c r="D130" s="117">
        <v>248</v>
      </c>
      <c r="E130" s="117">
        <f t="shared" si="18"/>
        <v>-11</v>
      </c>
      <c r="F130" s="98">
        <f t="shared" si="19"/>
        <v>-4.2471042471042469E-2</v>
      </c>
    </row>
    <row r="131" spans="1:6" ht="18" customHeight="1" x14ac:dyDescent="0.25">
      <c r="A131" s="99">
        <v>6</v>
      </c>
      <c r="B131" s="100" t="s">
        <v>117</v>
      </c>
      <c r="C131" s="117">
        <v>5457</v>
      </c>
      <c r="D131" s="117">
        <v>6386</v>
      </c>
      <c r="E131" s="117">
        <f t="shared" si="18"/>
        <v>929</v>
      </c>
      <c r="F131" s="98">
        <f t="shared" si="19"/>
        <v>0.17024005864027855</v>
      </c>
    </row>
    <row r="132" spans="1:6" ht="18" customHeight="1" x14ac:dyDescent="0.25">
      <c r="A132" s="99">
        <v>7</v>
      </c>
      <c r="B132" s="100" t="s">
        <v>118</v>
      </c>
      <c r="C132" s="117">
        <v>51409</v>
      </c>
      <c r="D132" s="117">
        <v>48031</v>
      </c>
      <c r="E132" s="117">
        <f t="shared" si="18"/>
        <v>-3378</v>
      </c>
      <c r="F132" s="98">
        <f t="shared" si="19"/>
        <v>-6.5708339006788699E-2</v>
      </c>
    </row>
    <row r="133" spans="1:6" ht="18" customHeight="1" x14ac:dyDescent="0.25">
      <c r="A133" s="99">
        <v>8</v>
      </c>
      <c r="B133" s="100" t="s">
        <v>119</v>
      </c>
      <c r="C133" s="117">
        <v>855</v>
      </c>
      <c r="D133" s="117">
        <v>713</v>
      </c>
      <c r="E133" s="117">
        <f t="shared" si="18"/>
        <v>-142</v>
      </c>
      <c r="F133" s="98">
        <f t="shared" si="19"/>
        <v>-0.16608187134502925</v>
      </c>
    </row>
    <row r="134" spans="1:6" ht="18" customHeight="1" x14ac:dyDescent="0.25">
      <c r="A134" s="99">
        <v>9</v>
      </c>
      <c r="B134" s="100" t="s">
        <v>120</v>
      </c>
      <c r="C134" s="117">
        <v>5963</v>
      </c>
      <c r="D134" s="117">
        <v>5386</v>
      </c>
      <c r="E134" s="117">
        <f t="shared" si="18"/>
        <v>-577</v>
      </c>
      <c r="F134" s="98">
        <f t="shared" si="19"/>
        <v>-9.6763374140533293E-2</v>
      </c>
    </row>
    <row r="135" spans="1:6" ht="18" customHeight="1" x14ac:dyDescent="0.25">
      <c r="A135" s="99">
        <v>10</v>
      </c>
      <c r="B135" s="100" t="s">
        <v>121</v>
      </c>
      <c r="C135" s="117">
        <v>1212</v>
      </c>
      <c r="D135" s="117">
        <v>986</v>
      </c>
      <c r="E135" s="117">
        <f t="shared" si="18"/>
        <v>-226</v>
      </c>
      <c r="F135" s="98">
        <f t="shared" si="19"/>
        <v>-0.18646864686468648</v>
      </c>
    </row>
    <row r="136" spans="1:6" ht="18" customHeight="1" x14ac:dyDescent="0.25">
      <c r="A136" s="99">
        <v>11</v>
      </c>
      <c r="B136" s="100" t="s">
        <v>122</v>
      </c>
      <c r="C136" s="117">
        <v>212</v>
      </c>
      <c r="D136" s="117">
        <v>1920</v>
      </c>
      <c r="E136" s="117">
        <f t="shared" si="18"/>
        <v>1708</v>
      </c>
      <c r="F136" s="98">
        <f t="shared" si="19"/>
        <v>8.0566037735849054</v>
      </c>
    </row>
    <row r="137" spans="1:6" ht="18" customHeight="1" x14ac:dyDescent="0.25">
      <c r="A137" s="101"/>
      <c r="B137" s="102" t="s">
        <v>143</v>
      </c>
      <c r="C137" s="118">
        <f>SUM(C126:C136)</f>
        <v>109830</v>
      </c>
      <c r="D137" s="118">
        <f>SUM(D126:D136)</f>
        <v>109850</v>
      </c>
      <c r="E137" s="118">
        <f t="shared" si="18"/>
        <v>20</v>
      </c>
      <c r="F137" s="104">
        <f t="shared" si="19"/>
        <v>1.8209960848584176E-4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3676806</v>
      </c>
      <c r="D142" s="97">
        <v>4984595</v>
      </c>
      <c r="E142" s="97">
        <f t="shared" ref="E142:E153" si="20">D142-C142</f>
        <v>1307789</v>
      </c>
      <c r="F142" s="98">
        <f t="shared" ref="F142:F153" si="21">IF(C142=0,0,E142/C142)</f>
        <v>0.35568615804042963</v>
      </c>
    </row>
    <row r="143" spans="1:6" ht="18" customHeight="1" x14ac:dyDescent="0.25">
      <c r="A143" s="99">
        <v>2</v>
      </c>
      <c r="B143" s="100" t="s">
        <v>113</v>
      </c>
      <c r="C143" s="97">
        <v>180079</v>
      </c>
      <c r="D143" s="97">
        <v>328388</v>
      </c>
      <c r="E143" s="97">
        <f t="shared" si="20"/>
        <v>148309</v>
      </c>
      <c r="F143" s="98">
        <f t="shared" si="21"/>
        <v>0.82357742990576355</v>
      </c>
    </row>
    <row r="144" spans="1:6" ht="18" customHeight="1" x14ac:dyDescent="0.25">
      <c r="A144" s="99">
        <v>3</v>
      </c>
      <c r="B144" s="100" t="s">
        <v>114</v>
      </c>
      <c r="C144" s="97">
        <v>436206</v>
      </c>
      <c r="D144" s="97">
        <v>603180</v>
      </c>
      <c r="E144" s="97">
        <f t="shared" si="20"/>
        <v>166974</v>
      </c>
      <c r="F144" s="98">
        <f t="shared" si="21"/>
        <v>0.38278703181524326</v>
      </c>
    </row>
    <row r="145" spans="1:6" ht="18" customHeight="1" x14ac:dyDescent="0.25">
      <c r="A145" s="99">
        <v>4</v>
      </c>
      <c r="B145" s="100" t="s">
        <v>115</v>
      </c>
      <c r="C145" s="97">
        <v>1105212</v>
      </c>
      <c r="D145" s="97">
        <v>1801893</v>
      </c>
      <c r="E145" s="97">
        <f t="shared" si="20"/>
        <v>696681</v>
      </c>
      <c r="F145" s="98">
        <f t="shared" si="21"/>
        <v>0.63035960521601286</v>
      </c>
    </row>
    <row r="146" spans="1:6" ht="18" customHeight="1" x14ac:dyDescent="0.25">
      <c r="A146" s="99">
        <v>5</v>
      </c>
      <c r="B146" s="100" t="s">
        <v>116</v>
      </c>
      <c r="C146" s="97">
        <v>31608</v>
      </c>
      <c r="D146" s="97">
        <v>75985</v>
      </c>
      <c r="E146" s="97">
        <f t="shared" si="20"/>
        <v>44377</v>
      </c>
      <c r="F146" s="98">
        <f t="shared" si="21"/>
        <v>1.4039800050620097</v>
      </c>
    </row>
    <row r="147" spans="1:6" ht="18" customHeight="1" x14ac:dyDescent="0.25">
      <c r="A147" s="99">
        <v>6</v>
      </c>
      <c r="B147" s="100" t="s">
        <v>117</v>
      </c>
      <c r="C147" s="97">
        <v>1092159</v>
      </c>
      <c r="D147" s="97">
        <v>1242823</v>
      </c>
      <c r="E147" s="97">
        <f t="shared" si="20"/>
        <v>150664</v>
      </c>
      <c r="F147" s="98">
        <f t="shared" si="21"/>
        <v>0.13795060975553924</v>
      </c>
    </row>
    <row r="148" spans="1:6" ht="18" customHeight="1" x14ac:dyDescent="0.25">
      <c r="A148" s="99">
        <v>7</v>
      </c>
      <c r="B148" s="100" t="s">
        <v>118</v>
      </c>
      <c r="C148" s="97">
        <v>8468583</v>
      </c>
      <c r="D148" s="97">
        <v>9982195</v>
      </c>
      <c r="E148" s="97">
        <f t="shared" si="20"/>
        <v>1513612</v>
      </c>
      <c r="F148" s="98">
        <f t="shared" si="21"/>
        <v>0.17873261677898181</v>
      </c>
    </row>
    <row r="149" spans="1:6" ht="18" customHeight="1" x14ac:dyDescent="0.25">
      <c r="A149" s="99">
        <v>8</v>
      </c>
      <c r="B149" s="100" t="s">
        <v>119</v>
      </c>
      <c r="C149" s="97">
        <v>405907</v>
      </c>
      <c r="D149" s="97">
        <v>477768</v>
      </c>
      <c r="E149" s="97">
        <f t="shared" si="20"/>
        <v>71861</v>
      </c>
      <c r="F149" s="98">
        <f t="shared" si="21"/>
        <v>0.17703809000583878</v>
      </c>
    </row>
    <row r="150" spans="1:6" ht="18" customHeight="1" x14ac:dyDescent="0.25">
      <c r="A150" s="99">
        <v>9</v>
      </c>
      <c r="B150" s="100" t="s">
        <v>120</v>
      </c>
      <c r="C150" s="97">
        <v>1262006</v>
      </c>
      <c r="D150" s="97">
        <v>1673133</v>
      </c>
      <c r="E150" s="97">
        <f t="shared" si="20"/>
        <v>411127</v>
      </c>
      <c r="F150" s="98">
        <f t="shared" si="21"/>
        <v>0.32577261914761102</v>
      </c>
    </row>
    <row r="151" spans="1:6" ht="18" customHeight="1" x14ac:dyDescent="0.25">
      <c r="A151" s="99">
        <v>10</v>
      </c>
      <c r="B151" s="100" t="s">
        <v>121</v>
      </c>
      <c r="C151" s="97">
        <v>390794</v>
      </c>
      <c r="D151" s="97">
        <v>443886</v>
      </c>
      <c r="E151" s="97">
        <f t="shared" si="20"/>
        <v>53092</v>
      </c>
      <c r="F151" s="98">
        <f t="shared" si="21"/>
        <v>0.13585674293873498</v>
      </c>
    </row>
    <row r="152" spans="1:6" ht="18" customHeight="1" x14ac:dyDescent="0.25">
      <c r="A152" s="99">
        <v>11</v>
      </c>
      <c r="B152" s="100" t="s">
        <v>122</v>
      </c>
      <c r="C152" s="97">
        <v>99541</v>
      </c>
      <c r="D152" s="97">
        <v>199903</v>
      </c>
      <c r="E152" s="97">
        <f t="shared" si="20"/>
        <v>100362</v>
      </c>
      <c r="F152" s="98">
        <f t="shared" si="21"/>
        <v>1.00824785766669</v>
      </c>
    </row>
    <row r="153" spans="1:6" ht="33.75" customHeight="1" x14ac:dyDescent="0.25">
      <c r="A153" s="101"/>
      <c r="B153" s="102" t="s">
        <v>147</v>
      </c>
      <c r="C153" s="103">
        <f>SUM(C142:C152)</f>
        <v>17148901</v>
      </c>
      <c r="D153" s="103">
        <f>SUM(D142:D152)</f>
        <v>21813749</v>
      </c>
      <c r="E153" s="103">
        <f t="shared" si="20"/>
        <v>4664848</v>
      </c>
      <c r="F153" s="104">
        <f t="shared" si="21"/>
        <v>0.27202023033429373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1106231</v>
      </c>
      <c r="D155" s="97">
        <v>1280058</v>
      </c>
      <c r="E155" s="97">
        <f t="shared" ref="E155:E166" si="22">D155-C155</f>
        <v>173827</v>
      </c>
      <c r="F155" s="98">
        <f t="shared" ref="F155:F166" si="23">IF(C155=0,0,E155/C155)</f>
        <v>0.15713445021880601</v>
      </c>
    </row>
    <row r="156" spans="1:6" ht="18" customHeight="1" x14ac:dyDescent="0.25">
      <c r="A156" s="99">
        <v>2</v>
      </c>
      <c r="B156" s="100" t="s">
        <v>113</v>
      </c>
      <c r="C156" s="97">
        <v>61805</v>
      </c>
      <c r="D156" s="97">
        <v>100401</v>
      </c>
      <c r="E156" s="97">
        <f t="shared" si="22"/>
        <v>38596</v>
      </c>
      <c r="F156" s="98">
        <f t="shared" si="23"/>
        <v>0.62448022004692172</v>
      </c>
    </row>
    <row r="157" spans="1:6" ht="18" customHeight="1" x14ac:dyDescent="0.25">
      <c r="A157" s="99">
        <v>3</v>
      </c>
      <c r="B157" s="100" t="s">
        <v>114</v>
      </c>
      <c r="C157" s="97">
        <v>131212</v>
      </c>
      <c r="D157" s="97">
        <v>169433</v>
      </c>
      <c r="E157" s="97">
        <f t="shared" si="22"/>
        <v>38221</v>
      </c>
      <c r="F157" s="98">
        <f t="shared" si="23"/>
        <v>0.29129195500411548</v>
      </c>
    </row>
    <row r="158" spans="1:6" ht="18" customHeight="1" x14ac:dyDescent="0.25">
      <c r="A158" s="99">
        <v>4</v>
      </c>
      <c r="B158" s="100" t="s">
        <v>115</v>
      </c>
      <c r="C158" s="97">
        <v>447347</v>
      </c>
      <c r="D158" s="97">
        <v>632346</v>
      </c>
      <c r="E158" s="97">
        <f t="shared" si="22"/>
        <v>184999</v>
      </c>
      <c r="F158" s="98">
        <f t="shared" si="23"/>
        <v>0.4135469780729501</v>
      </c>
    </row>
    <row r="159" spans="1:6" ht="18" customHeight="1" x14ac:dyDescent="0.25">
      <c r="A159" s="99">
        <v>5</v>
      </c>
      <c r="B159" s="100" t="s">
        <v>116</v>
      </c>
      <c r="C159" s="97">
        <v>12027</v>
      </c>
      <c r="D159" s="97">
        <v>22112</v>
      </c>
      <c r="E159" s="97">
        <f t="shared" si="22"/>
        <v>10085</v>
      </c>
      <c r="F159" s="98">
        <f t="shared" si="23"/>
        <v>0.83852997422466113</v>
      </c>
    </row>
    <row r="160" spans="1:6" ht="18" customHeight="1" x14ac:dyDescent="0.25">
      <c r="A160" s="99">
        <v>6</v>
      </c>
      <c r="B160" s="100" t="s">
        <v>117</v>
      </c>
      <c r="C160" s="97">
        <v>624278</v>
      </c>
      <c r="D160" s="97">
        <v>692427</v>
      </c>
      <c r="E160" s="97">
        <f t="shared" si="22"/>
        <v>68149</v>
      </c>
      <c r="F160" s="98">
        <f t="shared" si="23"/>
        <v>0.1091645068382996</v>
      </c>
    </row>
    <row r="161" spans="1:6" ht="18" customHeight="1" x14ac:dyDescent="0.25">
      <c r="A161" s="99">
        <v>7</v>
      </c>
      <c r="B161" s="100" t="s">
        <v>118</v>
      </c>
      <c r="C161" s="97">
        <v>4577332</v>
      </c>
      <c r="D161" s="97">
        <v>5018851</v>
      </c>
      <c r="E161" s="97">
        <f t="shared" si="22"/>
        <v>441519</v>
      </c>
      <c r="F161" s="98">
        <f t="shared" si="23"/>
        <v>9.6457718164205702E-2</v>
      </c>
    </row>
    <row r="162" spans="1:6" ht="18" customHeight="1" x14ac:dyDescent="0.25">
      <c r="A162" s="99">
        <v>8</v>
      </c>
      <c r="B162" s="100" t="s">
        <v>119</v>
      </c>
      <c r="C162" s="97">
        <v>275729</v>
      </c>
      <c r="D162" s="97">
        <v>319206</v>
      </c>
      <c r="E162" s="97">
        <f t="shared" si="22"/>
        <v>43477</v>
      </c>
      <c r="F162" s="98">
        <f t="shared" si="23"/>
        <v>0.15768018597971195</v>
      </c>
    </row>
    <row r="163" spans="1:6" ht="18" customHeight="1" x14ac:dyDescent="0.25">
      <c r="A163" s="99">
        <v>9</v>
      </c>
      <c r="B163" s="100" t="s">
        <v>120</v>
      </c>
      <c r="C163" s="97">
        <v>93035</v>
      </c>
      <c r="D163" s="97">
        <v>113201</v>
      </c>
      <c r="E163" s="97">
        <f t="shared" si="22"/>
        <v>20166</v>
      </c>
      <c r="F163" s="98">
        <f t="shared" si="23"/>
        <v>0.21675713441178052</v>
      </c>
    </row>
    <row r="164" spans="1:6" ht="18" customHeight="1" x14ac:dyDescent="0.25">
      <c r="A164" s="99">
        <v>10</v>
      </c>
      <c r="B164" s="100" t="s">
        <v>121</v>
      </c>
      <c r="C164" s="97">
        <v>56736</v>
      </c>
      <c r="D164" s="97">
        <v>86509</v>
      </c>
      <c r="E164" s="97">
        <f t="shared" si="22"/>
        <v>29773</v>
      </c>
      <c r="F164" s="98">
        <f t="shared" si="23"/>
        <v>0.52476381838691488</v>
      </c>
    </row>
    <row r="165" spans="1:6" ht="18" customHeight="1" x14ac:dyDescent="0.25">
      <c r="A165" s="99">
        <v>11</v>
      </c>
      <c r="B165" s="100" t="s">
        <v>122</v>
      </c>
      <c r="C165" s="97">
        <v>12136</v>
      </c>
      <c r="D165" s="97">
        <v>34839</v>
      </c>
      <c r="E165" s="97">
        <f t="shared" si="22"/>
        <v>22703</v>
      </c>
      <c r="F165" s="98">
        <f t="shared" si="23"/>
        <v>1.8707152274225445</v>
      </c>
    </row>
    <row r="166" spans="1:6" ht="33.75" customHeight="1" x14ac:dyDescent="0.25">
      <c r="A166" s="101"/>
      <c r="B166" s="102" t="s">
        <v>149</v>
      </c>
      <c r="C166" s="103">
        <f>SUM(C155:C165)</f>
        <v>7397868</v>
      </c>
      <c r="D166" s="103">
        <f>SUM(D155:D165)</f>
        <v>8469383</v>
      </c>
      <c r="E166" s="103">
        <f t="shared" si="22"/>
        <v>1071515</v>
      </c>
      <c r="F166" s="104">
        <f t="shared" si="23"/>
        <v>0.14484105420642812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2865</v>
      </c>
      <c r="D168" s="117">
        <v>3247</v>
      </c>
      <c r="E168" s="117">
        <f t="shared" ref="E168:E179" si="24">D168-C168</f>
        <v>382</v>
      </c>
      <c r="F168" s="98">
        <f t="shared" ref="F168:F179" si="25">IF(C168=0,0,E168/C168)</f>
        <v>0.13333333333333333</v>
      </c>
    </row>
    <row r="169" spans="1:6" ht="18" customHeight="1" x14ac:dyDescent="0.25">
      <c r="A169" s="99">
        <v>2</v>
      </c>
      <c r="B169" s="100" t="s">
        <v>113</v>
      </c>
      <c r="C169" s="117">
        <v>132</v>
      </c>
      <c r="D169" s="117">
        <v>186</v>
      </c>
      <c r="E169" s="117">
        <f t="shared" si="24"/>
        <v>54</v>
      </c>
      <c r="F169" s="98">
        <f t="shared" si="25"/>
        <v>0.40909090909090912</v>
      </c>
    </row>
    <row r="170" spans="1:6" ht="18" customHeight="1" x14ac:dyDescent="0.25">
      <c r="A170" s="99">
        <v>3</v>
      </c>
      <c r="B170" s="100" t="s">
        <v>114</v>
      </c>
      <c r="C170" s="117">
        <v>474</v>
      </c>
      <c r="D170" s="117">
        <v>544</v>
      </c>
      <c r="E170" s="117">
        <f t="shared" si="24"/>
        <v>70</v>
      </c>
      <c r="F170" s="98">
        <f t="shared" si="25"/>
        <v>0.14767932489451477</v>
      </c>
    </row>
    <row r="171" spans="1:6" ht="18" customHeight="1" x14ac:dyDescent="0.25">
      <c r="A171" s="99">
        <v>4</v>
      </c>
      <c r="B171" s="100" t="s">
        <v>115</v>
      </c>
      <c r="C171" s="117">
        <v>1516</v>
      </c>
      <c r="D171" s="117">
        <v>1887</v>
      </c>
      <c r="E171" s="117">
        <f t="shared" si="24"/>
        <v>371</v>
      </c>
      <c r="F171" s="98">
        <f t="shared" si="25"/>
        <v>0.24472295514511874</v>
      </c>
    </row>
    <row r="172" spans="1:6" ht="18" customHeight="1" x14ac:dyDescent="0.25">
      <c r="A172" s="99">
        <v>5</v>
      </c>
      <c r="B172" s="100" t="s">
        <v>116</v>
      </c>
      <c r="C172" s="117">
        <v>49</v>
      </c>
      <c r="D172" s="117">
        <v>59</v>
      </c>
      <c r="E172" s="117">
        <f t="shared" si="24"/>
        <v>10</v>
      </c>
      <c r="F172" s="98">
        <f t="shared" si="25"/>
        <v>0.20408163265306123</v>
      </c>
    </row>
    <row r="173" spans="1:6" ht="18" customHeight="1" x14ac:dyDescent="0.25">
      <c r="A173" s="99">
        <v>6</v>
      </c>
      <c r="B173" s="100" t="s">
        <v>117</v>
      </c>
      <c r="C173" s="117">
        <v>1016</v>
      </c>
      <c r="D173" s="117">
        <v>902</v>
      </c>
      <c r="E173" s="117">
        <f t="shared" si="24"/>
        <v>-114</v>
      </c>
      <c r="F173" s="98">
        <f t="shared" si="25"/>
        <v>-0.11220472440944881</v>
      </c>
    </row>
    <row r="174" spans="1:6" ht="18" customHeight="1" x14ac:dyDescent="0.25">
      <c r="A174" s="99">
        <v>7</v>
      </c>
      <c r="B174" s="100" t="s">
        <v>118</v>
      </c>
      <c r="C174" s="117">
        <v>8546</v>
      </c>
      <c r="D174" s="117">
        <v>7636</v>
      </c>
      <c r="E174" s="117">
        <f t="shared" si="24"/>
        <v>-910</v>
      </c>
      <c r="F174" s="98">
        <f t="shared" si="25"/>
        <v>-0.10648256494266324</v>
      </c>
    </row>
    <row r="175" spans="1:6" ht="18" customHeight="1" x14ac:dyDescent="0.25">
      <c r="A175" s="99">
        <v>8</v>
      </c>
      <c r="B175" s="100" t="s">
        <v>119</v>
      </c>
      <c r="C175" s="117">
        <v>527</v>
      </c>
      <c r="D175" s="117">
        <v>470</v>
      </c>
      <c r="E175" s="117">
        <f t="shared" si="24"/>
        <v>-57</v>
      </c>
      <c r="F175" s="98">
        <f t="shared" si="25"/>
        <v>-0.10815939278937381</v>
      </c>
    </row>
    <row r="176" spans="1:6" ht="18" customHeight="1" x14ac:dyDescent="0.25">
      <c r="A176" s="99">
        <v>9</v>
      </c>
      <c r="B176" s="100" t="s">
        <v>120</v>
      </c>
      <c r="C176" s="117">
        <v>1496</v>
      </c>
      <c r="D176" s="117">
        <v>1415</v>
      </c>
      <c r="E176" s="117">
        <f t="shared" si="24"/>
        <v>-81</v>
      </c>
      <c r="F176" s="98">
        <f t="shared" si="25"/>
        <v>-5.4144385026737969E-2</v>
      </c>
    </row>
    <row r="177" spans="1:6" ht="18" customHeight="1" x14ac:dyDescent="0.25">
      <c r="A177" s="99">
        <v>10</v>
      </c>
      <c r="B177" s="100" t="s">
        <v>121</v>
      </c>
      <c r="C177" s="117">
        <v>439</v>
      </c>
      <c r="D177" s="117">
        <v>434</v>
      </c>
      <c r="E177" s="117">
        <f t="shared" si="24"/>
        <v>-5</v>
      </c>
      <c r="F177" s="98">
        <f t="shared" si="25"/>
        <v>-1.1389521640091117E-2</v>
      </c>
    </row>
    <row r="178" spans="1:6" ht="18" customHeight="1" x14ac:dyDescent="0.25">
      <c r="A178" s="99">
        <v>11</v>
      </c>
      <c r="B178" s="100" t="s">
        <v>122</v>
      </c>
      <c r="C178" s="117">
        <v>129</v>
      </c>
      <c r="D178" s="117">
        <v>192</v>
      </c>
      <c r="E178" s="117">
        <f t="shared" si="24"/>
        <v>63</v>
      </c>
      <c r="F178" s="98">
        <f t="shared" si="25"/>
        <v>0.48837209302325579</v>
      </c>
    </row>
    <row r="179" spans="1:6" ht="33.75" customHeight="1" x14ac:dyDescent="0.25">
      <c r="A179" s="101"/>
      <c r="B179" s="102" t="s">
        <v>151</v>
      </c>
      <c r="C179" s="118">
        <f>SUM(C168:C178)</f>
        <v>17189</v>
      </c>
      <c r="D179" s="118">
        <f>SUM(D168:D178)</f>
        <v>16972</v>
      </c>
      <c r="E179" s="118">
        <f t="shared" si="24"/>
        <v>-217</v>
      </c>
      <c r="F179" s="104">
        <f t="shared" si="25"/>
        <v>-1.2624352783757054E-2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FILING&amp;RNEW MILFORD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F18" sqref="F18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13297685</v>
      </c>
      <c r="D15" s="146">
        <v>12548614</v>
      </c>
      <c r="E15" s="146">
        <f>+D15-C15</f>
        <v>-749071</v>
      </c>
      <c r="F15" s="150">
        <f>IF(C15=0,0,E15/C15)</f>
        <v>-5.633093279018115E-2</v>
      </c>
    </row>
    <row r="16" spans="1:7" ht="15" customHeight="1" x14ac:dyDescent="0.2">
      <c r="A16" s="141">
        <v>2</v>
      </c>
      <c r="B16" s="149" t="s">
        <v>158</v>
      </c>
      <c r="C16" s="146">
        <v>5922680</v>
      </c>
      <c r="D16" s="146">
        <v>5959747</v>
      </c>
      <c r="E16" s="146">
        <f>+D16-C16</f>
        <v>37067</v>
      </c>
      <c r="F16" s="150">
        <f>IF(C16=0,0,E16/C16)</f>
        <v>6.258484334794384E-3</v>
      </c>
    </row>
    <row r="17" spans="1:7" ht="15" customHeight="1" x14ac:dyDescent="0.2">
      <c r="A17" s="141">
        <v>3</v>
      </c>
      <c r="B17" s="149" t="s">
        <v>159</v>
      </c>
      <c r="C17" s="146">
        <v>20701766</v>
      </c>
      <c r="D17" s="146">
        <v>19144523</v>
      </c>
      <c r="E17" s="146">
        <f>+D17-C17</f>
        <v>-1557243</v>
      </c>
      <c r="F17" s="150">
        <f>IF(C17=0,0,E17/C17)</f>
        <v>-7.5222712883528872E-2</v>
      </c>
    </row>
    <row r="18" spans="1:7" ht="15.75" customHeight="1" x14ac:dyDescent="0.25">
      <c r="A18" s="141"/>
      <c r="B18" s="151" t="s">
        <v>160</v>
      </c>
      <c r="C18" s="147">
        <f>SUM(C15:C17)</f>
        <v>39922131</v>
      </c>
      <c r="D18" s="147">
        <f>SUM(D15:D17)</f>
        <v>37652884</v>
      </c>
      <c r="E18" s="147">
        <f>+D18-C18</f>
        <v>-2269247</v>
      </c>
      <c r="F18" s="148">
        <f>IF(C18=0,0,E18/C18)</f>
        <v>-5.6841830412309405E-2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4423223</v>
      </c>
      <c r="D21" s="146">
        <v>3896996</v>
      </c>
      <c r="E21" s="146">
        <f>+D21-C21</f>
        <v>-526227</v>
      </c>
      <c r="F21" s="150">
        <f>IF(C21=0,0,E21/C21)</f>
        <v>-0.11896913178467375</v>
      </c>
    </row>
    <row r="22" spans="1:7" ht="15" customHeight="1" x14ac:dyDescent="0.2">
      <c r="A22" s="141">
        <v>2</v>
      </c>
      <c r="B22" s="149" t="s">
        <v>163</v>
      </c>
      <c r="C22" s="146">
        <v>1970068</v>
      </c>
      <c r="D22" s="146">
        <v>1850811</v>
      </c>
      <c r="E22" s="146">
        <f>+D22-C22</f>
        <v>-119257</v>
      </c>
      <c r="F22" s="150">
        <f>IF(C22=0,0,E22/C22)</f>
        <v>-6.0534458709039486E-2</v>
      </c>
    </row>
    <row r="23" spans="1:7" ht="15" customHeight="1" x14ac:dyDescent="0.2">
      <c r="A23" s="141">
        <v>3</v>
      </c>
      <c r="B23" s="149" t="s">
        <v>164</v>
      </c>
      <c r="C23" s="146">
        <v>6886051</v>
      </c>
      <c r="D23" s="146">
        <v>5945367</v>
      </c>
      <c r="E23" s="146">
        <f>+D23-C23</f>
        <v>-940684</v>
      </c>
      <c r="F23" s="150">
        <f>IF(C23=0,0,E23/C23)</f>
        <v>-0.13660717877343634</v>
      </c>
    </row>
    <row r="24" spans="1:7" ht="15.75" customHeight="1" x14ac:dyDescent="0.25">
      <c r="A24" s="141"/>
      <c r="B24" s="151" t="s">
        <v>165</v>
      </c>
      <c r="C24" s="147">
        <f>SUM(C21:C23)</f>
        <v>13279342</v>
      </c>
      <c r="D24" s="147">
        <f>SUM(D21:D23)</f>
        <v>11693174</v>
      </c>
      <c r="E24" s="147">
        <f>+D24-C24</f>
        <v>-1586168</v>
      </c>
      <c r="F24" s="148">
        <f>IF(C24=0,0,E24/C24)</f>
        <v>-0.1194462797930801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491499</v>
      </c>
      <c r="D27" s="146">
        <v>0</v>
      </c>
      <c r="E27" s="146">
        <f>+D27-C27</f>
        <v>-491499</v>
      </c>
      <c r="F27" s="150">
        <f>IF(C27=0,0,E27/C27)</f>
        <v>-1</v>
      </c>
    </row>
    <row r="28" spans="1:7" ht="15" customHeight="1" x14ac:dyDescent="0.2">
      <c r="A28" s="141">
        <v>2</v>
      </c>
      <c r="B28" s="149" t="s">
        <v>168</v>
      </c>
      <c r="C28" s="146">
        <v>1429887</v>
      </c>
      <c r="D28" s="146">
        <v>1312983</v>
      </c>
      <c r="E28" s="146">
        <f>+D28-C28</f>
        <v>-116904</v>
      </c>
      <c r="F28" s="150">
        <f>IF(C28=0,0,E28/C28)</f>
        <v>-8.1757509509492704E-2</v>
      </c>
    </row>
    <row r="29" spans="1:7" ht="15" customHeight="1" x14ac:dyDescent="0.2">
      <c r="A29" s="141">
        <v>3</v>
      </c>
      <c r="B29" s="149" t="s">
        <v>169</v>
      </c>
      <c r="C29" s="146">
        <v>5226</v>
      </c>
      <c r="D29" s="146">
        <v>44732</v>
      </c>
      <c r="E29" s="146">
        <f>+D29-C29</f>
        <v>39506</v>
      </c>
      <c r="F29" s="150">
        <f>IF(C29=0,0,E29/C29)</f>
        <v>7.5595101415996941</v>
      </c>
    </row>
    <row r="30" spans="1:7" ht="15.75" customHeight="1" x14ac:dyDescent="0.25">
      <c r="A30" s="141"/>
      <c r="B30" s="151" t="s">
        <v>170</v>
      </c>
      <c r="C30" s="147">
        <f>SUM(C27:C29)</f>
        <v>1926612</v>
      </c>
      <c r="D30" s="147">
        <f>SUM(D27:D29)</f>
        <v>1357715</v>
      </c>
      <c r="E30" s="147">
        <f>+D30-C30</f>
        <v>-568897</v>
      </c>
      <c r="F30" s="148">
        <f>IF(C30=0,0,E30/C30)</f>
        <v>-0.29528363780564015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8262242</v>
      </c>
      <c r="D33" s="146">
        <v>7841984</v>
      </c>
      <c r="E33" s="146">
        <f>+D33-C33</f>
        <v>-420258</v>
      </c>
      <c r="F33" s="150">
        <f>IF(C33=0,0,E33/C33)</f>
        <v>-5.0864886310519587E-2</v>
      </c>
    </row>
    <row r="34" spans="1:7" ht="15" customHeight="1" x14ac:dyDescent="0.2">
      <c r="A34" s="141">
        <v>2</v>
      </c>
      <c r="B34" s="149" t="s">
        <v>174</v>
      </c>
      <c r="C34" s="146">
        <v>5914269</v>
      </c>
      <c r="D34" s="146">
        <v>6217197</v>
      </c>
      <c r="E34" s="146">
        <f>+D34-C34</f>
        <v>302928</v>
      </c>
      <c r="F34" s="150">
        <f>IF(C34=0,0,E34/C34)</f>
        <v>5.1219854896691376E-2</v>
      </c>
    </row>
    <row r="35" spans="1:7" ht="15.75" customHeight="1" x14ac:dyDescent="0.25">
      <c r="A35" s="141"/>
      <c r="B35" s="151" t="s">
        <v>175</v>
      </c>
      <c r="C35" s="147">
        <f>SUM(C33:C34)</f>
        <v>14176511</v>
      </c>
      <c r="D35" s="147">
        <f>SUM(D33:D34)</f>
        <v>14059181</v>
      </c>
      <c r="E35" s="147">
        <f>+D35-C35</f>
        <v>-117330</v>
      </c>
      <c r="F35" s="148">
        <f>IF(C35=0,0,E35/C35)</f>
        <v>-8.276366448698131E-3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2128831</v>
      </c>
      <c r="D38" s="146">
        <v>2468715</v>
      </c>
      <c r="E38" s="146">
        <f>+D38-C38</f>
        <v>339884</v>
      </c>
      <c r="F38" s="150">
        <f>IF(C38=0,0,E38/C38)</f>
        <v>0.15965757732765071</v>
      </c>
    </row>
    <row r="39" spans="1:7" ht="15" customHeight="1" x14ac:dyDescent="0.2">
      <c r="A39" s="141">
        <v>2</v>
      </c>
      <c r="B39" s="149" t="s">
        <v>179</v>
      </c>
      <c r="C39" s="146">
        <v>2809193</v>
      </c>
      <c r="D39" s="146">
        <v>2918517</v>
      </c>
      <c r="E39" s="146">
        <f>+D39-C39</f>
        <v>109324</v>
      </c>
      <c r="F39" s="150">
        <f>IF(C39=0,0,E39/C39)</f>
        <v>3.8916514458066785E-2</v>
      </c>
    </row>
    <row r="40" spans="1:7" ht="15" customHeight="1" x14ac:dyDescent="0.2">
      <c r="A40" s="141">
        <v>3</v>
      </c>
      <c r="B40" s="149" t="s">
        <v>180</v>
      </c>
      <c r="C40" s="146">
        <v>8052</v>
      </c>
      <c r="D40" s="146">
        <v>50416</v>
      </c>
      <c r="E40" s="146">
        <f>+D40-C40</f>
        <v>42364</v>
      </c>
      <c r="F40" s="150">
        <f>IF(C40=0,0,E40/C40)</f>
        <v>5.2613015399900647</v>
      </c>
    </row>
    <row r="41" spans="1:7" ht="15.75" customHeight="1" x14ac:dyDescent="0.25">
      <c r="A41" s="141"/>
      <c r="B41" s="151" t="s">
        <v>181</v>
      </c>
      <c r="C41" s="147">
        <f>SUM(C38:C40)</f>
        <v>4946076</v>
      </c>
      <c r="D41" s="147">
        <f>SUM(D38:D40)</f>
        <v>5437648</v>
      </c>
      <c r="E41" s="147">
        <f>+D41-C41</f>
        <v>491572</v>
      </c>
      <c r="F41" s="148">
        <f>IF(C41=0,0,E41/C41)</f>
        <v>9.9386260947061877E-2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3220173</v>
      </c>
      <c r="D44" s="146">
        <v>3065190</v>
      </c>
      <c r="E44" s="146">
        <f>+D44-C44</f>
        <v>-154983</v>
      </c>
      <c r="F44" s="150">
        <f>IF(C44=0,0,E44/C44)</f>
        <v>-4.8128780658678899E-2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675584</v>
      </c>
      <c r="D47" s="146">
        <v>538204</v>
      </c>
      <c r="E47" s="146">
        <f>+D47-C47</f>
        <v>-137380</v>
      </c>
      <c r="F47" s="150">
        <f>IF(C47=0,0,E47/C47)</f>
        <v>-0.20334999052671465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2375725</v>
      </c>
      <c r="D50" s="146">
        <v>1526053</v>
      </c>
      <c r="E50" s="146">
        <f>+D50-C50</f>
        <v>-849672</v>
      </c>
      <c r="F50" s="150">
        <f>IF(C50=0,0,E50/C50)</f>
        <v>-0.3576474549874249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136861</v>
      </c>
      <c r="D53" s="146">
        <v>135849</v>
      </c>
      <c r="E53" s="146">
        <f t="shared" ref="E53:E59" si="0">+D53-C53</f>
        <v>-1012</v>
      </c>
      <c r="F53" s="150">
        <f t="shared" ref="F53:F59" si="1">IF(C53=0,0,E53/C53)</f>
        <v>-7.3943636244072457E-3</v>
      </c>
    </row>
    <row r="54" spans="1:7" ht="15" customHeight="1" x14ac:dyDescent="0.2">
      <c r="A54" s="141">
        <v>2</v>
      </c>
      <c r="B54" s="149" t="s">
        <v>193</v>
      </c>
      <c r="C54" s="146">
        <v>297774</v>
      </c>
      <c r="D54" s="146">
        <v>237787</v>
      </c>
      <c r="E54" s="146">
        <f t="shared" si="0"/>
        <v>-59987</v>
      </c>
      <c r="F54" s="150">
        <f t="shared" si="1"/>
        <v>-0.20145143632419218</v>
      </c>
    </row>
    <row r="55" spans="1:7" ht="15" customHeight="1" x14ac:dyDescent="0.2">
      <c r="A55" s="141">
        <v>3</v>
      </c>
      <c r="B55" s="149" t="s">
        <v>194</v>
      </c>
      <c r="C55" s="146">
        <v>71316</v>
      </c>
      <c r="D55" s="146">
        <v>32450</v>
      </c>
      <c r="E55" s="146">
        <f t="shared" si="0"/>
        <v>-38866</v>
      </c>
      <c r="F55" s="150">
        <f t="shared" si="1"/>
        <v>-0.54498289303943015</v>
      </c>
    </row>
    <row r="56" spans="1:7" ht="15" customHeight="1" x14ac:dyDescent="0.2">
      <c r="A56" s="141">
        <v>4</v>
      </c>
      <c r="B56" s="149" t="s">
        <v>195</v>
      </c>
      <c r="C56" s="146">
        <v>1004729</v>
      </c>
      <c r="D56" s="146">
        <v>897909</v>
      </c>
      <c r="E56" s="146">
        <f t="shared" si="0"/>
        <v>-106820</v>
      </c>
      <c r="F56" s="150">
        <f t="shared" si="1"/>
        <v>-0.10631722583900734</v>
      </c>
    </row>
    <row r="57" spans="1:7" ht="15" customHeight="1" x14ac:dyDescent="0.2">
      <c r="A57" s="141">
        <v>5</v>
      </c>
      <c r="B57" s="149" t="s">
        <v>196</v>
      </c>
      <c r="C57" s="146">
        <v>248303</v>
      </c>
      <c r="D57" s="146">
        <v>135849</v>
      </c>
      <c r="E57" s="146">
        <f t="shared" si="0"/>
        <v>-112454</v>
      </c>
      <c r="F57" s="150">
        <f t="shared" si="1"/>
        <v>-0.45289021880525004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1758983</v>
      </c>
      <c r="D59" s="147">
        <f>SUM(D53:D58)</f>
        <v>1439844</v>
      </c>
      <c r="E59" s="147">
        <f t="shared" si="0"/>
        <v>-319139</v>
      </c>
      <c r="F59" s="148">
        <f t="shared" si="1"/>
        <v>-0.18143381715457171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109466</v>
      </c>
      <c r="D62" s="146">
        <v>66158</v>
      </c>
      <c r="E62" s="146">
        <f t="shared" ref="E62:E78" si="2">+D62-C62</f>
        <v>-43308</v>
      </c>
      <c r="F62" s="150">
        <f t="shared" ref="F62:F78" si="3">IF(C62=0,0,E62/C62)</f>
        <v>-0.39562969323808306</v>
      </c>
    </row>
    <row r="63" spans="1:7" ht="15" customHeight="1" x14ac:dyDescent="0.2">
      <c r="A63" s="141">
        <v>2</v>
      </c>
      <c r="B63" s="149" t="s">
        <v>202</v>
      </c>
      <c r="C63" s="146">
        <v>216756</v>
      </c>
      <c r="D63" s="146">
        <v>513313</v>
      </c>
      <c r="E63" s="146">
        <f t="shared" si="2"/>
        <v>296557</v>
      </c>
      <c r="F63" s="150">
        <f t="shared" si="3"/>
        <v>1.3681605122810903</v>
      </c>
    </row>
    <row r="64" spans="1:7" ht="15" customHeight="1" x14ac:dyDescent="0.2">
      <c r="A64" s="141">
        <v>3</v>
      </c>
      <c r="B64" s="149" t="s">
        <v>203</v>
      </c>
      <c r="C64" s="146">
        <v>454863</v>
      </c>
      <c r="D64" s="146">
        <v>1316499</v>
      </c>
      <c r="E64" s="146">
        <f t="shared" si="2"/>
        <v>861636</v>
      </c>
      <c r="F64" s="150">
        <f t="shared" si="3"/>
        <v>1.8942758588849828</v>
      </c>
    </row>
    <row r="65" spans="1:7" ht="15" customHeight="1" x14ac:dyDescent="0.2">
      <c r="A65" s="141">
        <v>4</v>
      </c>
      <c r="B65" s="149" t="s">
        <v>204</v>
      </c>
      <c r="C65" s="146">
        <v>382280</v>
      </c>
      <c r="D65" s="146">
        <v>261895</v>
      </c>
      <c r="E65" s="146">
        <f t="shared" si="2"/>
        <v>-120385</v>
      </c>
      <c r="F65" s="150">
        <f t="shared" si="3"/>
        <v>-0.31491315266296954</v>
      </c>
    </row>
    <row r="66" spans="1:7" ht="15" customHeight="1" x14ac:dyDescent="0.2">
      <c r="A66" s="141">
        <v>5</v>
      </c>
      <c r="B66" s="149" t="s">
        <v>205</v>
      </c>
      <c r="C66" s="146">
        <v>611301</v>
      </c>
      <c r="D66" s="146">
        <v>385223</v>
      </c>
      <c r="E66" s="146">
        <f t="shared" si="2"/>
        <v>-226078</v>
      </c>
      <c r="F66" s="150">
        <f t="shared" si="3"/>
        <v>-0.36983090163438304</v>
      </c>
    </row>
    <row r="67" spans="1:7" ht="15" customHeight="1" x14ac:dyDescent="0.2">
      <c r="A67" s="141">
        <v>6</v>
      </c>
      <c r="B67" s="149" t="s">
        <v>206</v>
      </c>
      <c r="C67" s="146">
        <v>639252</v>
      </c>
      <c r="D67" s="146">
        <v>379009</v>
      </c>
      <c r="E67" s="146">
        <f t="shared" si="2"/>
        <v>-260243</v>
      </c>
      <c r="F67" s="150">
        <f t="shared" si="3"/>
        <v>-0.40710549204382623</v>
      </c>
    </row>
    <row r="68" spans="1:7" ht="15" customHeight="1" x14ac:dyDescent="0.2">
      <c r="A68" s="141">
        <v>7</v>
      </c>
      <c r="B68" s="149" t="s">
        <v>207</v>
      </c>
      <c r="C68" s="146">
        <v>1455682</v>
      </c>
      <c r="D68" s="146">
        <v>1254121</v>
      </c>
      <c r="E68" s="146">
        <f t="shared" si="2"/>
        <v>-201561</v>
      </c>
      <c r="F68" s="150">
        <f t="shared" si="3"/>
        <v>-0.138464994414989</v>
      </c>
    </row>
    <row r="69" spans="1:7" ht="15" customHeight="1" x14ac:dyDescent="0.2">
      <c r="A69" s="141">
        <v>8</v>
      </c>
      <c r="B69" s="149" t="s">
        <v>208</v>
      </c>
      <c r="C69" s="146">
        <v>192977</v>
      </c>
      <c r="D69" s="146">
        <v>185224</v>
      </c>
      <c r="E69" s="146">
        <f t="shared" si="2"/>
        <v>-7753</v>
      </c>
      <c r="F69" s="150">
        <f t="shared" si="3"/>
        <v>-4.0175772242287938E-2</v>
      </c>
    </row>
    <row r="70" spans="1:7" ht="15" customHeight="1" x14ac:dyDescent="0.2">
      <c r="A70" s="141">
        <v>9</v>
      </c>
      <c r="B70" s="149" t="s">
        <v>209</v>
      </c>
      <c r="C70" s="146">
        <v>109392</v>
      </c>
      <c r="D70" s="146">
        <v>129310</v>
      </c>
      <c r="E70" s="146">
        <f t="shared" si="2"/>
        <v>19918</v>
      </c>
      <c r="F70" s="150">
        <f t="shared" si="3"/>
        <v>0.1820791282726342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45500</v>
      </c>
      <c r="D72" s="146">
        <v>56253</v>
      </c>
      <c r="E72" s="146">
        <f t="shared" si="2"/>
        <v>10753</v>
      </c>
      <c r="F72" s="150">
        <f t="shared" si="3"/>
        <v>0.23632967032967034</v>
      </c>
    </row>
    <row r="73" spans="1:7" ht="15" customHeight="1" x14ac:dyDescent="0.2">
      <c r="A73" s="141">
        <v>12</v>
      </c>
      <c r="B73" s="149" t="s">
        <v>212</v>
      </c>
      <c r="C73" s="146">
        <v>1720329</v>
      </c>
      <c r="D73" s="146">
        <v>1380488</v>
      </c>
      <c r="E73" s="146">
        <f t="shared" si="2"/>
        <v>-339841</v>
      </c>
      <c r="F73" s="150">
        <f t="shared" si="3"/>
        <v>-0.19754419067515575</v>
      </c>
    </row>
    <row r="74" spans="1:7" ht="15" customHeight="1" x14ac:dyDescent="0.2">
      <c r="A74" s="141">
        <v>13</v>
      </c>
      <c r="B74" s="149" t="s">
        <v>213</v>
      </c>
      <c r="C74" s="146">
        <v>75809</v>
      </c>
      <c r="D74" s="146">
        <v>73976</v>
      </c>
      <c r="E74" s="146">
        <f t="shared" si="2"/>
        <v>-1833</v>
      </c>
      <c r="F74" s="150">
        <f t="shared" si="3"/>
        <v>-2.417918716775053E-2</v>
      </c>
    </row>
    <row r="75" spans="1:7" ht="15" customHeight="1" x14ac:dyDescent="0.2">
      <c r="A75" s="141">
        <v>14</v>
      </c>
      <c r="B75" s="149" t="s">
        <v>214</v>
      </c>
      <c r="C75" s="146">
        <v>116489</v>
      </c>
      <c r="D75" s="146">
        <v>112137</v>
      </c>
      <c r="E75" s="146">
        <f t="shared" si="2"/>
        <v>-4352</v>
      </c>
      <c r="F75" s="150">
        <f t="shared" si="3"/>
        <v>-3.7359750706075251E-2</v>
      </c>
    </row>
    <row r="76" spans="1:7" ht="15" customHeight="1" x14ac:dyDescent="0.2">
      <c r="A76" s="141">
        <v>15</v>
      </c>
      <c r="B76" s="149" t="s">
        <v>215</v>
      </c>
      <c r="C76" s="146">
        <v>502313</v>
      </c>
      <c r="D76" s="146">
        <v>412904</v>
      </c>
      <c r="E76" s="146">
        <f t="shared" si="2"/>
        <v>-89409</v>
      </c>
      <c r="F76" s="150">
        <f t="shared" si="3"/>
        <v>-0.17799459699430434</v>
      </c>
    </row>
    <row r="77" spans="1:7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7" ht="15.75" customHeight="1" x14ac:dyDescent="0.25">
      <c r="A78" s="141"/>
      <c r="B78" s="151" t="s">
        <v>217</v>
      </c>
      <c r="C78" s="147">
        <f>SUM(C62:C77)</f>
        <v>6632409</v>
      </c>
      <c r="D78" s="147">
        <f>SUM(D62:D77)</f>
        <v>6526510</v>
      </c>
      <c r="E78" s="147">
        <f t="shared" si="2"/>
        <v>-105899</v>
      </c>
      <c r="F78" s="148">
        <f t="shared" si="3"/>
        <v>-1.5966898301959364E-2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9839208</v>
      </c>
      <c r="D81" s="146">
        <v>8505827</v>
      </c>
      <c r="E81" s="146">
        <f>+D81-C81</f>
        <v>-1333381</v>
      </c>
      <c r="F81" s="150">
        <f>IF(C81=0,0,E81/C81)</f>
        <v>-0.13551710666143046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98752754</v>
      </c>
      <c r="D83" s="147">
        <f>+D81+D78+D59+D50+D47+D44+D41+D35+D30+D24+D18</f>
        <v>91802230</v>
      </c>
      <c r="E83" s="147">
        <f>+D83-C83</f>
        <v>-6950524</v>
      </c>
      <c r="F83" s="148">
        <f>IF(C83=0,0,E83/C83)</f>
        <v>-7.0383090278170871E-2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24938927</v>
      </c>
      <c r="D91" s="146">
        <v>22863420</v>
      </c>
      <c r="E91" s="146">
        <f t="shared" ref="E91:E109" si="4">D91-C91</f>
        <v>-2075507</v>
      </c>
      <c r="F91" s="150">
        <f t="shared" ref="F91:F109" si="5">IF(C91=0,0,E91/C91)</f>
        <v>-8.3223588568986956E-2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463589</v>
      </c>
      <c r="D92" s="146">
        <v>401612</v>
      </c>
      <c r="E92" s="146">
        <f t="shared" si="4"/>
        <v>-61977</v>
      </c>
      <c r="F92" s="150">
        <f t="shared" si="5"/>
        <v>-0.13368953965689437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1392752</v>
      </c>
      <c r="D93" s="146">
        <v>1466880</v>
      </c>
      <c r="E93" s="146">
        <f t="shared" si="4"/>
        <v>74128</v>
      </c>
      <c r="F93" s="150">
        <f t="shared" si="5"/>
        <v>5.3224120302824911E-2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748688</v>
      </c>
      <c r="D94" s="146">
        <v>619827</v>
      </c>
      <c r="E94" s="146">
        <f t="shared" si="4"/>
        <v>-128861</v>
      </c>
      <c r="F94" s="150">
        <f t="shared" si="5"/>
        <v>-0.17211575449319344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1673188</v>
      </c>
      <c r="D95" s="146">
        <v>1713045</v>
      </c>
      <c r="E95" s="146">
        <f t="shared" si="4"/>
        <v>39857</v>
      </c>
      <c r="F95" s="150">
        <f t="shared" si="5"/>
        <v>2.3820993217737636E-2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278304</v>
      </c>
      <c r="D96" s="146">
        <v>264779</v>
      </c>
      <c r="E96" s="146">
        <f t="shared" si="4"/>
        <v>-13525</v>
      </c>
      <c r="F96" s="150">
        <f t="shared" si="5"/>
        <v>-4.8597936069909163E-2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576795</v>
      </c>
      <c r="D97" s="146">
        <v>497573</v>
      </c>
      <c r="E97" s="146">
        <f t="shared" si="4"/>
        <v>-79222</v>
      </c>
      <c r="F97" s="150">
        <f t="shared" si="5"/>
        <v>-0.13734862472802295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1513889</v>
      </c>
      <c r="D98" s="146">
        <v>1339446</v>
      </c>
      <c r="E98" s="146">
        <f t="shared" si="4"/>
        <v>-174443</v>
      </c>
      <c r="F98" s="150">
        <f t="shared" si="5"/>
        <v>-0.11522839521259484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5833752</v>
      </c>
      <c r="D99" s="146">
        <v>5180993</v>
      </c>
      <c r="E99" s="146">
        <f t="shared" si="4"/>
        <v>-652759</v>
      </c>
      <c r="F99" s="150">
        <f t="shared" si="5"/>
        <v>-0.11189351209993158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1172653</v>
      </c>
      <c r="D100" s="146">
        <v>1314147</v>
      </c>
      <c r="E100" s="146">
        <f t="shared" si="4"/>
        <v>141494</v>
      </c>
      <c r="F100" s="150">
        <f t="shared" si="5"/>
        <v>0.12066144034083399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1043759</v>
      </c>
      <c r="D101" s="146">
        <v>944086</v>
      </c>
      <c r="E101" s="146">
        <f t="shared" si="4"/>
        <v>-99673</v>
      </c>
      <c r="F101" s="150">
        <f t="shared" si="5"/>
        <v>-9.549426639674484E-2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310776</v>
      </c>
      <c r="D102" s="146">
        <v>281173</v>
      </c>
      <c r="E102" s="146">
        <f t="shared" si="4"/>
        <v>-29603</v>
      </c>
      <c r="F102" s="150">
        <f t="shared" si="5"/>
        <v>-9.525510335418437E-2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1445521</v>
      </c>
      <c r="D103" s="146">
        <v>1265503</v>
      </c>
      <c r="E103" s="146">
        <f t="shared" si="4"/>
        <v>-180018</v>
      </c>
      <c r="F103" s="150">
        <f t="shared" si="5"/>
        <v>-0.12453502923859287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474991</v>
      </c>
      <c r="D104" s="146">
        <v>442588</v>
      </c>
      <c r="E104" s="146">
        <f t="shared" si="4"/>
        <v>-32403</v>
      </c>
      <c r="F104" s="150">
        <f t="shared" si="5"/>
        <v>-6.8218134659393539E-2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1889521</v>
      </c>
      <c r="D105" s="146">
        <v>1834484</v>
      </c>
      <c r="E105" s="146">
        <f t="shared" si="4"/>
        <v>-55037</v>
      </c>
      <c r="F105" s="150">
        <f t="shared" si="5"/>
        <v>-2.9127487865972381E-2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478955</v>
      </c>
      <c r="D106" s="146">
        <v>463460</v>
      </c>
      <c r="E106" s="146">
        <f t="shared" si="4"/>
        <v>-15495</v>
      </c>
      <c r="F106" s="150">
        <f t="shared" si="5"/>
        <v>-3.2351682308358824E-2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7129695</v>
      </c>
      <c r="D107" s="146">
        <v>7414946</v>
      </c>
      <c r="E107" s="146">
        <f t="shared" si="4"/>
        <v>285251</v>
      </c>
      <c r="F107" s="150">
        <f t="shared" si="5"/>
        <v>4.0008864334308829E-2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4615673</v>
      </c>
      <c r="D108" s="146">
        <v>4164828</v>
      </c>
      <c r="E108" s="146">
        <f t="shared" si="4"/>
        <v>-450845</v>
      </c>
      <c r="F108" s="150">
        <f t="shared" si="5"/>
        <v>-9.7676980150023629E-2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55981428</v>
      </c>
      <c r="D109" s="147">
        <f>SUM(D91:D108)</f>
        <v>52472790</v>
      </c>
      <c r="E109" s="147">
        <f t="shared" si="4"/>
        <v>-3508638</v>
      </c>
      <c r="F109" s="148">
        <f t="shared" si="5"/>
        <v>-6.2675035727920339E-2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1365676</v>
      </c>
      <c r="D112" s="146">
        <v>1331226</v>
      </c>
      <c r="E112" s="146">
        <f t="shared" ref="E112:E118" si="6">D112-C112</f>
        <v>-34450</v>
      </c>
      <c r="F112" s="150">
        <f t="shared" ref="F112:F118" si="7">IF(C112=0,0,E112/C112)</f>
        <v>-2.5225602558732817E-2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697194</v>
      </c>
      <c r="D114" s="146">
        <v>461948</v>
      </c>
      <c r="E114" s="146">
        <f t="shared" si="6"/>
        <v>-235246</v>
      </c>
      <c r="F114" s="150">
        <f t="shared" si="7"/>
        <v>-0.3374182795606388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983243</v>
      </c>
      <c r="D115" s="146">
        <v>919933</v>
      </c>
      <c r="E115" s="146">
        <f t="shared" si="6"/>
        <v>-63310</v>
      </c>
      <c r="F115" s="150">
        <f t="shared" si="7"/>
        <v>-6.4388965901613332E-2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190048</v>
      </c>
      <c r="D116" s="146">
        <v>168293</v>
      </c>
      <c r="E116" s="146">
        <f t="shared" si="6"/>
        <v>-21755</v>
      </c>
      <c r="F116" s="150">
        <f t="shared" si="7"/>
        <v>-0.11447108099006567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894676</v>
      </c>
      <c r="D117" s="146">
        <v>413758</v>
      </c>
      <c r="E117" s="146">
        <f t="shared" si="6"/>
        <v>-480918</v>
      </c>
      <c r="F117" s="150">
        <f t="shared" si="7"/>
        <v>-0.53753314048884737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4130837</v>
      </c>
      <c r="D118" s="147">
        <f>SUM(D112:D117)</f>
        <v>3295158</v>
      </c>
      <c r="E118" s="147">
        <f t="shared" si="6"/>
        <v>-835679</v>
      </c>
      <c r="F118" s="148">
        <f t="shared" si="7"/>
        <v>-0.20230258419782721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2721250</v>
      </c>
      <c r="D121" s="146">
        <v>2718227</v>
      </c>
      <c r="E121" s="146">
        <f t="shared" ref="E121:E155" si="8">D121-C121</f>
        <v>-3023</v>
      </c>
      <c r="F121" s="150">
        <f t="shared" ref="F121:F155" si="9">IF(C121=0,0,E121/C121)</f>
        <v>-1.1108865411116216E-3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493899</v>
      </c>
      <c r="D122" s="146">
        <v>502622</v>
      </c>
      <c r="E122" s="146">
        <f t="shared" si="8"/>
        <v>8723</v>
      </c>
      <c r="F122" s="150">
        <f t="shared" si="9"/>
        <v>1.7661505692459389E-2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146295</v>
      </c>
      <c r="D123" s="146">
        <v>129688</v>
      </c>
      <c r="E123" s="146">
        <f t="shared" si="8"/>
        <v>-16607</v>
      </c>
      <c r="F123" s="150">
        <f t="shared" si="9"/>
        <v>-0.11351720838032742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1667060</v>
      </c>
      <c r="D125" s="146">
        <v>1735979</v>
      </c>
      <c r="E125" s="146">
        <f t="shared" si="8"/>
        <v>68919</v>
      </c>
      <c r="F125" s="150">
        <f t="shared" si="9"/>
        <v>4.1341643372164172E-2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0</v>
      </c>
      <c r="D126" s="146">
        <v>0</v>
      </c>
      <c r="E126" s="146">
        <f t="shared" si="8"/>
        <v>0</v>
      </c>
      <c r="F126" s="150">
        <f t="shared" si="9"/>
        <v>0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1503719</v>
      </c>
      <c r="D127" s="146">
        <v>1650227</v>
      </c>
      <c r="E127" s="146">
        <f t="shared" si="8"/>
        <v>146508</v>
      </c>
      <c r="F127" s="150">
        <f t="shared" si="9"/>
        <v>9.7430437468702599E-2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564425</v>
      </c>
      <c r="D128" s="146">
        <v>519870</v>
      </c>
      <c r="E128" s="146">
        <f t="shared" si="8"/>
        <v>-44555</v>
      </c>
      <c r="F128" s="150">
        <f t="shared" si="9"/>
        <v>-7.893874296850778E-2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685296</v>
      </c>
      <c r="D129" s="146">
        <v>631400</v>
      </c>
      <c r="E129" s="146">
        <f t="shared" si="8"/>
        <v>-53896</v>
      </c>
      <c r="F129" s="150">
        <f t="shared" si="9"/>
        <v>-7.8646307580957711E-2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4047737</v>
      </c>
      <c r="D130" s="146">
        <v>4342365</v>
      </c>
      <c r="E130" s="146">
        <f t="shared" si="8"/>
        <v>294628</v>
      </c>
      <c r="F130" s="150">
        <f t="shared" si="9"/>
        <v>7.2788325921372854E-2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643625</v>
      </c>
      <c r="D131" s="146">
        <v>466604</v>
      </c>
      <c r="E131" s="146">
        <f t="shared" si="8"/>
        <v>-177021</v>
      </c>
      <c r="F131" s="150">
        <f t="shared" si="9"/>
        <v>-0.27503748300640901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325612</v>
      </c>
      <c r="D132" s="146">
        <v>234280</v>
      </c>
      <c r="E132" s="146">
        <f t="shared" si="8"/>
        <v>-91332</v>
      </c>
      <c r="F132" s="150">
        <f t="shared" si="9"/>
        <v>-0.28049334791101066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482413</v>
      </c>
      <c r="D133" s="146">
        <v>465915</v>
      </c>
      <c r="E133" s="146">
        <f t="shared" si="8"/>
        <v>-16498</v>
      </c>
      <c r="F133" s="150">
        <f t="shared" si="9"/>
        <v>-3.4198912550034925E-2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0</v>
      </c>
      <c r="D134" s="146">
        <v>0</v>
      </c>
      <c r="E134" s="146">
        <f t="shared" si="8"/>
        <v>0</v>
      </c>
      <c r="F134" s="150">
        <f t="shared" si="9"/>
        <v>0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206881</v>
      </c>
      <c r="D136" s="146">
        <v>183936</v>
      </c>
      <c r="E136" s="146">
        <f t="shared" si="8"/>
        <v>-22945</v>
      </c>
      <c r="F136" s="150">
        <f t="shared" si="9"/>
        <v>-0.11090917000594545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681919</v>
      </c>
      <c r="D138" s="146">
        <v>612352</v>
      </c>
      <c r="E138" s="146">
        <f t="shared" si="8"/>
        <v>-69567</v>
      </c>
      <c r="F138" s="150">
        <f t="shared" si="9"/>
        <v>-0.10201651515795865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267659</v>
      </c>
      <c r="D140" s="146">
        <v>276390</v>
      </c>
      <c r="E140" s="146">
        <f t="shared" si="8"/>
        <v>8731</v>
      </c>
      <c r="F140" s="150">
        <f t="shared" si="9"/>
        <v>3.2619863333569955E-2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551450</v>
      </c>
      <c r="D142" s="146">
        <v>572426</v>
      </c>
      <c r="E142" s="146">
        <f t="shared" si="8"/>
        <v>20976</v>
      </c>
      <c r="F142" s="150">
        <f t="shared" si="9"/>
        <v>3.8037900081603043E-2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3551441</v>
      </c>
      <c r="D144" s="146">
        <v>3731363</v>
      </c>
      <c r="E144" s="146">
        <f t="shared" si="8"/>
        <v>179922</v>
      </c>
      <c r="F144" s="150">
        <f t="shared" si="9"/>
        <v>5.0661689156598688E-2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964736</v>
      </c>
      <c r="D145" s="146">
        <v>1042667</v>
      </c>
      <c r="E145" s="146">
        <f t="shared" si="8"/>
        <v>77931</v>
      </c>
      <c r="F145" s="150">
        <f t="shared" si="9"/>
        <v>8.0779612246251825E-2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382478</v>
      </c>
      <c r="D146" s="146">
        <v>253220</v>
      </c>
      <c r="E146" s="146">
        <f t="shared" si="8"/>
        <v>-129258</v>
      </c>
      <c r="F146" s="150">
        <f t="shared" si="9"/>
        <v>-0.33794884934558328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960887</v>
      </c>
      <c r="D148" s="146">
        <v>932275</v>
      </c>
      <c r="E148" s="146">
        <f t="shared" si="8"/>
        <v>-28612</v>
      </c>
      <c r="F148" s="150">
        <f t="shared" si="9"/>
        <v>-2.9776654278806977E-2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581145</v>
      </c>
      <c r="D149" s="146">
        <v>479022</v>
      </c>
      <c r="E149" s="146">
        <f t="shared" si="8"/>
        <v>-102123</v>
      </c>
      <c r="F149" s="150">
        <f t="shared" si="9"/>
        <v>-0.175727228144439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112200</v>
      </c>
      <c r="D150" s="146">
        <v>79200</v>
      </c>
      <c r="E150" s="146">
        <f t="shared" si="8"/>
        <v>-33000</v>
      </c>
      <c r="F150" s="150">
        <f t="shared" si="9"/>
        <v>-0.29411764705882354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1024531</v>
      </c>
      <c r="D151" s="146">
        <v>657</v>
      </c>
      <c r="E151" s="146">
        <f t="shared" si="8"/>
        <v>-1023874</v>
      </c>
      <c r="F151" s="150">
        <f t="shared" si="9"/>
        <v>-0.99935873097056116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234824</v>
      </c>
      <c r="D152" s="146">
        <v>241577</v>
      </c>
      <c r="E152" s="146">
        <f t="shared" si="8"/>
        <v>6753</v>
      </c>
      <c r="F152" s="150">
        <f t="shared" si="9"/>
        <v>2.8757707900384968E-2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2048929</v>
      </c>
      <c r="D154" s="146">
        <v>2126378</v>
      </c>
      <c r="E154" s="146">
        <f t="shared" si="8"/>
        <v>77449</v>
      </c>
      <c r="F154" s="150">
        <f t="shared" si="9"/>
        <v>3.7799748063500491E-2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24850411</v>
      </c>
      <c r="D155" s="147">
        <f>SUM(D121:D154)</f>
        <v>23928640</v>
      </c>
      <c r="E155" s="147">
        <f t="shared" si="8"/>
        <v>-921771</v>
      </c>
      <c r="F155" s="148">
        <f t="shared" si="9"/>
        <v>-3.7092786916079576E-2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3561197</v>
      </c>
      <c r="D158" s="146">
        <v>3291166</v>
      </c>
      <c r="E158" s="146">
        <f t="shared" ref="E158:E171" si="10">D158-C158</f>
        <v>-270031</v>
      </c>
      <c r="F158" s="150">
        <f t="shared" ref="F158:F171" si="11">IF(C158=0,0,E158/C158)</f>
        <v>-7.5825909097418653E-2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1544675</v>
      </c>
      <c r="D159" s="146">
        <v>1528046</v>
      </c>
      <c r="E159" s="146">
        <f t="shared" si="10"/>
        <v>-16629</v>
      </c>
      <c r="F159" s="150">
        <f t="shared" si="11"/>
        <v>-1.0765371356434201E-2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0</v>
      </c>
      <c r="D161" s="146">
        <v>0</v>
      </c>
      <c r="E161" s="146">
        <f t="shared" si="10"/>
        <v>0</v>
      </c>
      <c r="F161" s="150">
        <f t="shared" si="11"/>
        <v>0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395863</v>
      </c>
      <c r="D162" s="146">
        <v>268584</v>
      </c>
      <c r="E162" s="146">
        <f t="shared" si="10"/>
        <v>-127279</v>
      </c>
      <c r="F162" s="150">
        <f t="shared" si="11"/>
        <v>-0.32152285007692055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1621142</v>
      </c>
      <c r="D163" s="146">
        <v>1479102</v>
      </c>
      <c r="E163" s="146">
        <f t="shared" si="10"/>
        <v>-142040</v>
      </c>
      <c r="F163" s="150">
        <f t="shared" si="11"/>
        <v>-8.7617247594596895E-2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30069</v>
      </c>
      <c r="D164" s="146">
        <v>28178</v>
      </c>
      <c r="E164" s="146">
        <f t="shared" si="10"/>
        <v>-1891</v>
      </c>
      <c r="F164" s="150">
        <f t="shared" si="11"/>
        <v>-6.2888689347833315E-2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675189</v>
      </c>
      <c r="D167" s="146">
        <v>670157</v>
      </c>
      <c r="E167" s="146">
        <f t="shared" si="10"/>
        <v>-5032</v>
      </c>
      <c r="F167" s="150">
        <f t="shared" si="11"/>
        <v>-7.4527280509605462E-3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1180387</v>
      </c>
      <c r="D169" s="146">
        <v>1039587</v>
      </c>
      <c r="E169" s="146">
        <f t="shared" si="10"/>
        <v>-140800</v>
      </c>
      <c r="F169" s="150">
        <f t="shared" si="11"/>
        <v>-0.11928291314628169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4404744</v>
      </c>
      <c r="D170" s="146">
        <v>3658439</v>
      </c>
      <c r="E170" s="146">
        <f t="shared" si="10"/>
        <v>-746305</v>
      </c>
      <c r="F170" s="150">
        <f t="shared" si="11"/>
        <v>-0.16943209412397178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13413266</v>
      </c>
      <c r="D171" s="147">
        <f>SUM(D158:D170)</f>
        <v>11963259</v>
      </c>
      <c r="E171" s="147">
        <f t="shared" si="10"/>
        <v>-1450007</v>
      </c>
      <c r="F171" s="148">
        <f t="shared" si="11"/>
        <v>-0.10810245618032178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376812</v>
      </c>
      <c r="D174" s="146">
        <v>142383</v>
      </c>
      <c r="E174" s="146">
        <f>D174-C174</f>
        <v>-234429</v>
      </c>
      <c r="F174" s="150">
        <f>IF(C174=0,0,E174/C174)</f>
        <v>-0.62213783000541389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98752754</v>
      </c>
      <c r="D176" s="147">
        <f>+D174+D171+D155+D118+D109</f>
        <v>91802230</v>
      </c>
      <c r="E176" s="147">
        <f>D176-C176</f>
        <v>-6950524</v>
      </c>
      <c r="F176" s="148">
        <f>IF(C176=0,0,E176/C176)</f>
        <v>-7.0383090278170871E-2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FILING&amp;RNEW MILFORD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88824490</v>
      </c>
      <c r="D11" s="164">
        <v>89326362</v>
      </c>
      <c r="E11" s="51">
        <v>88045146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5548110</v>
      </c>
      <c r="D12" s="49">
        <v>3899680</v>
      </c>
      <c r="E12" s="49">
        <v>3875185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94372600</v>
      </c>
      <c r="D13" s="51">
        <f>+D11+D12</f>
        <v>93226042</v>
      </c>
      <c r="E13" s="51">
        <f>+E11+E12</f>
        <v>91920331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95880966</v>
      </c>
      <c r="D14" s="49">
        <v>98752754</v>
      </c>
      <c r="E14" s="49">
        <v>91802230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-1508366</v>
      </c>
      <c r="D15" s="51">
        <f>+D13-D14</f>
        <v>-5526712</v>
      </c>
      <c r="E15" s="51">
        <f>+E13-E14</f>
        <v>118101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357421</v>
      </c>
      <c r="D16" s="49">
        <v>361642</v>
      </c>
      <c r="E16" s="49">
        <v>72146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-1150945</v>
      </c>
      <c r="D17" s="51">
        <f>D15+D16</f>
        <v>-5165070</v>
      </c>
      <c r="E17" s="51">
        <f>E15+E16</f>
        <v>190247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-1.5922787560661473E-2</v>
      </c>
      <c r="D20" s="169">
        <f>IF(+D27=0,0,+D24/+D27)</f>
        <v>-5.9053838750833927E-2</v>
      </c>
      <c r="E20" s="169">
        <f>IF(+E27=0,0,+E24/+E27)</f>
        <v>1.2838115012383023E-3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3.7730488838379969E-3</v>
      </c>
      <c r="D21" s="169">
        <f>IF(D27=0,0,+D26/D27)</f>
        <v>3.8642050379193056E-3</v>
      </c>
      <c r="E21" s="169">
        <f>IF(E27=0,0,+E26/E27)</f>
        <v>7.8425978246025483E-4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-1.2149738676823474E-2</v>
      </c>
      <c r="D22" s="169">
        <f>IF(D27=0,0,+D28/D27)</f>
        <v>-5.5189633712914618E-2</v>
      </c>
      <c r="E22" s="169">
        <f>IF(E27=0,0,+E28/E27)</f>
        <v>2.0680712836985572E-3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-1508366</v>
      </c>
      <c r="D24" s="51">
        <f>+D15</f>
        <v>-5526712</v>
      </c>
      <c r="E24" s="51">
        <f>+E15</f>
        <v>118101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94372600</v>
      </c>
      <c r="D25" s="51">
        <f>+D13</f>
        <v>93226042</v>
      </c>
      <c r="E25" s="51">
        <f>+E13</f>
        <v>91920331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357421</v>
      </c>
      <c r="D26" s="51">
        <f>+D16</f>
        <v>361642</v>
      </c>
      <c r="E26" s="51">
        <f>+E16</f>
        <v>72146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94730021</v>
      </c>
      <c r="D27" s="51">
        <f>+D25+D26</f>
        <v>93587684</v>
      </c>
      <c r="E27" s="51">
        <f>+E25+E26</f>
        <v>91992477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-1150945</v>
      </c>
      <c r="D28" s="51">
        <f>+D17</f>
        <v>-5165070</v>
      </c>
      <c r="E28" s="51">
        <f>+E17</f>
        <v>190247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29244007</v>
      </c>
      <c r="D31" s="51">
        <v>13080008</v>
      </c>
      <c r="E31" s="51">
        <v>28931108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43564881</v>
      </c>
      <c r="D32" s="51">
        <v>23768402</v>
      </c>
      <c r="E32" s="51">
        <v>34704604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-3912774</v>
      </c>
      <c r="D33" s="51">
        <f>+D32-C32</f>
        <v>-19796479</v>
      </c>
      <c r="E33" s="51">
        <f>+E32-D32</f>
        <v>10936202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0.91749999999999998</v>
      </c>
      <c r="D34" s="171">
        <f>IF(C32=0,0,+D33/C32)</f>
        <v>-0.45441370538806247</v>
      </c>
      <c r="E34" s="171">
        <f>IF(D32=0,0,+E33/D32)</f>
        <v>0.46011515624819876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0.41862446463282754</v>
      </c>
      <c r="D38" s="172">
        <f>IF((D40+D41)=0,0,+D39/(D40+D41))</f>
        <v>0.4212791008660749</v>
      </c>
      <c r="E38" s="172">
        <f>IF((E40+E41)=0,0,+E39/(E40+E41))</f>
        <v>0.37677677897555545</v>
      </c>
      <c r="F38" s="5"/>
    </row>
    <row r="39" spans="1:6" ht="24" customHeight="1" x14ac:dyDescent="0.2">
      <c r="A39" s="21">
        <v>2</v>
      </c>
      <c r="B39" s="48" t="s">
        <v>324</v>
      </c>
      <c r="C39" s="51">
        <v>92150239</v>
      </c>
      <c r="D39" s="51">
        <v>98752754</v>
      </c>
      <c r="E39" s="23">
        <v>91802230</v>
      </c>
      <c r="F39" s="5"/>
    </row>
    <row r="40" spans="1:6" ht="24" customHeight="1" x14ac:dyDescent="0.2">
      <c r="A40" s="21">
        <v>3</v>
      </c>
      <c r="B40" s="48" t="s">
        <v>325</v>
      </c>
      <c r="C40" s="51">
        <v>214881435</v>
      </c>
      <c r="D40" s="51">
        <v>230831708</v>
      </c>
      <c r="E40" s="23">
        <v>240127700</v>
      </c>
      <c r="F40" s="5"/>
    </row>
    <row r="41" spans="1:6" ht="24" customHeight="1" x14ac:dyDescent="0.2">
      <c r="A41" s="21">
        <v>4</v>
      </c>
      <c r="B41" s="48" t="s">
        <v>326</v>
      </c>
      <c r="C41" s="51">
        <v>5244828</v>
      </c>
      <c r="D41" s="51">
        <v>3580001</v>
      </c>
      <c r="E41" s="23">
        <v>3523807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1.2105167769134155</v>
      </c>
      <c r="D43" s="173">
        <f>IF(D38=0,0,IF((D46-D47)=0,0,((+D44-D45)/(D46-D47)/D38)))</f>
        <v>1.1935740324667683</v>
      </c>
      <c r="E43" s="173">
        <f>IF(E38=0,0,IF((E46-E47)=0,0,((+E44-E45)/(E46-E47)/E38)))</f>
        <v>1.301363417186759</v>
      </c>
      <c r="F43" s="5"/>
    </row>
    <row r="44" spans="1:6" ht="24" customHeight="1" x14ac:dyDescent="0.2">
      <c r="A44" s="21">
        <v>6</v>
      </c>
      <c r="B44" s="48" t="s">
        <v>328</v>
      </c>
      <c r="C44" s="51">
        <v>53547276</v>
      </c>
      <c r="D44" s="51">
        <v>55861758</v>
      </c>
      <c r="E44" s="23">
        <v>54625501</v>
      </c>
      <c r="F44" s="5"/>
    </row>
    <row r="45" spans="1:6" ht="24" customHeight="1" x14ac:dyDescent="0.2">
      <c r="A45" s="21">
        <v>7</v>
      </c>
      <c r="B45" s="48" t="s">
        <v>329</v>
      </c>
      <c r="C45" s="51">
        <v>1666754</v>
      </c>
      <c r="D45" s="51">
        <v>250631</v>
      </c>
      <c r="E45" s="23">
        <v>274542</v>
      </c>
      <c r="F45" s="5"/>
    </row>
    <row r="46" spans="1:6" ht="24" customHeight="1" x14ac:dyDescent="0.2">
      <c r="A46" s="21">
        <v>8</v>
      </c>
      <c r="B46" s="48" t="s">
        <v>330</v>
      </c>
      <c r="C46" s="51">
        <v>107588036</v>
      </c>
      <c r="D46" s="51">
        <v>115199029</v>
      </c>
      <c r="E46" s="23">
        <v>115856329</v>
      </c>
      <c r="F46" s="5"/>
    </row>
    <row r="47" spans="1:6" ht="24" customHeight="1" x14ac:dyDescent="0.2">
      <c r="A47" s="21">
        <v>9</v>
      </c>
      <c r="B47" s="48" t="s">
        <v>331</v>
      </c>
      <c r="C47" s="51">
        <v>5209499</v>
      </c>
      <c r="D47" s="51">
        <v>4602265</v>
      </c>
      <c r="E47" s="174">
        <v>5009190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0.70061401835472803</v>
      </c>
      <c r="D49" s="175">
        <f>IF(D38=0,0,IF(D51=0,0,(D50/D51)/D38))</f>
        <v>0.6145550197615085</v>
      </c>
      <c r="E49" s="175">
        <f>IF(E38=0,0,IF(E51=0,0,(E50/E51)/E38))</f>
        <v>0.63939093398740909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28459792</v>
      </c>
      <c r="D50" s="176">
        <v>27030405</v>
      </c>
      <c r="E50" s="176">
        <v>25840252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97034974</v>
      </c>
      <c r="D51" s="176">
        <v>104405137</v>
      </c>
      <c r="E51" s="176">
        <v>107262062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0.74224908995767558</v>
      </c>
      <c r="D53" s="175">
        <f>IF(D38=0,0,IF(D55=0,0,(D54/D55)/D38))</f>
        <v>0.69079302878220517</v>
      </c>
      <c r="E53" s="175">
        <f>IF(E38=0,0,IF(E55=0,0,(E54/E55)/E38))</f>
        <v>0.71974230360112812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2362190</v>
      </c>
      <c r="D54" s="176">
        <v>2744639</v>
      </c>
      <c r="E54" s="176">
        <v>4034622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7602222</v>
      </c>
      <c r="D55" s="176">
        <v>9431209</v>
      </c>
      <c r="E55" s="176">
        <v>14877902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3093424.64415535</v>
      </c>
      <c r="D57" s="53">
        <f>+D60*D38</f>
        <v>2402226.5358196506</v>
      </c>
      <c r="E57" s="53">
        <f>+E60*E38</f>
        <v>1987111.3128976051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2581057</v>
      </c>
      <c r="D58" s="51">
        <v>1620381</v>
      </c>
      <c r="E58" s="52">
        <v>2208785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4808441</v>
      </c>
      <c r="D59" s="51">
        <v>4081840</v>
      </c>
      <c r="E59" s="52">
        <v>3065190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7389498</v>
      </c>
      <c r="D60" s="51">
        <v>5702221</v>
      </c>
      <c r="E60" s="52">
        <v>5273975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3.3569361053478658E-2</v>
      </c>
      <c r="D62" s="178">
        <f>IF(D63=0,0,+D57/D63)</f>
        <v>2.4325666257567366E-2</v>
      </c>
      <c r="E62" s="178">
        <f>IF(E63=0,0,+E57/E63)</f>
        <v>2.1645566920298179E-2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92150239</v>
      </c>
      <c r="D63" s="176">
        <v>98752754</v>
      </c>
      <c r="E63" s="176">
        <v>91802230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1.4286271694830468</v>
      </c>
      <c r="D67" s="179">
        <f>IF(D69=0,0,D68/D69)</f>
        <v>1.2829482013108306</v>
      </c>
      <c r="E67" s="179">
        <f>IF(E69=0,0,E68/E69)</f>
        <v>1.6752394587302344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21536336</v>
      </c>
      <c r="D68" s="180">
        <v>20129719</v>
      </c>
      <c r="E68" s="180">
        <v>22877256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15074847</v>
      </c>
      <c r="D69" s="180">
        <v>15690204</v>
      </c>
      <c r="E69" s="180">
        <v>13656111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11.373507496398805</v>
      </c>
      <c r="D71" s="181">
        <f>IF((D77/365)=0,0,+D74/(D77/365))</f>
        <v>10.541955392557448</v>
      </c>
      <c r="E71" s="181">
        <f>IF((E77/365)=0,0,+E74/(E77/365))</f>
        <v>29.831892545951302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2003448</v>
      </c>
      <c r="D72" s="182">
        <v>2513911</v>
      </c>
      <c r="E72" s="182">
        <v>6859877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830159</v>
      </c>
      <c r="D73" s="184">
        <v>195420</v>
      </c>
      <c r="E73" s="184">
        <v>198805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2833607</v>
      </c>
      <c r="D74" s="180">
        <f>+D72+D73</f>
        <v>2709331</v>
      </c>
      <c r="E74" s="180">
        <f>+E72+E73</f>
        <v>7058682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95880966</v>
      </c>
      <c r="D75" s="180">
        <f>+D14</f>
        <v>98752754</v>
      </c>
      <c r="E75" s="180">
        <f>+E14</f>
        <v>91802230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4944502</v>
      </c>
      <c r="D76" s="180">
        <v>4946076</v>
      </c>
      <c r="E76" s="180">
        <v>5437648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90936464</v>
      </c>
      <c r="D77" s="180">
        <f>+D75-D76</f>
        <v>93806678</v>
      </c>
      <c r="E77" s="180">
        <f>+E75-E76</f>
        <v>86364582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40.161793892652803</v>
      </c>
      <c r="D79" s="179">
        <f>IF((D84/365)=0,0,+D83/(D84/365))</f>
        <v>34.681111271496761</v>
      </c>
      <c r="E79" s="179">
        <f>IF((E84/365)=0,0,+E83/(E84/365))</f>
        <v>27.480601088446146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10991250</v>
      </c>
      <c r="D80" s="189">
        <v>10792628</v>
      </c>
      <c r="E80" s="189">
        <v>10247728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1217686</v>
      </c>
      <c r="D82" s="190">
        <v>2305128</v>
      </c>
      <c r="E82" s="190">
        <v>3618869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9773564</v>
      </c>
      <c r="D83" s="191">
        <f>+D80+D81-D82</f>
        <v>8487500</v>
      </c>
      <c r="E83" s="191">
        <f>+E80+E81-E82</f>
        <v>6628859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88824490</v>
      </c>
      <c r="D84" s="191">
        <f>+D11</f>
        <v>89326362</v>
      </c>
      <c r="E84" s="191">
        <f>+E11</f>
        <v>88045146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60.507291717434718</v>
      </c>
      <c r="D86" s="179">
        <f>IF((D90/365)=0,0,+D87/(D90/365))</f>
        <v>61.050285353884938</v>
      </c>
      <c r="E86" s="179">
        <f>IF((E90/365)=0,0,+E87/(E90/365))</f>
        <v>57.714405599739948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15074847</v>
      </c>
      <c r="D87" s="51">
        <f>+D69</f>
        <v>15690204</v>
      </c>
      <c r="E87" s="51">
        <f>+E69</f>
        <v>13656111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95880966</v>
      </c>
      <c r="D88" s="51">
        <f t="shared" si="0"/>
        <v>98752754</v>
      </c>
      <c r="E88" s="51">
        <f t="shared" si="0"/>
        <v>91802230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4944502</v>
      </c>
      <c r="D89" s="52">
        <f t="shared" si="0"/>
        <v>4946076</v>
      </c>
      <c r="E89" s="52">
        <f t="shared" si="0"/>
        <v>5437648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90936464</v>
      </c>
      <c r="D90" s="51">
        <f>+D88-D89</f>
        <v>93806678</v>
      </c>
      <c r="E90" s="51">
        <f>+E88-E89</f>
        <v>86364582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58.669305412243055</v>
      </c>
      <c r="D94" s="192">
        <f>IF(D96=0,0,(D95/D96)*100)</f>
        <v>34.094536060006632</v>
      </c>
      <c r="E94" s="192">
        <f>IF(E96=0,0,(E95/E96)*100)</f>
        <v>50.355428061498777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43564881</v>
      </c>
      <c r="D95" s="51">
        <f>+D32</f>
        <v>23768402</v>
      </c>
      <c r="E95" s="51">
        <f>+E32</f>
        <v>34704604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74254980</v>
      </c>
      <c r="D96" s="51">
        <v>69713229</v>
      </c>
      <c r="E96" s="51">
        <v>68919291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15.623192945531164</v>
      </c>
      <c r="D98" s="192">
        <f>IF(D104=0,0,(D101/D104)*100)</f>
        <v>-0.94255016559424609</v>
      </c>
      <c r="E98" s="192">
        <f>IF(E104=0,0,(E101/E104)*100)</f>
        <v>27.319479458091411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-1150945</v>
      </c>
      <c r="D99" s="51">
        <f>+D28</f>
        <v>-5165070</v>
      </c>
      <c r="E99" s="51">
        <f>+E28</f>
        <v>190247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4944502</v>
      </c>
      <c r="D100" s="52">
        <f>+D76</f>
        <v>4946076</v>
      </c>
      <c r="E100" s="52">
        <f>+E76</f>
        <v>5437648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3793557</v>
      </c>
      <c r="D101" s="51">
        <f>+D99+D100</f>
        <v>-218994</v>
      </c>
      <c r="E101" s="51">
        <f>+E99+E100</f>
        <v>5627895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15074847</v>
      </c>
      <c r="D102" s="180">
        <f>+D69</f>
        <v>15690204</v>
      </c>
      <c r="E102" s="180">
        <f>+E69</f>
        <v>13656111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9206726</v>
      </c>
      <c r="D103" s="194">
        <v>7543997</v>
      </c>
      <c r="E103" s="194">
        <v>6944190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24281573</v>
      </c>
      <c r="D104" s="180">
        <f>+D102+D103</f>
        <v>23234201</v>
      </c>
      <c r="E104" s="180">
        <f>+E102+E103</f>
        <v>20600301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17.446362776104205</v>
      </c>
      <c r="D106" s="197">
        <f>IF(D109=0,0,(D107/D109)*100)</f>
        <v>24.092682901747644</v>
      </c>
      <c r="E106" s="197">
        <f>IF(E109=0,0,(E107/E109)*100)</f>
        <v>16.673207872477651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9206726</v>
      </c>
      <c r="D107" s="180">
        <f>+D103</f>
        <v>7543997</v>
      </c>
      <c r="E107" s="180">
        <f>+E103</f>
        <v>6944190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43564881</v>
      </c>
      <c r="D108" s="180">
        <f>+D32</f>
        <v>23768402</v>
      </c>
      <c r="E108" s="180">
        <f>+E32</f>
        <v>34704604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52771607</v>
      </c>
      <c r="D109" s="180">
        <f>+D107+D108</f>
        <v>31312399</v>
      </c>
      <c r="E109" s="180">
        <f>+E107+E108</f>
        <v>41648794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6.191689316242825</v>
      </c>
      <c r="D111" s="197">
        <f>IF((+D113+D115)=0,0,((+D112+D113+D114)/(+D113+D115)))</f>
        <v>0.2186404918034357</v>
      </c>
      <c r="E111" s="197">
        <f>IF((+E113+E115)=0,0,((+E112+E113+E114)/(+E113+E115)))</f>
        <v>2.5584092974237902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-1150945</v>
      </c>
      <c r="D112" s="180">
        <f>+D17</f>
        <v>-5165070</v>
      </c>
      <c r="E112" s="180">
        <f>+E17</f>
        <v>190247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730698</v>
      </c>
      <c r="D113" s="180">
        <v>675584</v>
      </c>
      <c r="E113" s="180">
        <v>538204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4944502</v>
      </c>
      <c r="D114" s="180">
        <v>4946076</v>
      </c>
      <c r="E114" s="180">
        <v>5437648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1412730</v>
      </c>
      <c r="E115" s="180">
        <v>1871926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11.233347059016257</v>
      </c>
      <c r="D119" s="197">
        <f>IF(+D121=0,0,(+D120)/(+D121))</f>
        <v>12.229772449917874</v>
      </c>
      <c r="E119" s="197">
        <f>IF(+E121=0,0,(+E120)/(+E121))</f>
        <v>12.124181447567036</v>
      </c>
    </row>
    <row r="120" spans="1:8" ht="24" customHeight="1" x14ac:dyDescent="0.25">
      <c r="A120" s="17">
        <v>21</v>
      </c>
      <c r="B120" s="48" t="s">
        <v>369</v>
      </c>
      <c r="C120" s="180">
        <v>55543307</v>
      </c>
      <c r="D120" s="180">
        <v>60489384</v>
      </c>
      <c r="E120" s="180">
        <v>65927031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4944502</v>
      </c>
      <c r="D121" s="180">
        <v>4946076</v>
      </c>
      <c r="E121" s="180">
        <v>5437648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11785</v>
      </c>
      <c r="D124" s="198">
        <v>9874</v>
      </c>
      <c r="E124" s="198">
        <v>9382</v>
      </c>
    </row>
    <row r="125" spans="1:8" ht="24" customHeight="1" x14ac:dyDescent="0.2">
      <c r="A125" s="44">
        <v>2</v>
      </c>
      <c r="B125" s="48" t="s">
        <v>373</v>
      </c>
      <c r="C125" s="198">
        <v>3032</v>
      </c>
      <c r="D125" s="198">
        <v>2774</v>
      </c>
      <c r="E125" s="198">
        <v>2512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3.8868733509234827</v>
      </c>
      <c r="D126" s="199">
        <f>IF(D125=0,0,D124/D125)</f>
        <v>3.5594808940158615</v>
      </c>
      <c r="E126" s="199">
        <f>IF(E125=0,0,E124/E125)</f>
        <v>3.7348726114649682</v>
      </c>
    </row>
    <row r="127" spans="1:8" ht="24" customHeight="1" x14ac:dyDescent="0.2">
      <c r="A127" s="44">
        <v>4</v>
      </c>
      <c r="B127" s="48" t="s">
        <v>375</v>
      </c>
      <c r="C127" s="198">
        <v>37</v>
      </c>
      <c r="D127" s="198">
        <v>32</v>
      </c>
      <c r="E127" s="198">
        <v>30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95</v>
      </c>
      <c r="E128" s="198">
        <v>95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95</v>
      </c>
      <c r="D129" s="198">
        <v>95</v>
      </c>
      <c r="E129" s="198">
        <v>95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0.87260000000000004</v>
      </c>
      <c r="D130" s="171">
        <v>0.84530000000000005</v>
      </c>
      <c r="E130" s="171">
        <v>0.85680000000000001</v>
      </c>
    </row>
    <row r="131" spans="1:8" ht="24" customHeight="1" x14ac:dyDescent="0.2">
      <c r="A131" s="44">
        <v>7</v>
      </c>
      <c r="B131" s="48" t="s">
        <v>379</v>
      </c>
      <c r="C131" s="171">
        <v>0.33979999999999999</v>
      </c>
      <c r="D131" s="171">
        <v>0.28470000000000001</v>
      </c>
      <c r="E131" s="171">
        <v>0.27050000000000002</v>
      </c>
    </row>
    <row r="132" spans="1:8" ht="24" customHeight="1" x14ac:dyDescent="0.2">
      <c r="A132" s="44">
        <v>8</v>
      </c>
      <c r="B132" s="48" t="s">
        <v>380</v>
      </c>
      <c r="C132" s="199">
        <v>488.1</v>
      </c>
      <c r="D132" s="199">
        <v>488.8</v>
      </c>
      <c r="E132" s="199">
        <v>475.5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0.47644198299401713</v>
      </c>
      <c r="D135" s="203">
        <f>IF(D149=0,0,D143/D149)</f>
        <v>0.47912292881357532</v>
      </c>
      <c r="E135" s="203">
        <f>IF(E149=0,0,E143/E149)</f>
        <v>0.46161746020971339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0.45157448804267342</v>
      </c>
      <c r="D136" s="203">
        <f>IF(D149=0,0,D144/D149)</f>
        <v>0.45229980709582585</v>
      </c>
      <c r="E136" s="203">
        <f>IF(E149=0,0,E144/E149)</f>
        <v>0.44668758331504443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3.5378682202117644E-2</v>
      </c>
      <c r="D137" s="203">
        <f>IF(D149=0,0,D145/D149)</f>
        <v>4.0857510788769105E-2</v>
      </c>
      <c r="E137" s="203">
        <f>IF(E149=0,0,E145/E149)</f>
        <v>6.1958291359139328E-2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1.128876954865831E-2</v>
      </c>
      <c r="D138" s="203">
        <f>IF(D149=0,0,D146/D149)</f>
        <v>6.5767524451190214E-3</v>
      </c>
      <c r="E138" s="203">
        <f>IF(E149=0,0,E146/E149)</f>
        <v>7.1939638783863752E-3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2.4243597405238848E-2</v>
      </c>
      <c r="D139" s="203">
        <f>IF(D149=0,0,D147/D149)</f>
        <v>1.9937750493099499E-2</v>
      </c>
      <c r="E139" s="203">
        <f>IF(E149=0,0,E147/E149)</f>
        <v>2.0860525462077052E-2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1.07247980729466E-3</v>
      </c>
      <c r="D140" s="203">
        <f>IF(D149=0,0,D148/D149)</f>
        <v>1.2052503636112244E-3</v>
      </c>
      <c r="E140" s="203">
        <f>IF(E149=0,0,E148/E149)</f>
        <v>1.6821757756393786E-3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0.99999999999999989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102378537</v>
      </c>
      <c r="D143" s="205">
        <f>+D46-D147</f>
        <v>110596764</v>
      </c>
      <c r="E143" s="205">
        <f>+E46-E147</f>
        <v>110847139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97034974</v>
      </c>
      <c r="D144" s="205">
        <f>+D51</f>
        <v>104405137</v>
      </c>
      <c r="E144" s="205">
        <f>+E51</f>
        <v>107262062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7602222</v>
      </c>
      <c r="D145" s="205">
        <f>+D55</f>
        <v>9431209</v>
      </c>
      <c r="E145" s="205">
        <f>+E55</f>
        <v>14877902</v>
      </c>
    </row>
    <row r="146" spans="1:7" ht="20.100000000000001" customHeight="1" x14ac:dyDescent="0.2">
      <c r="A146" s="202">
        <v>11</v>
      </c>
      <c r="B146" s="201" t="s">
        <v>392</v>
      </c>
      <c r="C146" s="204">
        <v>2425747</v>
      </c>
      <c r="D146" s="205">
        <v>1518123</v>
      </c>
      <c r="E146" s="205">
        <v>1727470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5209499</v>
      </c>
      <c r="D147" s="205">
        <f>+D47</f>
        <v>4602265</v>
      </c>
      <c r="E147" s="205">
        <f>+E47</f>
        <v>5009190</v>
      </c>
    </row>
    <row r="148" spans="1:7" ht="20.100000000000001" customHeight="1" x14ac:dyDescent="0.2">
      <c r="A148" s="202">
        <v>13</v>
      </c>
      <c r="B148" s="201" t="s">
        <v>394</v>
      </c>
      <c r="C148" s="206">
        <v>230456</v>
      </c>
      <c r="D148" s="205">
        <v>278210</v>
      </c>
      <c r="E148" s="205">
        <v>403937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214881435</v>
      </c>
      <c r="D149" s="205">
        <f>SUM(D143:D148)</f>
        <v>230831708</v>
      </c>
      <c r="E149" s="205">
        <f>SUM(E143:E148)</f>
        <v>240127700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0.60968654071626849</v>
      </c>
      <c r="D152" s="203">
        <f>IF(D166=0,0,D160/D166)</f>
        <v>0.64584356004704335</v>
      </c>
      <c r="E152" s="203">
        <f>IF(E166=0,0,E160/E166)</f>
        <v>0.63957391125789087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0.33445215015347246</v>
      </c>
      <c r="D153" s="203">
        <f>IF(D166=0,0,D161/D166)</f>
        <v>0.31391942469918654</v>
      </c>
      <c r="E153" s="203">
        <f>IF(E166=0,0,E161/E166)</f>
        <v>0.30407469055936137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2.7759848862248575E-2</v>
      </c>
      <c r="D154" s="203">
        <f>IF(D166=0,0,D162/D166)</f>
        <v>3.187504944476232E-2</v>
      </c>
      <c r="E154" s="203">
        <f>IF(E166=0,0,E162/E166)</f>
        <v>4.7477340243198544E-2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7.6786591280491381E-3</v>
      </c>
      <c r="D155" s="203">
        <f>IF(D166=0,0,D163/D166)</f>
        <v>4.542728102189357E-3</v>
      </c>
      <c r="E155" s="203">
        <f>IF(E166=0,0,E163/E166)</f>
        <v>4.5012382332538436E-3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1.9587263992544318E-2</v>
      </c>
      <c r="D156" s="203">
        <f>IF(D166=0,0,D164/D166)</f>
        <v>2.9107199589418591E-3</v>
      </c>
      <c r="E156" s="203">
        <f>IF(E166=0,0,E164/E166)</f>
        <v>3.2306679399081782E-3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8.3553714741702045E-4</v>
      </c>
      <c r="D157" s="203">
        <f>IF(D166=0,0,D165/D166)</f>
        <v>9.0851774787661021E-4</v>
      </c>
      <c r="E157" s="203">
        <f>IF(E166=0,0,E165/E166)</f>
        <v>1.1421517663872478E-3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1</v>
      </c>
      <c r="E158" s="203">
        <f>SUM(E152:E157)</f>
        <v>1.0000000000000002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51880522</v>
      </c>
      <c r="D160" s="208">
        <f>+D44-D164</f>
        <v>55611127</v>
      </c>
      <c r="E160" s="208">
        <f>+E44-E164</f>
        <v>54350959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28459792</v>
      </c>
      <c r="D161" s="208">
        <f>+D50</f>
        <v>27030405</v>
      </c>
      <c r="E161" s="208">
        <f>+E50</f>
        <v>25840252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2362190</v>
      </c>
      <c r="D162" s="208">
        <f>+D54</f>
        <v>2744639</v>
      </c>
      <c r="E162" s="208">
        <f>+E54</f>
        <v>4034622</v>
      </c>
    </row>
    <row r="163" spans="1:6" ht="20.100000000000001" customHeight="1" x14ac:dyDescent="0.2">
      <c r="A163" s="202">
        <v>11</v>
      </c>
      <c r="B163" s="201" t="s">
        <v>408</v>
      </c>
      <c r="C163" s="207">
        <v>653406</v>
      </c>
      <c r="D163" s="208">
        <v>391157</v>
      </c>
      <c r="E163" s="208">
        <v>382515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1666754</v>
      </c>
      <c r="D164" s="208">
        <f>+D45</f>
        <v>250631</v>
      </c>
      <c r="E164" s="208">
        <f>+E45</f>
        <v>274542</v>
      </c>
    </row>
    <row r="165" spans="1:6" ht="20.100000000000001" customHeight="1" x14ac:dyDescent="0.2">
      <c r="A165" s="202">
        <v>13</v>
      </c>
      <c r="B165" s="201" t="s">
        <v>410</v>
      </c>
      <c r="C165" s="209">
        <v>71099</v>
      </c>
      <c r="D165" s="208">
        <v>78229</v>
      </c>
      <c r="E165" s="208">
        <v>97060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85093763</v>
      </c>
      <c r="D166" s="208">
        <f>SUM(D160:D165)</f>
        <v>86106188</v>
      </c>
      <c r="E166" s="208">
        <f>SUM(E160:E165)</f>
        <v>84979950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1513</v>
      </c>
      <c r="D169" s="198">
        <v>1285</v>
      </c>
      <c r="E169" s="198">
        <v>1057</v>
      </c>
    </row>
    <row r="170" spans="1:6" ht="20.100000000000001" customHeight="1" x14ac:dyDescent="0.2">
      <c r="A170" s="202">
        <v>2</v>
      </c>
      <c r="B170" s="201" t="s">
        <v>414</v>
      </c>
      <c r="C170" s="198">
        <v>1290</v>
      </c>
      <c r="D170" s="198">
        <v>1248</v>
      </c>
      <c r="E170" s="198">
        <v>1167</v>
      </c>
    </row>
    <row r="171" spans="1:6" ht="20.100000000000001" customHeight="1" x14ac:dyDescent="0.2">
      <c r="A171" s="202">
        <v>3</v>
      </c>
      <c r="B171" s="201" t="s">
        <v>415</v>
      </c>
      <c r="C171" s="198">
        <v>228</v>
      </c>
      <c r="D171" s="198">
        <v>235</v>
      </c>
      <c r="E171" s="198">
        <v>283</v>
      </c>
    </row>
    <row r="172" spans="1:6" ht="20.100000000000001" customHeight="1" x14ac:dyDescent="0.2">
      <c r="A172" s="202">
        <v>4</v>
      </c>
      <c r="B172" s="201" t="s">
        <v>416</v>
      </c>
      <c r="C172" s="198">
        <v>196</v>
      </c>
      <c r="D172" s="198">
        <v>208</v>
      </c>
      <c r="E172" s="198">
        <v>252</v>
      </c>
    </row>
    <row r="173" spans="1:6" ht="20.100000000000001" customHeight="1" x14ac:dyDescent="0.2">
      <c r="A173" s="202">
        <v>5</v>
      </c>
      <c r="B173" s="201" t="s">
        <v>417</v>
      </c>
      <c r="C173" s="198">
        <v>32</v>
      </c>
      <c r="D173" s="198">
        <v>27</v>
      </c>
      <c r="E173" s="198">
        <v>31</v>
      </c>
    </row>
    <row r="174" spans="1:6" ht="20.100000000000001" customHeight="1" x14ac:dyDescent="0.2">
      <c r="A174" s="202">
        <v>6</v>
      </c>
      <c r="B174" s="201" t="s">
        <v>418</v>
      </c>
      <c r="C174" s="198">
        <v>1</v>
      </c>
      <c r="D174" s="198">
        <v>6</v>
      </c>
      <c r="E174" s="198">
        <v>5</v>
      </c>
    </row>
    <row r="175" spans="1:6" ht="20.100000000000001" customHeight="1" x14ac:dyDescent="0.2">
      <c r="A175" s="202">
        <v>7</v>
      </c>
      <c r="B175" s="201" t="s">
        <v>419</v>
      </c>
      <c r="C175" s="198">
        <v>82</v>
      </c>
      <c r="D175" s="198">
        <v>60</v>
      </c>
      <c r="E175" s="198">
        <v>51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3032</v>
      </c>
      <c r="D176" s="198">
        <f>+D169+D170+D171+D174</f>
        <v>2774</v>
      </c>
      <c r="E176" s="198">
        <f>+E169+E170+E171+E174</f>
        <v>2512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1.1242000000000001</v>
      </c>
      <c r="D179" s="210">
        <v>1.1383000000000001</v>
      </c>
      <c r="E179" s="210">
        <v>1.161</v>
      </c>
    </row>
    <row r="180" spans="1:6" ht="20.100000000000001" customHeight="1" x14ac:dyDescent="0.2">
      <c r="A180" s="202">
        <v>2</v>
      </c>
      <c r="B180" s="201" t="s">
        <v>414</v>
      </c>
      <c r="C180" s="210">
        <v>1.5250999999999999</v>
      </c>
      <c r="D180" s="210">
        <v>1.5633999999999999</v>
      </c>
      <c r="E180" s="210">
        <v>1.5347999999999999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0.91010800000000003</v>
      </c>
      <c r="D181" s="210">
        <v>0.78167699999999996</v>
      </c>
      <c r="E181" s="210">
        <v>0.90699799999999997</v>
      </c>
    </row>
    <row r="182" spans="1:6" ht="20.100000000000001" customHeight="1" x14ac:dyDescent="0.2">
      <c r="A182" s="202">
        <v>4</v>
      </c>
      <c r="B182" s="201" t="s">
        <v>416</v>
      </c>
      <c r="C182" s="210">
        <v>0.82340000000000002</v>
      </c>
      <c r="D182" s="210">
        <v>0.753</v>
      </c>
      <c r="E182" s="210">
        <v>0.82089999999999996</v>
      </c>
    </row>
    <row r="183" spans="1:6" ht="20.100000000000001" customHeight="1" x14ac:dyDescent="0.2">
      <c r="A183" s="202">
        <v>5</v>
      </c>
      <c r="B183" s="201" t="s">
        <v>417</v>
      </c>
      <c r="C183" s="210">
        <v>1.4412</v>
      </c>
      <c r="D183" s="210">
        <v>1.0025999999999999</v>
      </c>
      <c r="E183" s="210">
        <v>1.6069</v>
      </c>
    </row>
    <row r="184" spans="1:6" ht="20.100000000000001" customHeight="1" x14ac:dyDescent="0.2">
      <c r="A184" s="202">
        <v>6</v>
      </c>
      <c r="B184" s="201" t="s">
        <v>418</v>
      </c>
      <c r="C184" s="210">
        <v>1.99</v>
      </c>
      <c r="D184" s="210">
        <v>0.62829999999999997</v>
      </c>
      <c r="E184" s="210">
        <v>0.874</v>
      </c>
    </row>
    <row r="185" spans="1:6" ht="20.100000000000001" customHeight="1" x14ac:dyDescent="0.2">
      <c r="A185" s="202">
        <v>7</v>
      </c>
      <c r="B185" s="201" t="s">
        <v>419</v>
      </c>
      <c r="C185" s="210">
        <v>1.0282</v>
      </c>
      <c r="D185" s="210">
        <v>1.0884</v>
      </c>
      <c r="E185" s="210">
        <v>1.0268999999999999</v>
      </c>
    </row>
    <row r="186" spans="1:6" ht="20.100000000000001" customHeight="1" x14ac:dyDescent="0.2">
      <c r="A186" s="202">
        <v>8</v>
      </c>
      <c r="B186" s="201" t="s">
        <v>423</v>
      </c>
      <c r="C186" s="210">
        <v>1.278953</v>
      </c>
      <c r="D186" s="210">
        <v>1.2982340000000001</v>
      </c>
      <c r="E186" s="210">
        <v>1.305469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1794</v>
      </c>
      <c r="D189" s="198">
        <v>1957</v>
      </c>
      <c r="E189" s="198">
        <v>1901</v>
      </c>
    </row>
    <row r="190" spans="1:6" ht="20.100000000000001" customHeight="1" x14ac:dyDescent="0.2">
      <c r="A190" s="202">
        <v>2</v>
      </c>
      <c r="B190" s="201" t="s">
        <v>427</v>
      </c>
      <c r="C190" s="198">
        <v>17759</v>
      </c>
      <c r="D190" s="198">
        <v>17189</v>
      </c>
      <c r="E190" s="198">
        <v>16972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19553</v>
      </c>
      <c r="D191" s="198">
        <f>+D190+D189</f>
        <v>19146</v>
      </c>
      <c r="E191" s="198">
        <f>+E190+E189</f>
        <v>18873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FILING&amp;RNEW MILFORD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A6" sqref="A6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34591</v>
      </c>
      <c r="D14" s="237">
        <v>68216</v>
      </c>
      <c r="E14" s="237">
        <f t="shared" ref="E14:E24" si="0">D14-C14</f>
        <v>33625</v>
      </c>
      <c r="F14" s="238">
        <f t="shared" ref="F14:F24" si="1">IF(C14=0,0,E14/C14)</f>
        <v>0.9720736607788153</v>
      </c>
    </row>
    <row r="15" spans="1:7" ht="20.25" customHeight="1" x14ac:dyDescent="0.3">
      <c r="A15" s="235">
        <v>2</v>
      </c>
      <c r="B15" s="236" t="s">
        <v>435</v>
      </c>
      <c r="C15" s="237">
        <v>12582</v>
      </c>
      <c r="D15" s="237">
        <v>21027</v>
      </c>
      <c r="E15" s="237">
        <f t="shared" si="0"/>
        <v>8445</v>
      </c>
      <c r="F15" s="238">
        <f t="shared" si="1"/>
        <v>0.6711969480209824</v>
      </c>
    </row>
    <row r="16" spans="1:7" ht="20.25" customHeight="1" x14ac:dyDescent="0.3">
      <c r="A16" s="235">
        <v>3</v>
      </c>
      <c r="B16" s="236" t="s">
        <v>436</v>
      </c>
      <c r="C16" s="237">
        <v>85723</v>
      </c>
      <c r="D16" s="237">
        <v>119130</v>
      </c>
      <c r="E16" s="237">
        <f t="shared" si="0"/>
        <v>33407</v>
      </c>
      <c r="F16" s="238">
        <f t="shared" si="1"/>
        <v>0.38970871294751702</v>
      </c>
    </row>
    <row r="17" spans="1:6" ht="20.25" customHeight="1" x14ac:dyDescent="0.3">
      <c r="A17" s="235">
        <v>4</v>
      </c>
      <c r="B17" s="236" t="s">
        <v>437</v>
      </c>
      <c r="C17" s="237">
        <v>25502</v>
      </c>
      <c r="D17" s="237">
        <v>32069</v>
      </c>
      <c r="E17" s="237">
        <f t="shared" si="0"/>
        <v>6567</v>
      </c>
      <c r="F17" s="238">
        <f t="shared" si="1"/>
        <v>0.2575092149635323</v>
      </c>
    </row>
    <row r="18" spans="1:6" ht="20.25" customHeight="1" x14ac:dyDescent="0.3">
      <c r="A18" s="235">
        <v>5</v>
      </c>
      <c r="B18" s="236" t="s">
        <v>373</v>
      </c>
      <c r="C18" s="239">
        <v>1</v>
      </c>
      <c r="D18" s="239">
        <v>2</v>
      </c>
      <c r="E18" s="239">
        <f t="shared" si="0"/>
        <v>1</v>
      </c>
      <c r="F18" s="238">
        <f t="shared" si="1"/>
        <v>1</v>
      </c>
    </row>
    <row r="19" spans="1:6" ht="20.25" customHeight="1" x14ac:dyDescent="0.3">
      <c r="A19" s="235">
        <v>6</v>
      </c>
      <c r="B19" s="236" t="s">
        <v>372</v>
      </c>
      <c r="C19" s="239">
        <v>4</v>
      </c>
      <c r="D19" s="239">
        <v>4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32</v>
      </c>
      <c r="D20" s="239">
        <v>47</v>
      </c>
      <c r="E20" s="239">
        <f t="shared" si="0"/>
        <v>15</v>
      </c>
      <c r="F20" s="238">
        <f t="shared" si="1"/>
        <v>0.46875</v>
      </c>
    </row>
    <row r="21" spans="1:6" ht="20.25" customHeight="1" x14ac:dyDescent="0.3">
      <c r="A21" s="235">
        <v>8</v>
      </c>
      <c r="B21" s="236" t="s">
        <v>439</v>
      </c>
      <c r="C21" s="239">
        <v>14</v>
      </c>
      <c r="D21" s="239">
        <v>13</v>
      </c>
      <c r="E21" s="239">
        <f t="shared" si="0"/>
        <v>-1</v>
      </c>
      <c r="F21" s="238">
        <f t="shared" si="1"/>
        <v>-7.1428571428571425E-2</v>
      </c>
    </row>
    <row r="22" spans="1:6" ht="20.25" customHeight="1" x14ac:dyDescent="0.3">
      <c r="A22" s="235">
        <v>9</v>
      </c>
      <c r="B22" s="236" t="s">
        <v>440</v>
      </c>
      <c r="C22" s="239">
        <v>1</v>
      </c>
      <c r="D22" s="239">
        <v>1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120314</v>
      </c>
      <c r="D23" s="243">
        <f>+D14+D16</f>
        <v>187346</v>
      </c>
      <c r="E23" s="243">
        <f t="shared" si="0"/>
        <v>67032</v>
      </c>
      <c r="F23" s="244">
        <f t="shared" si="1"/>
        <v>0.55714214472131252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38084</v>
      </c>
      <c r="D24" s="243">
        <f>+D15+D17</f>
        <v>53096</v>
      </c>
      <c r="E24" s="243">
        <f t="shared" si="0"/>
        <v>15012</v>
      </c>
      <c r="F24" s="244">
        <f t="shared" si="1"/>
        <v>0.39418128347862619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144</v>
      </c>
      <c r="E29" s="237">
        <f t="shared" si="2"/>
        <v>144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39</v>
      </c>
      <c r="E30" s="237">
        <f t="shared" si="2"/>
        <v>39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1</v>
      </c>
      <c r="E33" s="239">
        <f t="shared" si="2"/>
        <v>1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144</v>
      </c>
      <c r="E36" s="243">
        <f t="shared" si="2"/>
        <v>144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39</v>
      </c>
      <c r="E37" s="243">
        <f t="shared" si="2"/>
        <v>39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398940</v>
      </c>
      <c r="D40" s="237">
        <v>485259</v>
      </c>
      <c r="E40" s="237">
        <f t="shared" ref="E40:E50" si="4">D40-C40</f>
        <v>86319</v>
      </c>
      <c r="F40" s="238">
        <f t="shared" ref="F40:F50" si="5">IF(C40=0,0,E40/C40)</f>
        <v>0.21637088283952474</v>
      </c>
    </row>
    <row r="41" spans="1:6" ht="20.25" customHeight="1" x14ac:dyDescent="0.3">
      <c r="A41" s="235">
        <v>2</v>
      </c>
      <c r="B41" s="236" t="s">
        <v>435</v>
      </c>
      <c r="C41" s="237">
        <v>145106</v>
      </c>
      <c r="D41" s="237">
        <v>149573</v>
      </c>
      <c r="E41" s="237">
        <f t="shared" si="4"/>
        <v>4467</v>
      </c>
      <c r="F41" s="238">
        <f t="shared" si="5"/>
        <v>3.078439209956859E-2</v>
      </c>
    </row>
    <row r="42" spans="1:6" ht="20.25" customHeight="1" x14ac:dyDescent="0.3">
      <c r="A42" s="235">
        <v>3</v>
      </c>
      <c r="B42" s="236" t="s">
        <v>436</v>
      </c>
      <c r="C42" s="237">
        <v>921010</v>
      </c>
      <c r="D42" s="237">
        <v>1128905</v>
      </c>
      <c r="E42" s="237">
        <f t="shared" si="4"/>
        <v>207895</v>
      </c>
      <c r="F42" s="238">
        <f t="shared" si="5"/>
        <v>0.22572501927232061</v>
      </c>
    </row>
    <row r="43" spans="1:6" ht="20.25" customHeight="1" x14ac:dyDescent="0.3">
      <c r="A43" s="235">
        <v>4</v>
      </c>
      <c r="B43" s="236" t="s">
        <v>437</v>
      </c>
      <c r="C43" s="237">
        <v>273992</v>
      </c>
      <c r="D43" s="237">
        <v>303894</v>
      </c>
      <c r="E43" s="237">
        <f t="shared" si="4"/>
        <v>29902</v>
      </c>
      <c r="F43" s="238">
        <f t="shared" si="5"/>
        <v>0.10913457327221232</v>
      </c>
    </row>
    <row r="44" spans="1:6" ht="20.25" customHeight="1" x14ac:dyDescent="0.3">
      <c r="A44" s="235">
        <v>5</v>
      </c>
      <c r="B44" s="236" t="s">
        <v>373</v>
      </c>
      <c r="C44" s="239">
        <v>11</v>
      </c>
      <c r="D44" s="239">
        <v>12</v>
      </c>
      <c r="E44" s="239">
        <f t="shared" si="4"/>
        <v>1</v>
      </c>
      <c r="F44" s="238">
        <f t="shared" si="5"/>
        <v>9.0909090909090912E-2</v>
      </c>
    </row>
    <row r="45" spans="1:6" ht="20.25" customHeight="1" x14ac:dyDescent="0.3">
      <c r="A45" s="235">
        <v>6</v>
      </c>
      <c r="B45" s="236" t="s">
        <v>372</v>
      </c>
      <c r="C45" s="239">
        <v>32</v>
      </c>
      <c r="D45" s="239">
        <v>59</v>
      </c>
      <c r="E45" s="239">
        <f t="shared" si="4"/>
        <v>27</v>
      </c>
      <c r="F45" s="238">
        <f t="shared" si="5"/>
        <v>0.84375</v>
      </c>
    </row>
    <row r="46" spans="1:6" ht="20.25" customHeight="1" x14ac:dyDescent="0.3">
      <c r="A46" s="235">
        <v>7</v>
      </c>
      <c r="B46" s="236" t="s">
        <v>438</v>
      </c>
      <c r="C46" s="239">
        <v>324</v>
      </c>
      <c r="D46" s="239">
        <v>474</v>
      </c>
      <c r="E46" s="239">
        <f t="shared" si="4"/>
        <v>150</v>
      </c>
      <c r="F46" s="238">
        <f t="shared" si="5"/>
        <v>0.46296296296296297</v>
      </c>
    </row>
    <row r="47" spans="1:6" ht="20.25" customHeight="1" x14ac:dyDescent="0.3">
      <c r="A47" s="235">
        <v>8</v>
      </c>
      <c r="B47" s="236" t="s">
        <v>439</v>
      </c>
      <c r="C47" s="239">
        <v>23</v>
      </c>
      <c r="D47" s="239">
        <v>42</v>
      </c>
      <c r="E47" s="239">
        <f t="shared" si="4"/>
        <v>19</v>
      </c>
      <c r="F47" s="238">
        <f t="shared" si="5"/>
        <v>0.82608695652173914</v>
      </c>
    </row>
    <row r="48" spans="1:6" ht="20.25" customHeight="1" x14ac:dyDescent="0.3">
      <c r="A48" s="235">
        <v>9</v>
      </c>
      <c r="B48" s="236" t="s">
        <v>440</v>
      </c>
      <c r="C48" s="239">
        <v>6</v>
      </c>
      <c r="D48" s="239">
        <v>8</v>
      </c>
      <c r="E48" s="239">
        <f t="shared" si="4"/>
        <v>2</v>
      </c>
      <c r="F48" s="238">
        <f t="shared" si="5"/>
        <v>0.33333333333333331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1319950</v>
      </c>
      <c r="D49" s="243">
        <f>+D40+D42</f>
        <v>1614164</v>
      </c>
      <c r="E49" s="243">
        <f t="shared" si="4"/>
        <v>294214</v>
      </c>
      <c r="F49" s="244">
        <f t="shared" si="5"/>
        <v>0.22289783703928179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419098</v>
      </c>
      <c r="D50" s="243">
        <f>+D41+D43</f>
        <v>453467</v>
      </c>
      <c r="E50" s="243">
        <f t="shared" si="4"/>
        <v>34369</v>
      </c>
      <c r="F50" s="244">
        <f t="shared" si="5"/>
        <v>8.2007072331531053E-2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624595</v>
      </c>
      <c r="D53" s="237">
        <v>873436</v>
      </c>
      <c r="E53" s="237">
        <f t="shared" ref="E53:E63" si="6">D53-C53</f>
        <v>248841</v>
      </c>
      <c r="F53" s="238">
        <f t="shared" ref="F53:F63" si="7">IF(C53=0,0,E53/C53)</f>
        <v>0.3984037656401348</v>
      </c>
    </row>
    <row r="54" spans="1:6" ht="20.25" customHeight="1" x14ac:dyDescent="0.3">
      <c r="A54" s="235">
        <v>2</v>
      </c>
      <c r="B54" s="236" t="s">
        <v>435</v>
      </c>
      <c r="C54" s="237">
        <v>227183</v>
      </c>
      <c r="D54" s="237">
        <v>269225</v>
      </c>
      <c r="E54" s="237">
        <f t="shared" si="6"/>
        <v>42042</v>
      </c>
      <c r="F54" s="238">
        <f t="shared" si="7"/>
        <v>0.18505786084346099</v>
      </c>
    </row>
    <row r="55" spans="1:6" ht="20.25" customHeight="1" x14ac:dyDescent="0.3">
      <c r="A55" s="235">
        <v>3</v>
      </c>
      <c r="B55" s="236" t="s">
        <v>436</v>
      </c>
      <c r="C55" s="237">
        <v>1665352</v>
      </c>
      <c r="D55" s="237">
        <v>1546298</v>
      </c>
      <c r="E55" s="237">
        <f t="shared" si="6"/>
        <v>-119054</v>
      </c>
      <c r="F55" s="238">
        <f t="shared" si="7"/>
        <v>-7.1488790357834259E-2</v>
      </c>
    </row>
    <row r="56" spans="1:6" ht="20.25" customHeight="1" x14ac:dyDescent="0.3">
      <c r="A56" s="235">
        <v>4</v>
      </c>
      <c r="B56" s="236" t="s">
        <v>437</v>
      </c>
      <c r="C56" s="237">
        <v>495427</v>
      </c>
      <c r="D56" s="237">
        <v>416253</v>
      </c>
      <c r="E56" s="237">
        <f t="shared" si="6"/>
        <v>-79174</v>
      </c>
      <c r="F56" s="238">
        <f t="shared" si="7"/>
        <v>-0.1598096187733006</v>
      </c>
    </row>
    <row r="57" spans="1:6" ht="20.25" customHeight="1" x14ac:dyDescent="0.3">
      <c r="A57" s="235">
        <v>5</v>
      </c>
      <c r="B57" s="236" t="s">
        <v>373</v>
      </c>
      <c r="C57" s="239">
        <v>24</v>
      </c>
      <c r="D57" s="239">
        <v>28</v>
      </c>
      <c r="E57" s="239">
        <f t="shared" si="6"/>
        <v>4</v>
      </c>
      <c r="F57" s="238">
        <f t="shared" si="7"/>
        <v>0.16666666666666666</v>
      </c>
    </row>
    <row r="58" spans="1:6" ht="20.25" customHeight="1" x14ac:dyDescent="0.3">
      <c r="A58" s="235">
        <v>6</v>
      </c>
      <c r="B58" s="236" t="s">
        <v>372</v>
      </c>
      <c r="C58" s="239">
        <v>89</v>
      </c>
      <c r="D58" s="239">
        <v>106</v>
      </c>
      <c r="E58" s="239">
        <f t="shared" si="6"/>
        <v>17</v>
      </c>
      <c r="F58" s="238">
        <f t="shared" si="7"/>
        <v>0.19101123595505617</v>
      </c>
    </row>
    <row r="59" spans="1:6" ht="20.25" customHeight="1" x14ac:dyDescent="0.3">
      <c r="A59" s="235">
        <v>7</v>
      </c>
      <c r="B59" s="236" t="s">
        <v>438</v>
      </c>
      <c r="C59" s="239">
        <v>806</v>
      </c>
      <c r="D59" s="239">
        <v>881</v>
      </c>
      <c r="E59" s="239">
        <f t="shared" si="6"/>
        <v>75</v>
      </c>
      <c r="F59" s="238">
        <f t="shared" si="7"/>
        <v>9.3052109181141443E-2</v>
      </c>
    </row>
    <row r="60" spans="1:6" ht="20.25" customHeight="1" x14ac:dyDescent="0.3">
      <c r="A60" s="235">
        <v>8</v>
      </c>
      <c r="B60" s="236" t="s">
        <v>439</v>
      </c>
      <c r="C60" s="239">
        <v>31</v>
      </c>
      <c r="D60" s="239">
        <v>35</v>
      </c>
      <c r="E60" s="239">
        <f t="shared" si="6"/>
        <v>4</v>
      </c>
      <c r="F60" s="238">
        <f t="shared" si="7"/>
        <v>0.12903225806451613</v>
      </c>
    </row>
    <row r="61" spans="1:6" ht="20.25" customHeight="1" x14ac:dyDescent="0.3">
      <c r="A61" s="235">
        <v>9</v>
      </c>
      <c r="B61" s="236" t="s">
        <v>440</v>
      </c>
      <c r="C61" s="239">
        <v>17</v>
      </c>
      <c r="D61" s="239">
        <v>20</v>
      </c>
      <c r="E61" s="239">
        <f t="shared" si="6"/>
        <v>3</v>
      </c>
      <c r="F61" s="238">
        <f t="shared" si="7"/>
        <v>0.17647058823529413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2289947</v>
      </c>
      <c r="D62" s="243">
        <f>+D53+D55</f>
        <v>2419734</v>
      </c>
      <c r="E62" s="243">
        <f t="shared" si="6"/>
        <v>129787</v>
      </c>
      <c r="F62" s="244">
        <f t="shared" si="7"/>
        <v>5.6676857586660301E-2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722610</v>
      </c>
      <c r="D63" s="243">
        <f>+D54+D56</f>
        <v>685478</v>
      </c>
      <c r="E63" s="243">
        <f t="shared" si="6"/>
        <v>-37132</v>
      </c>
      <c r="F63" s="244">
        <f t="shared" si="7"/>
        <v>-5.1385948160141706E-2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435645</v>
      </c>
      <c r="D66" s="237">
        <v>421124</v>
      </c>
      <c r="E66" s="237">
        <f t="shared" ref="E66:E76" si="8">D66-C66</f>
        <v>-14521</v>
      </c>
      <c r="F66" s="238">
        <f t="shared" ref="F66:F76" si="9">IF(C66=0,0,E66/C66)</f>
        <v>-3.3332185609842878E-2</v>
      </c>
    </row>
    <row r="67" spans="1:6" ht="20.25" customHeight="1" x14ac:dyDescent="0.3">
      <c r="A67" s="235">
        <v>2</v>
      </c>
      <c r="B67" s="236" t="s">
        <v>435</v>
      </c>
      <c r="C67" s="237">
        <v>158456</v>
      </c>
      <c r="D67" s="237">
        <v>129806</v>
      </c>
      <c r="E67" s="237">
        <f t="shared" si="8"/>
        <v>-28650</v>
      </c>
      <c r="F67" s="238">
        <f t="shared" si="9"/>
        <v>-0.1808072903518958</v>
      </c>
    </row>
    <row r="68" spans="1:6" ht="20.25" customHeight="1" x14ac:dyDescent="0.3">
      <c r="A68" s="235">
        <v>3</v>
      </c>
      <c r="B68" s="236" t="s">
        <v>436</v>
      </c>
      <c r="C68" s="237">
        <v>1022628</v>
      </c>
      <c r="D68" s="237">
        <v>837363</v>
      </c>
      <c r="E68" s="237">
        <f t="shared" si="8"/>
        <v>-185265</v>
      </c>
      <c r="F68" s="238">
        <f t="shared" si="9"/>
        <v>-0.18116558513946421</v>
      </c>
    </row>
    <row r="69" spans="1:6" ht="20.25" customHeight="1" x14ac:dyDescent="0.3">
      <c r="A69" s="235">
        <v>4</v>
      </c>
      <c r="B69" s="236" t="s">
        <v>437</v>
      </c>
      <c r="C69" s="237">
        <v>304223</v>
      </c>
      <c r="D69" s="237">
        <v>225413</v>
      </c>
      <c r="E69" s="237">
        <f t="shared" si="8"/>
        <v>-78810</v>
      </c>
      <c r="F69" s="238">
        <f t="shared" si="9"/>
        <v>-0.25905339175538994</v>
      </c>
    </row>
    <row r="70" spans="1:6" ht="20.25" customHeight="1" x14ac:dyDescent="0.3">
      <c r="A70" s="235">
        <v>5</v>
      </c>
      <c r="B70" s="236" t="s">
        <v>373</v>
      </c>
      <c r="C70" s="239">
        <v>19</v>
      </c>
      <c r="D70" s="239">
        <v>14</v>
      </c>
      <c r="E70" s="239">
        <f t="shared" si="8"/>
        <v>-5</v>
      </c>
      <c r="F70" s="238">
        <f t="shared" si="9"/>
        <v>-0.26315789473684209</v>
      </c>
    </row>
    <row r="71" spans="1:6" ht="20.25" customHeight="1" x14ac:dyDescent="0.3">
      <c r="A71" s="235">
        <v>6</v>
      </c>
      <c r="B71" s="236" t="s">
        <v>372</v>
      </c>
      <c r="C71" s="239">
        <v>65</v>
      </c>
      <c r="D71" s="239">
        <v>55</v>
      </c>
      <c r="E71" s="239">
        <f t="shared" si="8"/>
        <v>-10</v>
      </c>
      <c r="F71" s="238">
        <f t="shared" si="9"/>
        <v>-0.15384615384615385</v>
      </c>
    </row>
    <row r="72" spans="1:6" ht="20.25" customHeight="1" x14ac:dyDescent="0.3">
      <c r="A72" s="235">
        <v>7</v>
      </c>
      <c r="B72" s="236" t="s">
        <v>438</v>
      </c>
      <c r="C72" s="239">
        <v>460</v>
      </c>
      <c r="D72" s="239">
        <v>498</v>
      </c>
      <c r="E72" s="239">
        <f t="shared" si="8"/>
        <v>38</v>
      </c>
      <c r="F72" s="238">
        <f t="shared" si="9"/>
        <v>8.2608695652173908E-2</v>
      </c>
    </row>
    <row r="73" spans="1:6" ht="20.25" customHeight="1" x14ac:dyDescent="0.3">
      <c r="A73" s="235">
        <v>8</v>
      </c>
      <c r="B73" s="236" t="s">
        <v>439</v>
      </c>
      <c r="C73" s="239">
        <v>44</v>
      </c>
      <c r="D73" s="239">
        <v>67</v>
      </c>
      <c r="E73" s="239">
        <f t="shared" si="8"/>
        <v>23</v>
      </c>
      <c r="F73" s="238">
        <f t="shared" si="9"/>
        <v>0.52272727272727271</v>
      </c>
    </row>
    <row r="74" spans="1:6" ht="20.25" customHeight="1" x14ac:dyDescent="0.3">
      <c r="A74" s="235">
        <v>9</v>
      </c>
      <c r="B74" s="236" t="s">
        <v>440</v>
      </c>
      <c r="C74" s="239">
        <v>14</v>
      </c>
      <c r="D74" s="239">
        <v>13</v>
      </c>
      <c r="E74" s="239">
        <f t="shared" si="8"/>
        <v>-1</v>
      </c>
      <c r="F74" s="238">
        <f t="shared" si="9"/>
        <v>-7.1428571428571425E-2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1458273</v>
      </c>
      <c r="D75" s="243">
        <f>+D66+D68</f>
        <v>1258487</v>
      </c>
      <c r="E75" s="243">
        <f t="shared" si="8"/>
        <v>-199786</v>
      </c>
      <c r="F75" s="244">
        <f t="shared" si="9"/>
        <v>-0.1370017822451626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462679</v>
      </c>
      <c r="D76" s="243">
        <f>+D67+D69</f>
        <v>355219</v>
      </c>
      <c r="E76" s="243">
        <f t="shared" si="8"/>
        <v>-107460</v>
      </c>
      <c r="F76" s="244">
        <f t="shared" si="9"/>
        <v>-0.23225605657486076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22237</v>
      </c>
      <c r="D79" s="237">
        <v>0</v>
      </c>
      <c r="E79" s="237">
        <f t="shared" ref="E79:E89" si="10">D79-C79</f>
        <v>-22237</v>
      </c>
      <c r="F79" s="238">
        <f t="shared" ref="F79:F89" si="11">IF(C79=0,0,E79/C79)</f>
        <v>-1</v>
      </c>
    </row>
    <row r="80" spans="1:6" ht="20.25" customHeight="1" x14ac:dyDescent="0.3">
      <c r="A80" s="235">
        <v>2</v>
      </c>
      <c r="B80" s="236" t="s">
        <v>435</v>
      </c>
      <c r="C80" s="237">
        <v>8088</v>
      </c>
      <c r="D80" s="237">
        <v>0</v>
      </c>
      <c r="E80" s="237">
        <f t="shared" si="10"/>
        <v>-8088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436</v>
      </c>
      <c r="C81" s="237">
        <v>20806</v>
      </c>
      <c r="D81" s="237">
        <v>14790</v>
      </c>
      <c r="E81" s="237">
        <f t="shared" si="10"/>
        <v>-6016</v>
      </c>
      <c r="F81" s="238">
        <f t="shared" si="11"/>
        <v>-0.28914736133807556</v>
      </c>
    </row>
    <row r="82" spans="1:6" ht="20.25" customHeight="1" x14ac:dyDescent="0.3">
      <c r="A82" s="235">
        <v>4</v>
      </c>
      <c r="B82" s="236" t="s">
        <v>437</v>
      </c>
      <c r="C82" s="237">
        <v>6190</v>
      </c>
      <c r="D82" s="237">
        <v>3981</v>
      </c>
      <c r="E82" s="237">
        <f t="shared" si="10"/>
        <v>-2209</v>
      </c>
      <c r="F82" s="238">
        <f t="shared" si="11"/>
        <v>-0.35686591276252022</v>
      </c>
    </row>
    <row r="83" spans="1:6" ht="20.25" customHeight="1" x14ac:dyDescent="0.3">
      <c r="A83" s="235">
        <v>5</v>
      </c>
      <c r="B83" s="236" t="s">
        <v>373</v>
      </c>
      <c r="C83" s="239">
        <v>1</v>
      </c>
      <c r="D83" s="239">
        <v>0</v>
      </c>
      <c r="E83" s="239">
        <f t="shared" si="10"/>
        <v>-1</v>
      </c>
      <c r="F83" s="238">
        <f t="shared" si="11"/>
        <v>-1</v>
      </c>
    </row>
    <row r="84" spans="1:6" ht="20.25" customHeight="1" x14ac:dyDescent="0.3">
      <c r="A84" s="235">
        <v>6</v>
      </c>
      <c r="B84" s="236" t="s">
        <v>372</v>
      </c>
      <c r="C84" s="239">
        <v>6</v>
      </c>
      <c r="D84" s="239">
        <v>0</v>
      </c>
      <c r="E84" s="239">
        <f t="shared" si="10"/>
        <v>-6</v>
      </c>
      <c r="F84" s="238">
        <f t="shared" si="11"/>
        <v>-1</v>
      </c>
    </row>
    <row r="85" spans="1:6" ht="20.25" customHeight="1" x14ac:dyDescent="0.3">
      <c r="A85" s="235">
        <v>7</v>
      </c>
      <c r="B85" s="236" t="s">
        <v>438</v>
      </c>
      <c r="C85" s="239">
        <v>11</v>
      </c>
      <c r="D85" s="239">
        <v>8</v>
      </c>
      <c r="E85" s="239">
        <f t="shared" si="10"/>
        <v>-3</v>
      </c>
      <c r="F85" s="238">
        <f t="shared" si="11"/>
        <v>-0.27272727272727271</v>
      </c>
    </row>
    <row r="86" spans="1:6" ht="20.25" customHeight="1" x14ac:dyDescent="0.3">
      <c r="A86" s="235">
        <v>8</v>
      </c>
      <c r="B86" s="236" t="s">
        <v>439</v>
      </c>
      <c r="C86" s="239">
        <v>5</v>
      </c>
      <c r="D86" s="239">
        <v>2</v>
      </c>
      <c r="E86" s="239">
        <f t="shared" si="10"/>
        <v>-3</v>
      </c>
      <c r="F86" s="238">
        <f t="shared" si="11"/>
        <v>-0.6</v>
      </c>
    </row>
    <row r="87" spans="1:6" ht="20.25" customHeight="1" x14ac:dyDescent="0.3">
      <c r="A87" s="235">
        <v>9</v>
      </c>
      <c r="B87" s="236" t="s">
        <v>440</v>
      </c>
      <c r="C87" s="239">
        <v>1</v>
      </c>
      <c r="D87" s="239">
        <v>0</v>
      </c>
      <c r="E87" s="239">
        <f t="shared" si="10"/>
        <v>-1</v>
      </c>
      <c r="F87" s="238">
        <f t="shared" si="11"/>
        <v>-1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43043</v>
      </c>
      <c r="D88" s="243">
        <f>+D79+D81</f>
        <v>14790</v>
      </c>
      <c r="E88" s="243">
        <f t="shared" si="10"/>
        <v>-28253</v>
      </c>
      <c r="F88" s="244">
        <f t="shared" si="11"/>
        <v>-0.65639012150640053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14278</v>
      </c>
      <c r="D89" s="243">
        <f>+D80+D82</f>
        <v>3981</v>
      </c>
      <c r="E89" s="243">
        <f t="shared" si="10"/>
        <v>-10297</v>
      </c>
      <c r="F89" s="244">
        <f t="shared" si="11"/>
        <v>-0.72117943689592379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263379</v>
      </c>
      <c r="D92" s="237">
        <v>478060</v>
      </c>
      <c r="E92" s="237">
        <f t="shared" ref="E92:E102" si="12">D92-C92</f>
        <v>214681</v>
      </c>
      <c r="F92" s="238">
        <f t="shared" ref="F92:F102" si="13">IF(C92=0,0,E92/C92)</f>
        <v>0.81510295050098902</v>
      </c>
    </row>
    <row r="93" spans="1:6" ht="20.25" customHeight="1" x14ac:dyDescent="0.3">
      <c r="A93" s="235">
        <v>2</v>
      </c>
      <c r="B93" s="236" t="s">
        <v>435</v>
      </c>
      <c r="C93" s="237">
        <v>95798</v>
      </c>
      <c r="D93" s="237">
        <v>147356</v>
      </c>
      <c r="E93" s="237">
        <f t="shared" si="12"/>
        <v>51558</v>
      </c>
      <c r="F93" s="238">
        <f t="shared" si="13"/>
        <v>0.53819495187790978</v>
      </c>
    </row>
    <row r="94" spans="1:6" ht="20.25" customHeight="1" x14ac:dyDescent="0.3">
      <c r="A94" s="235">
        <v>3</v>
      </c>
      <c r="B94" s="236" t="s">
        <v>436</v>
      </c>
      <c r="C94" s="237">
        <v>323081</v>
      </c>
      <c r="D94" s="237">
        <v>351858</v>
      </c>
      <c r="E94" s="237">
        <f t="shared" si="12"/>
        <v>28777</v>
      </c>
      <c r="F94" s="238">
        <f t="shared" si="13"/>
        <v>8.9070542681247117E-2</v>
      </c>
    </row>
    <row r="95" spans="1:6" ht="20.25" customHeight="1" x14ac:dyDescent="0.3">
      <c r="A95" s="235">
        <v>4</v>
      </c>
      <c r="B95" s="236" t="s">
        <v>437</v>
      </c>
      <c r="C95" s="237">
        <v>96114</v>
      </c>
      <c r="D95" s="237">
        <v>94718</v>
      </c>
      <c r="E95" s="237">
        <f t="shared" si="12"/>
        <v>-1396</v>
      </c>
      <c r="F95" s="238">
        <f t="shared" si="13"/>
        <v>-1.4524418919200116E-2</v>
      </c>
    </row>
    <row r="96" spans="1:6" ht="20.25" customHeight="1" x14ac:dyDescent="0.3">
      <c r="A96" s="235">
        <v>5</v>
      </c>
      <c r="B96" s="236" t="s">
        <v>373</v>
      </c>
      <c r="C96" s="239">
        <v>8</v>
      </c>
      <c r="D96" s="239">
        <v>13</v>
      </c>
      <c r="E96" s="239">
        <f t="shared" si="12"/>
        <v>5</v>
      </c>
      <c r="F96" s="238">
        <f t="shared" si="13"/>
        <v>0.625</v>
      </c>
    </row>
    <row r="97" spans="1:6" ht="20.25" customHeight="1" x14ac:dyDescent="0.3">
      <c r="A97" s="235">
        <v>6</v>
      </c>
      <c r="B97" s="236" t="s">
        <v>372</v>
      </c>
      <c r="C97" s="239">
        <v>37</v>
      </c>
      <c r="D97" s="239">
        <v>71</v>
      </c>
      <c r="E97" s="239">
        <f t="shared" si="12"/>
        <v>34</v>
      </c>
      <c r="F97" s="238">
        <f t="shared" si="13"/>
        <v>0.91891891891891897</v>
      </c>
    </row>
    <row r="98" spans="1:6" ht="20.25" customHeight="1" x14ac:dyDescent="0.3">
      <c r="A98" s="235">
        <v>7</v>
      </c>
      <c r="B98" s="236" t="s">
        <v>438</v>
      </c>
      <c r="C98" s="239">
        <v>796</v>
      </c>
      <c r="D98" s="239">
        <v>754</v>
      </c>
      <c r="E98" s="239">
        <f t="shared" si="12"/>
        <v>-42</v>
      </c>
      <c r="F98" s="238">
        <f t="shared" si="13"/>
        <v>-5.2763819095477386E-2</v>
      </c>
    </row>
    <row r="99" spans="1:6" ht="20.25" customHeight="1" x14ac:dyDescent="0.3">
      <c r="A99" s="235">
        <v>8</v>
      </c>
      <c r="B99" s="236" t="s">
        <v>439</v>
      </c>
      <c r="C99" s="239">
        <v>14</v>
      </c>
      <c r="D99" s="239">
        <v>25</v>
      </c>
      <c r="E99" s="239">
        <f t="shared" si="12"/>
        <v>11</v>
      </c>
      <c r="F99" s="238">
        <f t="shared" si="13"/>
        <v>0.7857142857142857</v>
      </c>
    </row>
    <row r="100" spans="1:6" ht="20.25" customHeight="1" x14ac:dyDescent="0.3">
      <c r="A100" s="235">
        <v>9</v>
      </c>
      <c r="B100" s="236" t="s">
        <v>440</v>
      </c>
      <c r="C100" s="239">
        <v>7</v>
      </c>
      <c r="D100" s="239">
        <v>11</v>
      </c>
      <c r="E100" s="239">
        <f t="shared" si="12"/>
        <v>4</v>
      </c>
      <c r="F100" s="238">
        <f t="shared" si="13"/>
        <v>0.5714285714285714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586460</v>
      </c>
      <c r="D101" s="243">
        <f>+D92+D94</f>
        <v>829918</v>
      </c>
      <c r="E101" s="243">
        <f t="shared" si="12"/>
        <v>243458</v>
      </c>
      <c r="F101" s="244">
        <f t="shared" si="13"/>
        <v>0.41513146676670193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191912</v>
      </c>
      <c r="D102" s="243">
        <f>+D93+D95</f>
        <v>242074</v>
      </c>
      <c r="E102" s="243">
        <f t="shared" si="12"/>
        <v>50162</v>
      </c>
      <c r="F102" s="244">
        <f t="shared" si="13"/>
        <v>0.26138021593230232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7869</v>
      </c>
      <c r="D107" s="237">
        <v>1688</v>
      </c>
      <c r="E107" s="237">
        <f t="shared" si="14"/>
        <v>-6181</v>
      </c>
      <c r="F107" s="238">
        <f t="shared" si="15"/>
        <v>-0.7854873554454187</v>
      </c>
    </row>
    <row r="108" spans="1:6" ht="20.25" customHeight="1" x14ac:dyDescent="0.3">
      <c r="A108" s="235">
        <v>4</v>
      </c>
      <c r="B108" s="236" t="s">
        <v>437</v>
      </c>
      <c r="C108" s="237">
        <v>2341</v>
      </c>
      <c r="D108" s="237">
        <v>454</v>
      </c>
      <c r="E108" s="237">
        <f t="shared" si="14"/>
        <v>-1887</v>
      </c>
      <c r="F108" s="238">
        <f t="shared" si="15"/>
        <v>-0.80606578385305427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2</v>
      </c>
      <c r="D111" s="239">
        <v>0</v>
      </c>
      <c r="E111" s="239">
        <f t="shared" si="14"/>
        <v>-2</v>
      </c>
      <c r="F111" s="238">
        <f t="shared" si="15"/>
        <v>-1</v>
      </c>
    </row>
    <row r="112" spans="1:6" ht="20.25" customHeight="1" x14ac:dyDescent="0.3">
      <c r="A112" s="235">
        <v>8</v>
      </c>
      <c r="B112" s="236" t="s">
        <v>439</v>
      </c>
      <c r="C112" s="239">
        <v>1</v>
      </c>
      <c r="D112" s="239">
        <v>2</v>
      </c>
      <c r="E112" s="239">
        <f t="shared" si="14"/>
        <v>1</v>
      </c>
      <c r="F112" s="238">
        <f t="shared" si="15"/>
        <v>1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7869</v>
      </c>
      <c r="D114" s="243">
        <f>+D105+D107</f>
        <v>1688</v>
      </c>
      <c r="E114" s="243">
        <f t="shared" si="14"/>
        <v>-6181</v>
      </c>
      <c r="F114" s="244">
        <f t="shared" si="15"/>
        <v>-0.7854873554454187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2341</v>
      </c>
      <c r="D115" s="243">
        <f>+D106+D108</f>
        <v>454</v>
      </c>
      <c r="E115" s="243">
        <f t="shared" si="14"/>
        <v>-1887</v>
      </c>
      <c r="F115" s="244">
        <f t="shared" si="15"/>
        <v>-0.80606578385305427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0</v>
      </c>
      <c r="E120" s="237">
        <f t="shared" si="16"/>
        <v>0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0</v>
      </c>
      <c r="E121" s="237">
        <f t="shared" si="16"/>
        <v>0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0</v>
      </c>
      <c r="E124" s="239">
        <f t="shared" si="16"/>
        <v>0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0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0</v>
      </c>
      <c r="E127" s="243">
        <f t="shared" si="16"/>
        <v>0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0</v>
      </c>
      <c r="E128" s="243">
        <f t="shared" si="16"/>
        <v>0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1779387</v>
      </c>
      <c r="D198" s="243">
        <f t="shared" si="28"/>
        <v>2326095</v>
      </c>
      <c r="E198" s="243">
        <f t="shared" ref="E198:E208" si="29">D198-C198</f>
        <v>546708</v>
      </c>
      <c r="F198" s="251">
        <f t="shared" ref="F198:F208" si="30">IF(C198=0,0,E198/C198)</f>
        <v>0.3072451355438699</v>
      </c>
    </row>
    <row r="199" spans="1:9" ht="20.25" customHeight="1" x14ac:dyDescent="0.3">
      <c r="A199" s="249"/>
      <c r="B199" s="250" t="s">
        <v>461</v>
      </c>
      <c r="C199" s="243">
        <f t="shared" si="28"/>
        <v>647213</v>
      </c>
      <c r="D199" s="243">
        <f t="shared" si="28"/>
        <v>716987</v>
      </c>
      <c r="E199" s="243">
        <f t="shared" si="29"/>
        <v>69774</v>
      </c>
      <c r="F199" s="251">
        <f t="shared" si="30"/>
        <v>0.10780685802046622</v>
      </c>
    </row>
    <row r="200" spans="1:9" ht="20.25" customHeight="1" x14ac:dyDescent="0.3">
      <c r="A200" s="249"/>
      <c r="B200" s="250" t="s">
        <v>462</v>
      </c>
      <c r="C200" s="243">
        <f t="shared" si="28"/>
        <v>4046469</v>
      </c>
      <c r="D200" s="243">
        <f t="shared" si="28"/>
        <v>4000176</v>
      </c>
      <c r="E200" s="243">
        <f t="shared" si="29"/>
        <v>-46293</v>
      </c>
      <c r="F200" s="251">
        <f t="shared" si="30"/>
        <v>-1.1440344656044566E-2</v>
      </c>
    </row>
    <row r="201" spans="1:9" ht="20.25" customHeight="1" x14ac:dyDescent="0.3">
      <c r="A201" s="249"/>
      <c r="B201" s="250" t="s">
        <v>463</v>
      </c>
      <c r="C201" s="243">
        <f t="shared" si="28"/>
        <v>1203789</v>
      </c>
      <c r="D201" s="243">
        <f t="shared" si="28"/>
        <v>1076821</v>
      </c>
      <c r="E201" s="243">
        <f t="shared" si="29"/>
        <v>-126968</v>
      </c>
      <c r="F201" s="251">
        <f t="shared" si="30"/>
        <v>-0.10547363366835882</v>
      </c>
    </row>
    <row r="202" spans="1:9" ht="20.25" customHeight="1" x14ac:dyDescent="0.3">
      <c r="A202" s="249"/>
      <c r="B202" s="250" t="s">
        <v>464</v>
      </c>
      <c r="C202" s="252">
        <f t="shared" si="28"/>
        <v>64</v>
      </c>
      <c r="D202" s="252">
        <f t="shared" si="28"/>
        <v>69</v>
      </c>
      <c r="E202" s="252">
        <f t="shared" si="29"/>
        <v>5</v>
      </c>
      <c r="F202" s="251">
        <f t="shared" si="30"/>
        <v>7.8125E-2</v>
      </c>
    </row>
    <row r="203" spans="1:9" ht="20.25" customHeight="1" x14ac:dyDescent="0.3">
      <c r="A203" s="249"/>
      <c r="B203" s="250" t="s">
        <v>465</v>
      </c>
      <c r="C203" s="252">
        <f t="shared" si="28"/>
        <v>233</v>
      </c>
      <c r="D203" s="252">
        <f t="shared" si="28"/>
        <v>295</v>
      </c>
      <c r="E203" s="252">
        <f t="shared" si="29"/>
        <v>62</v>
      </c>
      <c r="F203" s="251">
        <f t="shared" si="30"/>
        <v>0.26609442060085836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2431</v>
      </c>
      <c r="D204" s="252">
        <f t="shared" si="28"/>
        <v>2663</v>
      </c>
      <c r="E204" s="252">
        <f t="shared" si="29"/>
        <v>232</v>
      </c>
      <c r="F204" s="251">
        <f t="shared" si="30"/>
        <v>9.5433977786918964E-2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132</v>
      </c>
      <c r="D205" s="252">
        <f t="shared" si="28"/>
        <v>186</v>
      </c>
      <c r="E205" s="252">
        <f t="shared" si="29"/>
        <v>54</v>
      </c>
      <c r="F205" s="251">
        <f t="shared" si="30"/>
        <v>0.40909090909090912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46</v>
      </c>
      <c r="D206" s="252">
        <f t="shared" si="28"/>
        <v>53</v>
      </c>
      <c r="E206" s="252">
        <f t="shared" si="29"/>
        <v>7</v>
      </c>
      <c r="F206" s="251">
        <f t="shared" si="30"/>
        <v>0.15217391304347827</v>
      </c>
    </row>
    <row r="207" spans="1:9" ht="20.25" customHeight="1" x14ac:dyDescent="0.3">
      <c r="A207" s="249"/>
      <c r="B207" s="242" t="s">
        <v>469</v>
      </c>
      <c r="C207" s="243">
        <f>+C198+C200</f>
        <v>5825856</v>
      </c>
      <c r="D207" s="243">
        <f>+D198+D200</f>
        <v>6326271</v>
      </c>
      <c r="E207" s="243">
        <f t="shared" si="29"/>
        <v>500415</v>
      </c>
      <c r="F207" s="251">
        <f t="shared" si="30"/>
        <v>8.5895531918399631E-2</v>
      </c>
    </row>
    <row r="208" spans="1:9" ht="20.25" customHeight="1" x14ac:dyDescent="0.3">
      <c r="A208" s="249"/>
      <c r="B208" s="242" t="s">
        <v>470</v>
      </c>
      <c r="C208" s="243">
        <f>+C199+C201</f>
        <v>1851002</v>
      </c>
      <c r="D208" s="243">
        <f>+D199+D201</f>
        <v>1793808</v>
      </c>
      <c r="E208" s="243">
        <f t="shared" si="29"/>
        <v>-57194</v>
      </c>
      <c r="F208" s="251">
        <f t="shared" si="30"/>
        <v>-3.0898940141609786E-2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FILING&amp;RNEW 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A3" sqref="A3:F3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253902</v>
      </c>
      <c r="D14" s="237">
        <v>0</v>
      </c>
      <c r="E14" s="237">
        <f t="shared" ref="E14:E24" si="0">D14-C14</f>
        <v>-253902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95154</v>
      </c>
      <c r="D15" s="237">
        <v>0</v>
      </c>
      <c r="E15" s="237">
        <f t="shared" si="0"/>
        <v>-95154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580992</v>
      </c>
      <c r="D16" s="237">
        <v>0</v>
      </c>
      <c r="E16" s="237">
        <f t="shared" si="0"/>
        <v>-580992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185668</v>
      </c>
      <c r="D17" s="237">
        <v>0</v>
      </c>
      <c r="E17" s="237">
        <f t="shared" si="0"/>
        <v>-185668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38</v>
      </c>
      <c r="D18" s="239">
        <v>0</v>
      </c>
      <c r="E18" s="239">
        <f t="shared" si="0"/>
        <v>-38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74</v>
      </c>
      <c r="D19" s="239">
        <v>0</v>
      </c>
      <c r="E19" s="239">
        <f t="shared" si="0"/>
        <v>-74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383</v>
      </c>
      <c r="D20" s="239">
        <v>0</v>
      </c>
      <c r="E20" s="239">
        <f t="shared" si="0"/>
        <v>-383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235</v>
      </c>
      <c r="D21" s="239">
        <v>0</v>
      </c>
      <c r="E21" s="239">
        <f t="shared" si="0"/>
        <v>-235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7</v>
      </c>
      <c r="D22" s="239">
        <v>0</v>
      </c>
      <c r="E22" s="239">
        <f t="shared" si="0"/>
        <v>-7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834894</v>
      </c>
      <c r="D23" s="243">
        <f>+D14+D16</f>
        <v>0</v>
      </c>
      <c r="E23" s="243">
        <f t="shared" si="0"/>
        <v>-834894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280822</v>
      </c>
      <c r="D24" s="243">
        <f>+D15+D17</f>
        <v>0</v>
      </c>
      <c r="E24" s="243">
        <f t="shared" si="0"/>
        <v>-280822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517648</v>
      </c>
      <c r="D26" s="237">
        <v>1018284</v>
      </c>
      <c r="E26" s="237">
        <f t="shared" ref="E26:E36" si="2">D26-C26</f>
        <v>500636</v>
      </c>
      <c r="F26" s="238">
        <f t="shared" ref="F26:F36" si="3">IF(C26=0,0,E26/C26)</f>
        <v>0.96713596884369302</v>
      </c>
    </row>
    <row r="27" spans="1:6" ht="20.25" customHeight="1" x14ac:dyDescent="0.3">
      <c r="A27" s="235">
        <v>2</v>
      </c>
      <c r="B27" s="236" t="s">
        <v>435</v>
      </c>
      <c r="C27" s="237">
        <v>193998</v>
      </c>
      <c r="D27" s="237">
        <v>418871</v>
      </c>
      <c r="E27" s="237">
        <f t="shared" si="2"/>
        <v>224873</v>
      </c>
      <c r="F27" s="238">
        <f t="shared" si="3"/>
        <v>1.1591511252693327</v>
      </c>
    </row>
    <row r="28" spans="1:6" ht="20.25" customHeight="1" x14ac:dyDescent="0.3">
      <c r="A28" s="235">
        <v>3</v>
      </c>
      <c r="B28" s="236" t="s">
        <v>436</v>
      </c>
      <c r="C28" s="237">
        <v>1595693</v>
      </c>
      <c r="D28" s="237">
        <v>3392031</v>
      </c>
      <c r="E28" s="237">
        <f t="shared" si="2"/>
        <v>1796338</v>
      </c>
      <c r="F28" s="238">
        <f t="shared" si="3"/>
        <v>1.1257416056848029</v>
      </c>
    </row>
    <row r="29" spans="1:6" ht="20.25" customHeight="1" x14ac:dyDescent="0.3">
      <c r="A29" s="235">
        <v>4</v>
      </c>
      <c r="B29" s="236" t="s">
        <v>437</v>
      </c>
      <c r="C29" s="237">
        <v>509936</v>
      </c>
      <c r="D29" s="237">
        <v>977632</v>
      </c>
      <c r="E29" s="237">
        <f t="shared" si="2"/>
        <v>467696</v>
      </c>
      <c r="F29" s="238">
        <f t="shared" si="3"/>
        <v>0.91716607574283837</v>
      </c>
    </row>
    <row r="30" spans="1:6" ht="20.25" customHeight="1" x14ac:dyDescent="0.3">
      <c r="A30" s="235">
        <v>5</v>
      </c>
      <c r="B30" s="236" t="s">
        <v>373</v>
      </c>
      <c r="C30" s="239">
        <v>65</v>
      </c>
      <c r="D30" s="239">
        <v>96</v>
      </c>
      <c r="E30" s="239">
        <f t="shared" si="2"/>
        <v>31</v>
      </c>
      <c r="F30" s="238">
        <f t="shared" si="3"/>
        <v>0.47692307692307695</v>
      </c>
    </row>
    <row r="31" spans="1:6" ht="20.25" customHeight="1" x14ac:dyDescent="0.3">
      <c r="A31" s="235">
        <v>6</v>
      </c>
      <c r="B31" s="236" t="s">
        <v>372</v>
      </c>
      <c r="C31" s="239">
        <v>168</v>
      </c>
      <c r="D31" s="239">
        <v>248</v>
      </c>
      <c r="E31" s="239">
        <f t="shared" si="2"/>
        <v>80</v>
      </c>
      <c r="F31" s="238">
        <f t="shared" si="3"/>
        <v>0.47619047619047616</v>
      </c>
    </row>
    <row r="32" spans="1:6" ht="20.25" customHeight="1" x14ac:dyDescent="0.3">
      <c r="A32" s="235">
        <v>7</v>
      </c>
      <c r="B32" s="236" t="s">
        <v>438</v>
      </c>
      <c r="C32" s="239">
        <v>1183</v>
      </c>
      <c r="D32" s="239">
        <v>2178</v>
      </c>
      <c r="E32" s="239">
        <f t="shared" si="2"/>
        <v>995</v>
      </c>
      <c r="F32" s="238">
        <f t="shared" si="3"/>
        <v>0.84108199492814872</v>
      </c>
    </row>
    <row r="33" spans="1:6" ht="20.25" customHeight="1" x14ac:dyDescent="0.3">
      <c r="A33" s="235">
        <v>8</v>
      </c>
      <c r="B33" s="236" t="s">
        <v>439</v>
      </c>
      <c r="C33" s="239">
        <v>854</v>
      </c>
      <c r="D33" s="239">
        <v>1165</v>
      </c>
      <c r="E33" s="239">
        <f t="shared" si="2"/>
        <v>311</v>
      </c>
      <c r="F33" s="238">
        <f t="shared" si="3"/>
        <v>0.36416861826697894</v>
      </c>
    </row>
    <row r="34" spans="1:6" ht="20.25" customHeight="1" x14ac:dyDescent="0.3">
      <c r="A34" s="235">
        <v>9</v>
      </c>
      <c r="B34" s="236" t="s">
        <v>440</v>
      </c>
      <c r="C34" s="239">
        <v>9</v>
      </c>
      <c r="D34" s="239">
        <v>17</v>
      </c>
      <c r="E34" s="239">
        <f t="shared" si="2"/>
        <v>8</v>
      </c>
      <c r="F34" s="238">
        <f t="shared" si="3"/>
        <v>0.88888888888888884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2113341</v>
      </c>
      <c r="D35" s="243">
        <f>+D26+D28</f>
        <v>4410315</v>
      </c>
      <c r="E35" s="243">
        <f t="shared" si="2"/>
        <v>2296974</v>
      </c>
      <c r="F35" s="244">
        <f t="shared" si="3"/>
        <v>1.0868922715264597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703934</v>
      </c>
      <c r="D36" s="243">
        <f>+D27+D29</f>
        <v>1396503</v>
      </c>
      <c r="E36" s="243">
        <f t="shared" si="2"/>
        <v>692569</v>
      </c>
      <c r="F36" s="244">
        <f t="shared" si="3"/>
        <v>0.98385502049908091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109185</v>
      </c>
      <c r="D86" s="237">
        <v>87746</v>
      </c>
      <c r="E86" s="237">
        <f t="shared" ref="E86:E96" si="12">D86-C86</f>
        <v>-21439</v>
      </c>
      <c r="F86" s="238">
        <f t="shared" ref="F86:F96" si="13">IF(C86=0,0,E86/C86)</f>
        <v>-0.19635481064248753</v>
      </c>
    </row>
    <row r="87" spans="1:6" ht="20.25" customHeight="1" x14ac:dyDescent="0.3">
      <c r="A87" s="235">
        <v>2</v>
      </c>
      <c r="B87" s="236" t="s">
        <v>435</v>
      </c>
      <c r="C87" s="237">
        <v>40919</v>
      </c>
      <c r="D87" s="237">
        <v>36094</v>
      </c>
      <c r="E87" s="237">
        <f t="shared" si="12"/>
        <v>-4825</v>
      </c>
      <c r="F87" s="238">
        <f t="shared" si="13"/>
        <v>-0.11791588259732642</v>
      </c>
    </row>
    <row r="88" spans="1:6" ht="20.25" customHeight="1" x14ac:dyDescent="0.3">
      <c r="A88" s="235">
        <v>3</v>
      </c>
      <c r="B88" s="236" t="s">
        <v>436</v>
      </c>
      <c r="C88" s="237">
        <v>226702</v>
      </c>
      <c r="D88" s="237">
        <v>319351</v>
      </c>
      <c r="E88" s="237">
        <f t="shared" si="12"/>
        <v>92649</v>
      </c>
      <c r="F88" s="238">
        <f t="shared" si="13"/>
        <v>0.40868188194193256</v>
      </c>
    </row>
    <row r="89" spans="1:6" ht="20.25" customHeight="1" x14ac:dyDescent="0.3">
      <c r="A89" s="235">
        <v>4</v>
      </c>
      <c r="B89" s="236" t="s">
        <v>437</v>
      </c>
      <c r="C89" s="237">
        <v>72447</v>
      </c>
      <c r="D89" s="237">
        <v>92042</v>
      </c>
      <c r="E89" s="237">
        <f t="shared" si="12"/>
        <v>19595</v>
      </c>
      <c r="F89" s="238">
        <f t="shared" si="13"/>
        <v>0.27047358758816792</v>
      </c>
    </row>
    <row r="90" spans="1:6" ht="20.25" customHeight="1" x14ac:dyDescent="0.3">
      <c r="A90" s="235">
        <v>5</v>
      </c>
      <c r="B90" s="236" t="s">
        <v>373</v>
      </c>
      <c r="C90" s="239">
        <v>9</v>
      </c>
      <c r="D90" s="239">
        <v>13</v>
      </c>
      <c r="E90" s="239">
        <f t="shared" si="12"/>
        <v>4</v>
      </c>
      <c r="F90" s="238">
        <f t="shared" si="13"/>
        <v>0.44444444444444442</v>
      </c>
    </row>
    <row r="91" spans="1:6" ht="20.25" customHeight="1" x14ac:dyDescent="0.3">
      <c r="A91" s="235">
        <v>6</v>
      </c>
      <c r="B91" s="236" t="s">
        <v>372</v>
      </c>
      <c r="C91" s="239">
        <v>28</v>
      </c>
      <c r="D91" s="239">
        <v>35</v>
      </c>
      <c r="E91" s="239">
        <f t="shared" si="12"/>
        <v>7</v>
      </c>
      <c r="F91" s="238">
        <f t="shared" si="13"/>
        <v>0.25</v>
      </c>
    </row>
    <row r="92" spans="1:6" ht="20.25" customHeight="1" x14ac:dyDescent="0.3">
      <c r="A92" s="235">
        <v>7</v>
      </c>
      <c r="B92" s="236" t="s">
        <v>438</v>
      </c>
      <c r="C92" s="239">
        <v>124</v>
      </c>
      <c r="D92" s="239">
        <v>246</v>
      </c>
      <c r="E92" s="239">
        <f t="shared" si="12"/>
        <v>122</v>
      </c>
      <c r="F92" s="238">
        <f t="shared" si="13"/>
        <v>0.9838709677419355</v>
      </c>
    </row>
    <row r="93" spans="1:6" ht="20.25" customHeight="1" x14ac:dyDescent="0.3">
      <c r="A93" s="235">
        <v>8</v>
      </c>
      <c r="B93" s="236" t="s">
        <v>439</v>
      </c>
      <c r="C93" s="239">
        <v>90</v>
      </c>
      <c r="D93" s="239">
        <v>142</v>
      </c>
      <c r="E93" s="239">
        <f t="shared" si="12"/>
        <v>52</v>
      </c>
      <c r="F93" s="238">
        <f t="shared" si="13"/>
        <v>0.57777777777777772</v>
      </c>
    </row>
    <row r="94" spans="1:6" ht="20.25" customHeight="1" x14ac:dyDescent="0.3">
      <c r="A94" s="235">
        <v>9</v>
      </c>
      <c r="B94" s="236" t="s">
        <v>440</v>
      </c>
      <c r="C94" s="239">
        <v>2</v>
      </c>
      <c r="D94" s="239">
        <v>0</v>
      </c>
      <c r="E94" s="239">
        <f t="shared" si="12"/>
        <v>-2</v>
      </c>
      <c r="F94" s="238">
        <f t="shared" si="13"/>
        <v>-1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335887</v>
      </c>
      <c r="D95" s="243">
        <f>+D86+D88</f>
        <v>407097</v>
      </c>
      <c r="E95" s="243">
        <f t="shared" si="12"/>
        <v>71210</v>
      </c>
      <c r="F95" s="244">
        <f t="shared" si="13"/>
        <v>0.21200582338703194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113366</v>
      </c>
      <c r="D96" s="243">
        <f>+D87+D89</f>
        <v>128136</v>
      </c>
      <c r="E96" s="243">
        <f t="shared" si="12"/>
        <v>14770</v>
      </c>
      <c r="F96" s="244">
        <f t="shared" si="13"/>
        <v>0.13028597639503908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301951</v>
      </c>
      <c r="D98" s="237">
        <v>428340</v>
      </c>
      <c r="E98" s="237">
        <f t="shared" ref="E98:E108" si="14">D98-C98</f>
        <v>126389</v>
      </c>
      <c r="F98" s="238">
        <f t="shared" ref="F98:F108" si="15">IF(C98=0,0,E98/C98)</f>
        <v>0.41857453692817709</v>
      </c>
    </row>
    <row r="99" spans="1:7" ht="20.25" customHeight="1" x14ac:dyDescent="0.3">
      <c r="A99" s="235">
        <v>2</v>
      </c>
      <c r="B99" s="236" t="s">
        <v>435</v>
      </c>
      <c r="C99" s="237">
        <v>113161</v>
      </c>
      <c r="D99" s="237">
        <v>176198</v>
      </c>
      <c r="E99" s="237">
        <f t="shared" si="14"/>
        <v>63037</v>
      </c>
      <c r="F99" s="238">
        <f t="shared" si="15"/>
        <v>0.55705587614107333</v>
      </c>
    </row>
    <row r="100" spans="1:7" ht="20.25" customHeight="1" x14ac:dyDescent="0.3">
      <c r="A100" s="235">
        <v>3</v>
      </c>
      <c r="B100" s="236" t="s">
        <v>436</v>
      </c>
      <c r="C100" s="237">
        <v>764048</v>
      </c>
      <c r="D100" s="237">
        <v>2303603</v>
      </c>
      <c r="E100" s="237">
        <f t="shared" si="14"/>
        <v>1539555</v>
      </c>
      <c r="F100" s="238">
        <f t="shared" si="15"/>
        <v>2.0149977488325339</v>
      </c>
    </row>
    <row r="101" spans="1:7" ht="20.25" customHeight="1" x14ac:dyDescent="0.3">
      <c r="A101" s="235">
        <v>4</v>
      </c>
      <c r="B101" s="236" t="s">
        <v>437</v>
      </c>
      <c r="C101" s="237">
        <v>244167</v>
      </c>
      <c r="D101" s="237">
        <v>663931</v>
      </c>
      <c r="E101" s="237">
        <f t="shared" si="14"/>
        <v>419764</v>
      </c>
      <c r="F101" s="238">
        <f t="shared" si="15"/>
        <v>1.7191676188837968</v>
      </c>
    </row>
    <row r="102" spans="1:7" ht="20.25" customHeight="1" x14ac:dyDescent="0.3">
      <c r="A102" s="235">
        <v>5</v>
      </c>
      <c r="B102" s="236" t="s">
        <v>373</v>
      </c>
      <c r="C102" s="239">
        <v>24</v>
      </c>
      <c r="D102" s="239">
        <v>42</v>
      </c>
      <c r="E102" s="239">
        <f t="shared" si="14"/>
        <v>18</v>
      </c>
      <c r="F102" s="238">
        <f t="shared" si="15"/>
        <v>0.75</v>
      </c>
    </row>
    <row r="103" spans="1:7" ht="20.25" customHeight="1" x14ac:dyDescent="0.3">
      <c r="A103" s="235">
        <v>6</v>
      </c>
      <c r="B103" s="236" t="s">
        <v>372</v>
      </c>
      <c r="C103" s="239">
        <v>50</v>
      </c>
      <c r="D103" s="239">
        <v>139</v>
      </c>
      <c r="E103" s="239">
        <f t="shared" si="14"/>
        <v>89</v>
      </c>
      <c r="F103" s="238">
        <f t="shared" si="15"/>
        <v>1.78</v>
      </c>
    </row>
    <row r="104" spans="1:7" ht="20.25" customHeight="1" x14ac:dyDescent="0.3">
      <c r="A104" s="235">
        <v>7</v>
      </c>
      <c r="B104" s="236" t="s">
        <v>438</v>
      </c>
      <c r="C104" s="239">
        <v>578</v>
      </c>
      <c r="D104" s="239">
        <v>1271</v>
      </c>
      <c r="E104" s="239">
        <f t="shared" si="14"/>
        <v>693</v>
      </c>
      <c r="F104" s="238">
        <f t="shared" si="15"/>
        <v>1.198961937716263</v>
      </c>
    </row>
    <row r="105" spans="1:7" ht="20.25" customHeight="1" x14ac:dyDescent="0.3">
      <c r="A105" s="235">
        <v>8</v>
      </c>
      <c r="B105" s="236" t="s">
        <v>439</v>
      </c>
      <c r="C105" s="239">
        <v>337</v>
      </c>
      <c r="D105" s="239">
        <v>580</v>
      </c>
      <c r="E105" s="239">
        <f t="shared" si="14"/>
        <v>243</v>
      </c>
      <c r="F105" s="238">
        <f t="shared" si="15"/>
        <v>0.72106824925816027</v>
      </c>
    </row>
    <row r="106" spans="1:7" ht="20.25" customHeight="1" x14ac:dyDescent="0.3">
      <c r="A106" s="235">
        <v>9</v>
      </c>
      <c r="B106" s="236" t="s">
        <v>440</v>
      </c>
      <c r="C106" s="239">
        <v>2</v>
      </c>
      <c r="D106" s="239">
        <v>3</v>
      </c>
      <c r="E106" s="239">
        <f t="shared" si="14"/>
        <v>1</v>
      </c>
      <c r="F106" s="238">
        <f t="shared" si="15"/>
        <v>0.5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1065999</v>
      </c>
      <c r="D107" s="243">
        <f>+D98+D100</f>
        <v>2731943</v>
      </c>
      <c r="E107" s="243">
        <f t="shared" si="14"/>
        <v>1665944</v>
      </c>
      <c r="F107" s="244">
        <f t="shared" si="15"/>
        <v>1.562800715572904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357328</v>
      </c>
      <c r="D108" s="243">
        <f>+D99+D101</f>
        <v>840129</v>
      </c>
      <c r="E108" s="243">
        <f t="shared" si="14"/>
        <v>482801</v>
      </c>
      <c r="F108" s="244">
        <f t="shared" si="15"/>
        <v>1.3511423677965342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1182686</v>
      </c>
      <c r="D112" s="243">
        <f t="shared" si="16"/>
        <v>1534370</v>
      </c>
      <c r="E112" s="243">
        <f t="shared" ref="E112:E122" si="17">D112-C112</f>
        <v>351684</v>
      </c>
      <c r="F112" s="244">
        <f t="shared" ref="F112:F122" si="18">IF(C112=0,0,E112/C112)</f>
        <v>0.29736041519050704</v>
      </c>
    </row>
    <row r="113" spans="1:6" ht="20.25" customHeight="1" x14ac:dyDescent="0.3">
      <c r="A113" s="249"/>
      <c r="B113" s="250" t="s">
        <v>461</v>
      </c>
      <c r="C113" s="243">
        <f t="shared" si="16"/>
        <v>443232</v>
      </c>
      <c r="D113" s="243">
        <f t="shared" si="16"/>
        <v>631163</v>
      </c>
      <c r="E113" s="243">
        <f t="shared" si="17"/>
        <v>187931</v>
      </c>
      <c r="F113" s="244">
        <f t="shared" si="18"/>
        <v>0.42400142588982748</v>
      </c>
    </row>
    <row r="114" spans="1:6" ht="20.25" customHeight="1" x14ac:dyDescent="0.3">
      <c r="A114" s="249"/>
      <c r="B114" s="250" t="s">
        <v>462</v>
      </c>
      <c r="C114" s="243">
        <f t="shared" si="16"/>
        <v>3167435</v>
      </c>
      <c r="D114" s="243">
        <f t="shared" si="16"/>
        <v>6014985</v>
      </c>
      <c r="E114" s="243">
        <f t="shared" si="17"/>
        <v>2847550</v>
      </c>
      <c r="F114" s="244">
        <f t="shared" si="18"/>
        <v>0.89900818801332938</v>
      </c>
    </row>
    <row r="115" spans="1:6" ht="20.25" customHeight="1" x14ac:dyDescent="0.3">
      <c r="A115" s="249"/>
      <c r="B115" s="250" t="s">
        <v>463</v>
      </c>
      <c r="C115" s="243">
        <f t="shared" si="16"/>
        <v>1012218</v>
      </c>
      <c r="D115" s="243">
        <f t="shared" si="16"/>
        <v>1733605</v>
      </c>
      <c r="E115" s="243">
        <f t="shared" si="17"/>
        <v>721387</v>
      </c>
      <c r="F115" s="244">
        <f t="shared" si="18"/>
        <v>0.71267948208785059</v>
      </c>
    </row>
    <row r="116" spans="1:6" ht="20.25" customHeight="1" x14ac:dyDescent="0.3">
      <c r="A116" s="249"/>
      <c r="B116" s="250" t="s">
        <v>464</v>
      </c>
      <c r="C116" s="252">
        <f t="shared" si="16"/>
        <v>136</v>
      </c>
      <c r="D116" s="252">
        <f t="shared" si="16"/>
        <v>151</v>
      </c>
      <c r="E116" s="252">
        <f t="shared" si="17"/>
        <v>15</v>
      </c>
      <c r="F116" s="244">
        <f t="shared" si="18"/>
        <v>0.11029411764705882</v>
      </c>
    </row>
    <row r="117" spans="1:6" ht="20.25" customHeight="1" x14ac:dyDescent="0.3">
      <c r="A117" s="249"/>
      <c r="B117" s="250" t="s">
        <v>465</v>
      </c>
      <c r="C117" s="252">
        <f t="shared" si="16"/>
        <v>320</v>
      </c>
      <c r="D117" s="252">
        <f t="shared" si="16"/>
        <v>422</v>
      </c>
      <c r="E117" s="252">
        <f t="shared" si="17"/>
        <v>102</v>
      </c>
      <c r="F117" s="244">
        <f t="shared" si="18"/>
        <v>0.31874999999999998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2268</v>
      </c>
      <c r="D118" s="252">
        <f t="shared" si="16"/>
        <v>3695</v>
      </c>
      <c r="E118" s="252">
        <f t="shared" si="17"/>
        <v>1427</v>
      </c>
      <c r="F118" s="244">
        <f t="shared" si="18"/>
        <v>0.62918871252204589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1516</v>
      </c>
      <c r="D119" s="252">
        <f t="shared" si="16"/>
        <v>1887</v>
      </c>
      <c r="E119" s="252">
        <f t="shared" si="17"/>
        <v>371</v>
      </c>
      <c r="F119" s="244">
        <f t="shared" si="18"/>
        <v>0.24472295514511874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20</v>
      </c>
      <c r="D120" s="252">
        <f t="shared" si="16"/>
        <v>20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441</v>
      </c>
      <c r="C121" s="243">
        <f>+C112+C114</f>
        <v>4350121</v>
      </c>
      <c r="D121" s="243">
        <f>+D112+D114</f>
        <v>7549355</v>
      </c>
      <c r="E121" s="243">
        <f t="shared" si="17"/>
        <v>3199234</v>
      </c>
      <c r="F121" s="244">
        <f t="shared" si="18"/>
        <v>0.73543563500877329</v>
      </c>
    </row>
    <row r="122" spans="1:6" ht="39.950000000000003" customHeight="1" x14ac:dyDescent="0.3">
      <c r="A122" s="249"/>
      <c r="B122" s="242" t="s">
        <v>470</v>
      </c>
      <c r="C122" s="243">
        <f>+C113+C115</f>
        <v>1455450</v>
      </c>
      <c r="D122" s="243">
        <f>+D113+D115</f>
        <v>2364768</v>
      </c>
      <c r="E122" s="243">
        <f t="shared" si="17"/>
        <v>909318</v>
      </c>
      <c r="F122" s="244">
        <f t="shared" si="18"/>
        <v>0.62476759765021128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FILING&amp;RNEW MILFORD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A3" sqref="A3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41061454</v>
      </c>
      <c r="E13" s="23">
        <f t="shared" ref="E13:E22" si="0">D13-C13</f>
        <v>41061454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0</v>
      </c>
      <c r="D15" s="23">
        <v>66087968</v>
      </c>
      <c r="E15" s="23">
        <f t="shared" si="0"/>
        <v>66087968</v>
      </c>
      <c r="F15" s="24">
        <f t="shared" si="1"/>
        <v>0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3802296</v>
      </c>
      <c r="E16" s="23">
        <f t="shared" si="0"/>
        <v>3802296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15058487</v>
      </c>
      <c r="E17" s="23">
        <f t="shared" si="0"/>
        <v>15058487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0</v>
      </c>
      <c r="D19" s="23">
        <v>10647373</v>
      </c>
      <c r="E19" s="23">
        <f t="shared" si="0"/>
        <v>10647373</v>
      </c>
      <c r="F19" s="24">
        <f t="shared" si="1"/>
        <v>0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11701548</v>
      </c>
      <c r="E20" s="23">
        <f t="shared" si="0"/>
        <v>11701548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1143377</v>
      </c>
      <c r="E21" s="23">
        <f t="shared" si="0"/>
        <v>1143377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0</v>
      </c>
      <c r="D22" s="27">
        <f>SUM(D13:D21)</f>
        <v>149502503</v>
      </c>
      <c r="E22" s="27">
        <f t="shared" si="0"/>
        <v>149502503</v>
      </c>
      <c r="F22" s="28">
        <f t="shared" si="1"/>
        <v>0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6901020</v>
      </c>
      <c r="E25" s="23">
        <f>D25-C25</f>
        <v>6901020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68042366</v>
      </c>
      <c r="E28" s="23">
        <f>D28-C28</f>
        <v>68042366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0</v>
      </c>
      <c r="D29" s="27">
        <f>SUM(D25:D28)</f>
        <v>74943386</v>
      </c>
      <c r="E29" s="27">
        <f>D29-C29</f>
        <v>74943386</v>
      </c>
      <c r="F29" s="28">
        <f>IF(C29=0,0,E29/C29)</f>
        <v>0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234672059</v>
      </c>
      <c r="E32" s="23">
        <f>D32-C32</f>
        <v>234672059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0</v>
      </c>
      <c r="D33" s="23">
        <v>15258295</v>
      </c>
      <c r="E33" s="23">
        <f>D33-C33</f>
        <v>15258295</v>
      </c>
      <c r="F33" s="24">
        <f>IF(C33=0,0,E33/C33)</f>
        <v>0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0</v>
      </c>
      <c r="D36" s="23">
        <v>555435509</v>
      </c>
      <c r="E36" s="23">
        <f>D36-C36</f>
        <v>555435509</v>
      </c>
      <c r="F36" s="24">
        <f>IF(C36=0,0,E36/C36)</f>
        <v>0</v>
      </c>
    </row>
    <row r="37" spans="1:8" ht="24" customHeight="1" x14ac:dyDescent="0.2">
      <c r="A37" s="21">
        <v>2</v>
      </c>
      <c r="B37" s="22" t="s">
        <v>39</v>
      </c>
      <c r="C37" s="23">
        <v>0</v>
      </c>
      <c r="D37" s="23">
        <v>352143546</v>
      </c>
      <c r="E37" s="23">
        <f>D37-C37</f>
        <v>352143546</v>
      </c>
      <c r="F37" s="23">
        <f>IF(C37=0,0,E37/C37)</f>
        <v>0</v>
      </c>
    </row>
    <row r="38" spans="1:8" ht="24" customHeight="1" x14ac:dyDescent="0.25">
      <c r="A38" s="25"/>
      <c r="B38" s="26" t="s">
        <v>40</v>
      </c>
      <c r="C38" s="27">
        <f>C36-C37</f>
        <v>0</v>
      </c>
      <c r="D38" s="27">
        <f>D36-D37</f>
        <v>203291963</v>
      </c>
      <c r="E38" s="27">
        <f>D38-C38</f>
        <v>203291963</v>
      </c>
      <c r="F38" s="28">
        <f>IF(C38=0,0,E38/C38)</f>
        <v>0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21879446</v>
      </c>
      <c r="E40" s="23">
        <f>D40-C40</f>
        <v>21879446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0</v>
      </c>
      <c r="D41" s="27">
        <f>+D38+D40</f>
        <v>225171409</v>
      </c>
      <c r="E41" s="27">
        <f>D41-C41</f>
        <v>225171409</v>
      </c>
      <c r="F41" s="28">
        <f>IF(C41=0,0,E41/C41)</f>
        <v>0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0</v>
      </c>
      <c r="D43" s="27">
        <f>D22+D29+D31+D32+D33+D41</f>
        <v>699547652</v>
      </c>
      <c r="E43" s="27">
        <f>D43-C43</f>
        <v>699547652</v>
      </c>
      <c r="F43" s="28">
        <f>IF(C43=0,0,E43/C43)</f>
        <v>0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0</v>
      </c>
      <c r="D49" s="23">
        <v>37457932</v>
      </c>
      <c r="E49" s="23">
        <f t="shared" ref="E49:E56" si="2">D49-C49</f>
        <v>37457932</v>
      </c>
      <c r="F49" s="24">
        <f t="shared" ref="F49:F56" si="3">IF(C49=0,0,E49/C49)</f>
        <v>0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16877046</v>
      </c>
      <c r="E50" s="23">
        <f t="shared" si="2"/>
        <v>16877046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14882325</v>
      </c>
      <c r="E51" s="23">
        <f t="shared" si="2"/>
        <v>14882325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6455637</v>
      </c>
      <c r="E53" s="23">
        <f t="shared" si="2"/>
        <v>6455637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31870000</v>
      </c>
      <c r="E55" s="23">
        <f t="shared" si="2"/>
        <v>31870000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0</v>
      </c>
      <c r="D56" s="27">
        <f>SUM(D49:D55)</f>
        <v>107542940</v>
      </c>
      <c r="E56" s="27">
        <f t="shared" si="2"/>
        <v>107542940</v>
      </c>
      <c r="F56" s="28">
        <f t="shared" si="3"/>
        <v>0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92471763</v>
      </c>
      <c r="E60" s="23">
        <f>D60-C60</f>
        <v>92471763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0</v>
      </c>
      <c r="D61" s="27">
        <f>SUM(D59:D60)</f>
        <v>92471763</v>
      </c>
      <c r="E61" s="27">
        <f>D61-C61</f>
        <v>92471763</v>
      </c>
      <c r="F61" s="28">
        <f>IF(C61=0,0,E61/C61)</f>
        <v>0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187819681</v>
      </c>
      <c r="E64" s="23">
        <f>D64-C64</f>
        <v>187819681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0</v>
      </c>
      <c r="D65" s="27">
        <f>SUM(D61:D64)</f>
        <v>280291444</v>
      </c>
      <c r="E65" s="27">
        <f>D65-C65</f>
        <v>280291444</v>
      </c>
      <c r="F65" s="28">
        <f>IF(C65=0,0,E65/C65)</f>
        <v>0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0</v>
      </c>
      <c r="D70" s="23">
        <v>246220345</v>
      </c>
      <c r="E70" s="23">
        <f>D70-C70</f>
        <v>246220345</v>
      </c>
      <c r="F70" s="24">
        <f>IF(C70=0,0,E70/C70)</f>
        <v>0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33595748</v>
      </c>
      <c r="E71" s="23">
        <f>D71-C71</f>
        <v>33595748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31897175</v>
      </c>
      <c r="E72" s="23">
        <f>D72-C72</f>
        <v>31897175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0</v>
      </c>
      <c r="D73" s="27">
        <f>SUM(D70:D72)</f>
        <v>311713268</v>
      </c>
      <c r="E73" s="27">
        <f>D73-C73</f>
        <v>311713268</v>
      </c>
      <c r="F73" s="28">
        <f>IF(C73=0,0,E73/C73)</f>
        <v>0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0</v>
      </c>
      <c r="D75" s="27">
        <f>D56+D65+D67+D73</f>
        <v>699547652</v>
      </c>
      <c r="E75" s="27">
        <f>D75-C75</f>
        <v>699547652</v>
      </c>
      <c r="F75" s="28">
        <f>IF(C75=0,0,E75/C75)</f>
        <v>0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FILING&amp;RWESTERN CONNECTICUT HEALTHCARE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3" sqref="A3:F3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0</v>
      </c>
      <c r="D12" s="51">
        <v>1350505746</v>
      </c>
      <c r="E12" s="51">
        <f t="shared" ref="E12:E19" si="0">D12-C12</f>
        <v>1350505746</v>
      </c>
      <c r="F12" s="70">
        <f t="shared" ref="F12:F19" si="1">IF(C12=0,0,E12/C12)</f>
        <v>0</v>
      </c>
    </row>
    <row r="13" spans="1:8" ht="23.1" customHeight="1" x14ac:dyDescent="0.2">
      <c r="A13" s="25">
        <v>2</v>
      </c>
      <c r="B13" s="48" t="s">
        <v>72</v>
      </c>
      <c r="C13" s="51">
        <v>0</v>
      </c>
      <c r="D13" s="51">
        <v>728277143</v>
      </c>
      <c r="E13" s="51">
        <f t="shared" si="0"/>
        <v>728277143</v>
      </c>
      <c r="F13" s="70">
        <f t="shared" si="1"/>
        <v>0</v>
      </c>
    </row>
    <row r="14" spans="1:8" ht="23.1" customHeight="1" x14ac:dyDescent="0.2">
      <c r="A14" s="25">
        <v>3</v>
      </c>
      <c r="B14" s="48" t="s">
        <v>73</v>
      </c>
      <c r="C14" s="51">
        <v>0</v>
      </c>
      <c r="D14" s="51">
        <v>15362625</v>
      </c>
      <c r="E14" s="51">
        <f t="shared" si="0"/>
        <v>15362625</v>
      </c>
      <c r="F14" s="70">
        <f t="shared" si="1"/>
        <v>0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0</v>
      </c>
      <c r="D16" s="27">
        <f>D12-D13-D14-D15</f>
        <v>606865978</v>
      </c>
      <c r="E16" s="27">
        <f t="shared" si="0"/>
        <v>606865978</v>
      </c>
      <c r="F16" s="28">
        <f t="shared" si="1"/>
        <v>0</v>
      </c>
    </row>
    <row r="17" spans="1:7" ht="23.1" customHeight="1" x14ac:dyDescent="0.2">
      <c r="A17" s="25">
        <v>5</v>
      </c>
      <c r="B17" s="48" t="s">
        <v>76</v>
      </c>
      <c r="C17" s="51">
        <v>0</v>
      </c>
      <c r="D17" s="51">
        <v>15295373</v>
      </c>
      <c r="E17" s="51">
        <f t="shared" si="0"/>
        <v>15295373</v>
      </c>
      <c r="F17" s="70">
        <f t="shared" si="1"/>
        <v>0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2790050</v>
      </c>
      <c r="E18" s="51">
        <f t="shared" si="0"/>
        <v>2790050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0</v>
      </c>
      <c r="D19" s="27">
        <f>SUM(D16:D18)</f>
        <v>624951401</v>
      </c>
      <c r="E19" s="27">
        <f t="shared" si="0"/>
        <v>624951401</v>
      </c>
      <c r="F19" s="28">
        <f t="shared" si="1"/>
        <v>0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0</v>
      </c>
      <c r="D22" s="51">
        <v>361252292</v>
      </c>
      <c r="E22" s="51">
        <f t="shared" ref="E22:E31" si="2">D22-C22</f>
        <v>361252292</v>
      </c>
      <c r="F22" s="70">
        <f t="shared" ref="F22:F31" si="3">IF(C22=0,0,E22/C22)</f>
        <v>0</v>
      </c>
    </row>
    <row r="23" spans="1:7" ht="23.1" customHeight="1" x14ac:dyDescent="0.2">
      <c r="A23" s="25">
        <v>2</v>
      </c>
      <c r="B23" s="48" t="s">
        <v>81</v>
      </c>
      <c r="C23" s="51">
        <v>0</v>
      </c>
      <c r="D23" s="51">
        <v>0</v>
      </c>
      <c r="E23" s="51">
        <f t="shared" si="2"/>
        <v>0</v>
      </c>
      <c r="F23" s="70">
        <f t="shared" si="3"/>
        <v>0</v>
      </c>
    </row>
    <row r="24" spans="1:7" ht="23.1" customHeight="1" x14ac:dyDescent="0.2">
      <c r="A24" s="25">
        <v>3</v>
      </c>
      <c r="B24" s="48" t="s">
        <v>82</v>
      </c>
      <c r="C24" s="51">
        <v>0</v>
      </c>
      <c r="D24" s="51">
        <v>0</v>
      </c>
      <c r="E24" s="51">
        <f t="shared" si="2"/>
        <v>0</v>
      </c>
      <c r="F24" s="70">
        <f t="shared" si="3"/>
        <v>0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0</v>
      </c>
      <c r="D25" s="51">
        <v>0</v>
      </c>
      <c r="E25" s="51">
        <f t="shared" si="2"/>
        <v>0</v>
      </c>
      <c r="F25" s="70">
        <f t="shared" si="3"/>
        <v>0</v>
      </c>
    </row>
    <row r="26" spans="1:7" ht="23.1" customHeight="1" x14ac:dyDescent="0.2">
      <c r="A26" s="25">
        <v>5</v>
      </c>
      <c r="B26" s="48" t="s">
        <v>84</v>
      </c>
      <c r="C26" s="51">
        <v>0</v>
      </c>
      <c r="D26" s="51">
        <v>33299043</v>
      </c>
      <c r="E26" s="51">
        <f t="shared" si="2"/>
        <v>33299043</v>
      </c>
      <c r="F26" s="70">
        <f t="shared" si="3"/>
        <v>0</v>
      </c>
    </row>
    <row r="27" spans="1:7" ht="23.1" customHeight="1" x14ac:dyDescent="0.2">
      <c r="A27" s="25">
        <v>6</v>
      </c>
      <c r="B27" s="48" t="s">
        <v>85</v>
      </c>
      <c r="C27" s="51">
        <v>0</v>
      </c>
      <c r="D27" s="51">
        <v>14229424</v>
      </c>
      <c r="E27" s="51">
        <f t="shared" si="2"/>
        <v>14229424</v>
      </c>
      <c r="F27" s="70">
        <f t="shared" si="3"/>
        <v>0</v>
      </c>
    </row>
    <row r="28" spans="1:7" ht="23.1" customHeight="1" x14ac:dyDescent="0.2">
      <c r="A28" s="25">
        <v>7</v>
      </c>
      <c r="B28" s="48" t="s">
        <v>86</v>
      </c>
      <c r="C28" s="51">
        <v>0</v>
      </c>
      <c r="D28" s="51">
        <v>5539104</v>
      </c>
      <c r="E28" s="51">
        <f t="shared" si="2"/>
        <v>5539104</v>
      </c>
      <c r="F28" s="70">
        <f t="shared" si="3"/>
        <v>0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0</v>
      </c>
      <c r="E29" s="51">
        <f t="shared" si="2"/>
        <v>0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0</v>
      </c>
      <c r="D30" s="51">
        <v>188884825</v>
      </c>
      <c r="E30" s="51">
        <f t="shared" si="2"/>
        <v>188884825</v>
      </c>
      <c r="F30" s="70">
        <f t="shared" si="3"/>
        <v>0</v>
      </c>
    </row>
    <row r="31" spans="1:7" ht="23.1" customHeight="1" x14ac:dyDescent="0.25">
      <c r="A31" s="29"/>
      <c r="B31" s="71" t="s">
        <v>89</v>
      </c>
      <c r="C31" s="27">
        <f>SUM(C22:C30)</f>
        <v>0</v>
      </c>
      <c r="D31" s="27">
        <f>SUM(D22:D30)</f>
        <v>603204688</v>
      </c>
      <c r="E31" s="27">
        <f t="shared" si="2"/>
        <v>603204688</v>
      </c>
      <c r="F31" s="28">
        <f t="shared" si="3"/>
        <v>0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0</v>
      </c>
      <c r="D33" s="27">
        <f>+D19-D31</f>
        <v>21746713</v>
      </c>
      <c r="E33" s="27">
        <f>D33-C33</f>
        <v>21746713</v>
      </c>
      <c r="F33" s="28">
        <f>IF(C33=0,0,E33/C33)</f>
        <v>0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7688148</v>
      </c>
      <c r="E36" s="51">
        <f>D36-C36</f>
        <v>7688148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3404377</v>
      </c>
      <c r="E37" s="51">
        <f>D37-C37</f>
        <v>3404377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10722195</v>
      </c>
      <c r="E38" s="51">
        <f>D38-C38</f>
        <v>10722195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0</v>
      </c>
      <c r="D39" s="27">
        <f>SUM(D36:D38)</f>
        <v>21814720</v>
      </c>
      <c r="E39" s="27">
        <f>D39-C39</f>
        <v>21814720</v>
      </c>
      <c r="F39" s="28">
        <f>IF(C39=0,0,E39/C39)</f>
        <v>0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0</v>
      </c>
      <c r="D41" s="27">
        <f>D33+D39</f>
        <v>43561433</v>
      </c>
      <c r="E41" s="27">
        <f>D41-C41</f>
        <v>43561433</v>
      </c>
      <c r="F41" s="28">
        <f>IF(C41=0,0,E41/C41)</f>
        <v>0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0</v>
      </c>
      <c r="D48" s="27">
        <f>D41+D46</f>
        <v>43561433</v>
      </c>
      <c r="E48" s="27">
        <f>D48-C48</f>
        <v>43561433</v>
      </c>
      <c r="F48" s="28">
        <f>IF(C48=0,0,E48/C48)</f>
        <v>0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FILING&amp;R&amp;8WESTERN CONNECTICUT HEALTHCARE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2011-08-08T14:07:45Z</cp:lastPrinted>
  <dcterms:created xsi:type="dcterms:W3CDTF">2006-08-03T13:49:12Z</dcterms:created>
  <dcterms:modified xsi:type="dcterms:W3CDTF">2011-08-08T14:09:10Z</dcterms:modified>
</cp:coreProperties>
</file>