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198" i="14"/>
  <c r="D290" i="14"/>
  <c r="D191" i="14"/>
  <c r="D264" i="14"/>
  <c r="D189" i="14"/>
  <c r="D278" i="14"/>
  <c r="D188" i="14"/>
  <c r="D214" i="14"/>
  <c r="D180" i="14"/>
  <c r="D181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92" i="14"/>
  <c r="D193" i="14"/>
  <c r="D120" i="14"/>
  <c r="D110" i="14"/>
  <c r="D109" i="14"/>
  <c r="D111" i="14"/>
  <c r="D101" i="14"/>
  <c r="D100" i="14"/>
  <c r="D95" i="14"/>
  <c r="D94" i="14"/>
  <c r="D89" i="14"/>
  <c r="D88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282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8" i="19"/>
  <c r="E87" i="19"/>
  <c r="D87" i="19"/>
  <c r="C87" i="19"/>
  <c r="E86" i="19"/>
  <c r="D86" i="19"/>
  <c r="D88" i="19"/>
  <c r="C86" i="19"/>
  <c r="C88" i="19"/>
  <c r="E83" i="19"/>
  <c r="D83" i="19"/>
  <c r="D101" i="19"/>
  <c r="C83" i="19"/>
  <c r="C102" i="19"/>
  <c r="E76" i="19"/>
  <c r="E102" i="19"/>
  <c r="D76" i="19"/>
  <c r="D102" i="19"/>
  <c r="C76" i="19"/>
  <c r="E75" i="19"/>
  <c r="E77" i="19"/>
  <c r="E109" i="19"/>
  <c r="D75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2" i="19"/>
  <c r="E110" i="19"/>
  <c r="E21" i="19"/>
  <c r="D21" i="19"/>
  <c r="C21" i="19"/>
  <c r="E12" i="19"/>
  <c r="E34" i="19"/>
  <c r="E33" i="19"/>
  <c r="D12" i="19"/>
  <c r="D33" i="19"/>
  <c r="C12" i="19"/>
  <c r="C2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E45" i="17"/>
  <c r="C45" i="17"/>
  <c r="D44" i="17"/>
  <c r="E44" i="17"/>
  <c r="C44" i="17"/>
  <c r="D43" i="17"/>
  <c r="D46" i="17"/>
  <c r="C43" i="17"/>
  <c r="C39" i="17"/>
  <c r="D36" i="17"/>
  <c r="D40" i="17"/>
  <c r="C36" i="17"/>
  <c r="E35" i="17"/>
  <c r="F35" i="17"/>
  <c r="F34" i="17"/>
  <c r="E34" i="17"/>
  <c r="E33" i="17"/>
  <c r="E36" i="17"/>
  <c r="F30" i="17"/>
  <c r="E30" i="17"/>
  <c r="E29" i="17"/>
  <c r="F29" i="17"/>
  <c r="F28" i="17"/>
  <c r="E28" i="17"/>
  <c r="E27" i="17"/>
  <c r="F27" i="17"/>
  <c r="D25" i="17"/>
  <c r="D39" i="17"/>
  <c r="C25" i="17"/>
  <c r="F24" i="17"/>
  <c r="E24" i="17"/>
  <c r="E23" i="17"/>
  <c r="F23" i="17"/>
  <c r="F22" i="17"/>
  <c r="E22" i="17"/>
  <c r="E25" i="17"/>
  <c r="F25" i="17"/>
  <c r="D19" i="17"/>
  <c r="D20" i="17"/>
  <c r="C19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8" i="16"/>
  <c r="C64" i="16"/>
  <c r="C65" i="16"/>
  <c r="C114" i="16"/>
  <c r="C116" i="16"/>
  <c r="C119" i="16"/>
  <c r="C123" i="16"/>
  <c r="C36" i="16"/>
  <c r="C32" i="16"/>
  <c r="C33" i="16"/>
  <c r="C22" i="16"/>
  <c r="C21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E291" i="15"/>
  <c r="C291" i="15"/>
  <c r="D290" i="15"/>
  <c r="C290" i="15"/>
  <c r="E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E277" i="15"/>
  <c r="C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E251" i="15"/>
  <c r="D233" i="15"/>
  <c r="C233" i="15"/>
  <c r="E233" i="15"/>
  <c r="D232" i="15"/>
  <c r="E232" i="15"/>
  <c r="C232" i="15"/>
  <c r="D231" i="15"/>
  <c r="C231" i="15"/>
  <c r="D230" i="15"/>
  <c r="C230" i="15"/>
  <c r="D228" i="15"/>
  <c r="E228" i="15"/>
  <c r="C228" i="15"/>
  <c r="D227" i="15"/>
  <c r="C227" i="15"/>
  <c r="D221" i="15"/>
  <c r="D245" i="15"/>
  <c r="C221" i="15"/>
  <c r="C245" i="15"/>
  <c r="D220" i="15"/>
  <c r="C220" i="15"/>
  <c r="C244" i="15"/>
  <c r="D219" i="15"/>
  <c r="D243" i="15"/>
  <c r="E243" i="15"/>
  <c r="E219" i="15"/>
  <c r="C219" i="15"/>
  <c r="C243" i="15"/>
  <c r="C252" i="15"/>
  <c r="D218" i="15"/>
  <c r="E218" i="15"/>
  <c r="C218" i="15"/>
  <c r="C242" i="15"/>
  <c r="C217" i="15"/>
  <c r="D217" i="15"/>
  <c r="D216" i="15"/>
  <c r="C216" i="15"/>
  <c r="D215" i="15"/>
  <c r="D239" i="15"/>
  <c r="E239" i="15"/>
  <c r="C215" i="15"/>
  <c r="C239" i="15"/>
  <c r="E209" i="15"/>
  <c r="E208" i="15"/>
  <c r="E207" i="15"/>
  <c r="E206" i="15"/>
  <c r="D205" i="15"/>
  <c r="D210" i="15"/>
  <c r="C205" i="15"/>
  <c r="E204" i="15"/>
  <c r="E203" i="15"/>
  <c r="E197" i="15"/>
  <c r="E196" i="15"/>
  <c r="D195" i="15"/>
  <c r="D260" i="15"/>
  <c r="E195" i="15"/>
  <c r="C195" i="15"/>
  <c r="C260" i="15"/>
  <c r="E194" i="15"/>
  <c r="E193" i="15"/>
  <c r="E192" i="15"/>
  <c r="E191" i="15"/>
  <c r="E190" i="15"/>
  <c r="D189" i="15"/>
  <c r="D188" i="15"/>
  <c r="D261" i="15"/>
  <c r="C188" i="15"/>
  <c r="C189" i="15"/>
  <c r="E186" i="15"/>
  <c r="E185" i="15"/>
  <c r="D179" i="15"/>
  <c r="C179" i="15"/>
  <c r="E179" i="15"/>
  <c r="D178" i="15"/>
  <c r="C178" i="15"/>
  <c r="D177" i="15"/>
  <c r="C177" i="15"/>
  <c r="D176" i="15"/>
  <c r="E176" i="15"/>
  <c r="C176" i="15"/>
  <c r="D174" i="15"/>
  <c r="C174" i="15"/>
  <c r="D173" i="15"/>
  <c r="C173" i="15"/>
  <c r="D167" i="15"/>
  <c r="C167" i="15"/>
  <c r="D166" i="15"/>
  <c r="C166" i="15"/>
  <c r="D165" i="15"/>
  <c r="E165" i="15"/>
  <c r="C165" i="15"/>
  <c r="D164" i="15"/>
  <c r="C164" i="15"/>
  <c r="D162" i="15"/>
  <c r="C162" i="15"/>
  <c r="D161" i="15"/>
  <c r="C161" i="15"/>
  <c r="E161" i="15"/>
  <c r="E155" i="15"/>
  <c r="E154" i="15"/>
  <c r="E153" i="15"/>
  <c r="E152" i="15"/>
  <c r="D151" i="15"/>
  <c r="D156" i="15"/>
  <c r="D157" i="15"/>
  <c r="E157" i="15"/>
  <c r="C151" i="15"/>
  <c r="C156" i="15"/>
  <c r="C157" i="15"/>
  <c r="E150" i="15"/>
  <c r="E149" i="15"/>
  <c r="D144" i="15"/>
  <c r="D145" i="15"/>
  <c r="E143" i="15"/>
  <c r="E142" i="15"/>
  <c r="E141" i="15"/>
  <c r="E140" i="15"/>
  <c r="D139" i="15"/>
  <c r="D175" i="15"/>
  <c r="C139" i="15"/>
  <c r="C163" i="15"/>
  <c r="E138" i="15"/>
  <c r="E137" i="15"/>
  <c r="D75" i="15"/>
  <c r="C75" i="15"/>
  <c r="D74" i="15"/>
  <c r="E74" i="15"/>
  <c r="C74" i="15"/>
  <c r="D73" i="15"/>
  <c r="C73" i="15"/>
  <c r="E73" i="15"/>
  <c r="D72" i="15"/>
  <c r="C72" i="15"/>
  <c r="D70" i="15"/>
  <c r="C70" i="15"/>
  <c r="D69" i="15"/>
  <c r="E69" i="15"/>
  <c r="C69" i="15"/>
  <c r="E64" i="15"/>
  <c r="E63" i="15"/>
  <c r="E62" i="15"/>
  <c r="E61" i="15"/>
  <c r="D60" i="15"/>
  <c r="D289" i="15"/>
  <c r="C60" i="15"/>
  <c r="C289" i="15"/>
  <c r="E59" i="15"/>
  <c r="E58" i="15"/>
  <c r="C55" i="15"/>
  <c r="D54" i="15"/>
  <c r="E54" i="15"/>
  <c r="C54" i="15"/>
  <c r="E53" i="15"/>
  <c r="E52" i="15"/>
  <c r="E51" i="15"/>
  <c r="E50" i="15"/>
  <c r="E49" i="15"/>
  <c r="E48" i="15"/>
  <c r="E47" i="15"/>
  <c r="D42" i="15"/>
  <c r="C42" i="15"/>
  <c r="E42" i="15"/>
  <c r="D41" i="15"/>
  <c r="E41" i="15"/>
  <c r="C41" i="15"/>
  <c r="D40" i="15"/>
  <c r="C40" i="15"/>
  <c r="D39" i="15"/>
  <c r="C39" i="15"/>
  <c r="D38" i="15"/>
  <c r="C38" i="15"/>
  <c r="E38" i="15"/>
  <c r="D37" i="15"/>
  <c r="E37" i="15"/>
  <c r="C37" i="15"/>
  <c r="C43" i="15"/>
  <c r="C44" i="15"/>
  <c r="D36" i="15"/>
  <c r="C36" i="15"/>
  <c r="D32" i="15"/>
  <c r="D33" i="15"/>
  <c r="C32" i="15"/>
  <c r="C33" i="15"/>
  <c r="E31" i="15"/>
  <c r="E30" i="15"/>
  <c r="E29" i="15"/>
  <c r="E28" i="15"/>
  <c r="E27" i="15"/>
  <c r="E26" i="15"/>
  <c r="E25" i="15"/>
  <c r="D22" i="15"/>
  <c r="D21" i="15"/>
  <c r="D283" i="15"/>
  <c r="C21" i="15"/>
  <c r="C22" i="15"/>
  <c r="C284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E311" i="14"/>
  <c r="C311" i="14"/>
  <c r="F311" i="14"/>
  <c r="E308" i="14"/>
  <c r="F308" i="14"/>
  <c r="C307" i="14"/>
  <c r="E307" i="14"/>
  <c r="C299" i="14"/>
  <c r="E299" i="14"/>
  <c r="F299" i="14"/>
  <c r="E298" i="14"/>
  <c r="C298" i="14"/>
  <c r="F298" i="14"/>
  <c r="C297" i="14"/>
  <c r="E297" i="14"/>
  <c r="C296" i="14"/>
  <c r="C295" i="14"/>
  <c r="C294" i="14"/>
  <c r="C250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E234" i="14"/>
  <c r="F234" i="14"/>
  <c r="E233" i="14"/>
  <c r="F233" i="14"/>
  <c r="C230" i="14"/>
  <c r="C229" i="14"/>
  <c r="E228" i="14"/>
  <c r="F228" i="14"/>
  <c r="C226" i="14"/>
  <c r="E226" i="14"/>
  <c r="E225" i="14"/>
  <c r="F225" i="14"/>
  <c r="E224" i="14"/>
  <c r="F224" i="14"/>
  <c r="C223" i="14"/>
  <c r="E222" i="14"/>
  <c r="F222" i="14"/>
  <c r="E221" i="14"/>
  <c r="F221" i="14"/>
  <c r="E204" i="14"/>
  <c r="C204" i="14"/>
  <c r="C203" i="14"/>
  <c r="C283" i="14"/>
  <c r="C198" i="14"/>
  <c r="E198" i="14"/>
  <c r="C191" i="14"/>
  <c r="E191" i="14"/>
  <c r="C189" i="14"/>
  <c r="C278" i="14"/>
  <c r="C188" i="14"/>
  <c r="C261" i="14"/>
  <c r="C206" i="14"/>
  <c r="C180" i="14"/>
  <c r="E180" i="14"/>
  <c r="E179" i="14"/>
  <c r="C179" i="14"/>
  <c r="F179" i="14"/>
  <c r="E171" i="14"/>
  <c r="C171" i="14"/>
  <c r="F171" i="14"/>
  <c r="C170" i="14"/>
  <c r="F170" i="14"/>
  <c r="F169" i="14"/>
  <c r="E169" i="14"/>
  <c r="F168" i="14"/>
  <c r="E168" i="14"/>
  <c r="C165" i="14"/>
  <c r="E165" i="14"/>
  <c r="C164" i="14"/>
  <c r="E164" i="14"/>
  <c r="F163" i="14"/>
  <c r="E163" i="14"/>
  <c r="C158" i="14"/>
  <c r="E158" i="14"/>
  <c r="F157" i="14"/>
  <c r="E157" i="14"/>
  <c r="F156" i="14"/>
  <c r="E156" i="14"/>
  <c r="C155" i="14"/>
  <c r="F155" i="14"/>
  <c r="F154" i="14"/>
  <c r="E154" i="14"/>
  <c r="F153" i="14"/>
  <c r="E153" i="14"/>
  <c r="C145" i="14"/>
  <c r="E145" i="14"/>
  <c r="C144" i="14"/>
  <c r="E144" i="14"/>
  <c r="C136" i="14"/>
  <c r="C135" i="14"/>
  <c r="F134" i="14"/>
  <c r="E134" i="14"/>
  <c r="E133" i="14"/>
  <c r="F133" i="14"/>
  <c r="C130" i="14"/>
  <c r="E130" i="14"/>
  <c r="C129" i="14"/>
  <c r="E128" i="14"/>
  <c r="F128" i="14"/>
  <c r="C123" i="14"/>
  <c r="C192" i="14"/>
  <c r="E192" i="14"/>
  <c r="E122" i="14"/>
  <c r="F122" i="14"/>
  <c r="E121" i="14"/>
  <c r="F121" i="14"/>
  <c r="C120" i="14"/>
  <c r="E119" i="14"/>
  <c r="F119" i="14"/>
  <c r="E118" i="14"/>
  <c r="F118" i="14"/>
  <c r="C110" i="14"/>
  <c r="E110" i="14"/>
  <c r="C109" i="14"/>
  <c r="E109" i="14"/>
  <c r="F109" i="14"/>
  <c r="C102" i="14"/>
  <c r="C101" i="14"/>
  <c r="E101" i="14"/>
  <c r="C100" i="14"/>
  <c r="E100" i="14"/>
  <c r="E99" i="14"/>
  <c r="F99" i="14"/>
  <c r="E98" i="14"/>
  <c r="F98" i="14"/>
  <c r="C95" i="14"/>
  <c r="C94" i="14"/>
  <c r="E93" i="14"/>
  <c r="F93" i="14"/>
  <c r="C89" i="14"/>
  <c r="C88" i="14"/>
  <c r="E88" i="14"/>
  <c r="F88" i="14"/>
  <c r="E87" i="14"/>
  <c r="F87" i="14"/>
  <c r="F86" i="14"/>
  <c r="E86" i="14"/>
  <c r="C85" i="14"/>
  <c r="E84" i="14"/>
  <c r="F84" i="14"/>
  <c r="E83" i="14"/>
  <c r="F83" i="14"/>
  <c r="C76" i="14"/>
  <c r="C77" i="14"/>
  <c r="E77" i="14"/>
  <c r="F74" i="14"/>
  <c r="E74" i="14"/>
  <c r="F73" i="14"/>
  <c r="E73" i="14"/>
  <c r="C67" i="14"/>
  <c r="E67" i="14"/>
  <c r="C66" i="14"/>
  <c r="C59" i="14"/>
  <c r="E58" i="14"/>
  <c r="C58" i="14"/>
  <c r="E57" i="14"/>
  <c r="F57" i="14"/>
  <c r="F56" i="14"/>
  <c r="E56" i="14"/>
  <c r="C53" i="14"/>
  <c r="E53" i="14"/>
  <c r="F53" i="14"/>
  <c r="C52" i="14"/>
  <c r="E52" i="14"/>
  <c r="F52" i="14"/>
  <c r="E51" i="14"/>
  <c r="F51" i="14"/>
  <c r="C47" i="14"/>
  <c r="E47" i="14"/>
  <c r="E46" i="14"/>
  <c r="F46" i="14"/>
  <c r="E45" i="14"/>
  <c r="F45" i="14"/>
  <c r="C44" i="14"/>
  <c r="E43" i="14"/>
  <c r="F43" i="14"/>
  <c r="E42" i="14"/>
  <c r="F42" i="14"/>
  <c r="C36" i="14"/>
  <c r="E36" i="14"/>
  <c r="F36" i="14"/>
  <c r="C35" i="14"/>
  <c r="E35" i="14"/>
  <c r="C30" i="14"/>
  <c r="C29" i="14"/>
  <c r="E28" i="14"/>
  <c r="F28" i="14"/>
  <c r="E27" i="14"/>
  <c r="F27" i="14"/>
  <c r="C24" i="14"/>
  <c r="E24" i="14"/>
  <c r="C23" i="14"/>
  <c r="E23" i="14"/>
  <c r="F23" i="14"/>
  <c r="F22" i="14"/>
  <c r="E22" i="14"/>
  <c r="C21" i="14"/>
  <c r="C20" i="14"/>
  <c r="E20" i="14"/>
  <c r="F20" i="14"/>
  <c r="F19" i="14"/>
  <c r="E19" i="14"/>
  <c r="E18" i="14"/>
  <c r="F18" i="14"/>
  <c r="C17" i="14"/>
  <c r="E16" i="14"/>
  <c r="F16" i="14"/>
  <c r="E15" i="14"/>
  <c r="F15" i="14"/>
  <c r="D25" i="13"/>
  <c r="E25" i="13"/>
  <c r="C25" i="13"/>
  <c r="E24" i="13"/>
  <c r="F24" i="13"/>
  <c r="E23" i="13"/>
  <c r="F23" i="13"/>
  <c r="E22" i="13"/>
  <c r="F22" i="13"/>
  <c r="D19" i="13"/>
  <c r="C19" i="13"/>
  <c r="E19" i="13"/>
  <c r="E18" i="13"/>
  <c r="F18" i="13"/>
  <c r="F17" i="13"/>
  <c r="E17" i="13"/>
  <c r="D14" i="13"/>
  <c r="E14" i="13"/>
  <c r="C14" i="13"/>
  <c r="E13" i="13"/>
  <c r="F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2" i="12"/>
  <c r="E91" i="12"/>
  <c r="F91" i="12"/>
  <c r="F90" i="12"/>
  <c r="E90" i="12"/>
  <c r="E89" i="12"/>
  <c r="F89" i="12"/>
  <c r="E88" i="12"/>
  <c r="F88" i="12"/>
  <c r="E87" i="12"/>
  <c r="F87" i="12"/>
  <c r="D84" i="12"/>
  <c r="E84" i="12"/>
  <c r="C84" i="12"/>
  <c r="E83" i="12"/>
  <c r="F83" i="12"/>
  <c r="E82" i="12"/>
  <c r="F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/>
  <c r="E69" i="12"/>
  <c r="F69" i="12"/>
  <c r="E68" i="12"/>
  <c r="F68" i="12"/>
  <c r="D65" i="12"/>
  <c r="E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F55" i="12"/>
  <c r="F54" i="12"/>
  <c r="E54" i="12"/>
  <c r="F53" i="12"/>
  <c r="E53" i="12"/>
  <c r="D50" i="12"/>
  <c r="C50" i="12"/>
  <c r="E50" i="12"/>
  <c r="E49" i="12"/>
  <c r="F49" i="12"/>
  <c r="E48" i="12"/>
  <c r="F48" i="12"/>
  <c r="D45" i="12"/>
  <c r="E45" i="12"/>
  <c r="C45" i="12"/>
  <c r="E44" i="12"/>
  <c r="F44" i="12"/>
  <c r="E43" i="12"/>
  <c r="F43" i="12"/>
  <c r="D37" i="12"/>
  <c r="C37" i="12"/>
  <c r="F36" i="12"/>
  <c r="E36" i="12"/>
  <c r="F35" i="12"/>
  <c r="E35" i="12"/>
  <c r="E34" i="12"/>
  <c r="F34" i="12"/>
  <c r="E33" i="12"/>
  <c r="F33" i="12"/>
  <c r="D30" i="12"/>
  <c r="C30" i="12"/>
  <c r="E30" i="12"/>
  <c r="F29" i="12"/>
  <c r="E29" i="12"/>
  <c r="F28" i="12"/>
  <c r="E28" i="12"/>
  <c r="E27" i="12"/>
  <c r="F27" i="12"/>
  <c r="F26" i="12"/>
  <c r="E26" i="12"/>
  <c r="D23" i="12"/>
  <c r="E23" i="12"/>
  <c r="C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/>
  <c r="F17" i="11"/>
  <c r="F33" i="11"/>
  <c r="F36" i="11"/>
  <c r="F38" i="11"/>
  <c r="F40" i="11"/>
  <c r="E17" i="11"/>
  <c r="E31" i="11"/>
  <c r="D17" i="11"/>
  <c r="D31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D80" i="10"/>
  <c r="D77" i="10"/>
  <c r="C78" i="10"/>
  <c r="C80" i="10"/>
  <c r="C77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D59" i="10"/>
  <c r="D61" i="10"/>
  <c r="D57" i="10"/>
  <c r="E58" i="10"/>
  <c r="D58" i="10"/>
  <c r="C58" i="10"/>
  <c r="E55" i="10"/>
  <c r="E50" i="10"/>
  <c r="D55" i="10"/>
  <c r="C55" i="10"/>
  <c r="E54" i="10"/>
  <c r="D54" i="10"/>
  <c r="D50" i="10"/>
  <c r="C54" i="10"/>
  <c r="C50" i="10"/>
  <c r="E46" i="10"/>
  <c r="D46" i="10"/>
  <c r="D48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F46" i="9"/>
  <c r="F45" i="9"/>
  <c r="E45" i="9"/>
  <c r="F44" i="9"/>
  <c r="E44" i="9"/>
  <c r="D39" i="9"/>
  <c r="C39" i="9"/>
  <c r="E38" i="9"/>
  <c r="F38" i="9"/>
  <c r="E37" i="9"/>
  <c r="F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D19" i="9"/>
  <c r="D33" i="9"/>
  <c r="D41" i="9"/>
  <c r="D48" i="9"/>
  <c r="C16" i="9"/>
  <c r="C19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C61" i="8"/>
  <c r="E61" i="8"/>
  <c r="E60" i="8"/>
  <c r="F60" i="8"/>
  <c r="E59" i="8"/>
  <c r="F59" i="8"/>
  <c r="D56" i="8"/>
  <c r="C56" i="8"/>
  <c r="E55" i="8"/>
  <c r="F55" i="8"/>
  <c r="E54" i="8"/>
  <c r="F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E28" i="8"/>
  <c r="F28" i="8"/>
  <c r="F27" i="8"/>
  <c r="E27" i="8"/>
  <c r="E26" i="8"/>
  <c r="F26" i="8"/>
  <c r="F25" i="8"/>
  <c r="E25" i="8"/>
  <c r="D22" i="8"/>
  <c r="D43" i="8"/>
  <c r="C22" i="8"/>
  <c r="E21" i="8"/>
  <c r="F21" i="8"/>
  <c r="E20" i="8"/>
  <c r="F20" i="8"/>
  <c r="E19" i="8"/>
  <c r="F19" i="8"/>
  <c r="F18" i="8"/>
  <c r="E18" i="8"/>
  <c r="F17" i="8"/>
  <c r="E17" i="8"/>
  <c r="E16" i="8"/>
  <c r="F16" i="8"/>
  <c r="E15" i="8"/>
  <c r="F15" i="8"/>
  <c r="E14" i="8"/>
  <c r="F14" i="8"/>
  <c r="E13" i="8"/>
  <c r="F13" i="8"/>
  <c r="D120" i="7"/>
  <c r="C120" i="7"/>
  <c r="E120" i="7"/>
  <c r="D119" i="7"/>
  <c r="C119" i="7"/>
  <c r="E119" i="7"/>
  <c r="D118" i="7"/>
  <c r="C118" i="7"/>
  <c r="E118" i="7"/>
  <c r="D117" i="7"/>
  <c r="C117" i="7"/>
  <c r="E117" i="7"/>
  <c r="D116" i="7"/>
  <c r="C116" i="7"/>
  <c r="E116" i="7"/>
  <c r="D115" i="7"/>
  <c r="C115" i="7"/>
  <c r="E115" i="7"/>
  <c r="D114" i="7"/>
  <c r="C114" i="7"/>
  <c r="E114" i="7"/>
  <c r="D113" i="7"/>
  <c r="D122" i="7"/>
  <c r="C113" i="7"/>
  <c r="D112" i="7"/>
  <c r="D121" i="7"/>
  <c r="C112" i="7"/>
  <c r="D108" i="7"/>
  <c r="C108" i="7"/>
  <c r="E108" i="7"/>
  <c r="D107" i="7"/>
  <c r="C107" i="7"/>
  <c r="E107" i="7"/>
  <c r="E106" i="7"/>
  <c r="F106" i="7"/>
  <c r="E105" i="7"/>
  <c r="F105" i="7"/>
  <c r="F104" i="7"/>
  <c r="E104" i="7"/>
  <c r="E103" i="7"/>
  <c r="F103" i="7"/>
  <c r="E102" i="7"/>
  <c r="F102" i="7"/>
  <c r="E101" i="7"/>
  <c r="F101" i="7"/>
  <c r="F100" i="7"/>
  <c r="E100" i="7"/>
  <c r="E99" i="7"/>
  <c r="F99" i="7"/>
  <c r="E98" i="7"/>
  <c r="F98" i="7"/>
  <c r="D96" i="7"/>
  <c r="E96" i="7"/>
  <c r="C96" i="7"/>
  <c r="D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E84" i="7"/>
  <c r="D83" i="7"/>
  <c r="C83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C59" i="7"/>
  <c r="E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F36" i="7"/>
  <c r="D35" i="7"/>
  <c r="C35" i="7"/>
  <c r="E35" i="7"/>
  <c r="F35" i="7"/>
  <c r="F34" i="7"/>
  <c r="E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E21" i="7"/>
  <c r="F21" i="7"/>
  <c r="E20" i="7"/>
  <c r="F20" i="7"/>
  <c r="F19" i="7"/>
  <c r="E19" i="7"/>
  <c r="F18" i="7"/>
  <c r="E18" i="7"/>
  <c r="E17" i="7"/>
  <c r="F17" i="7"/>
  <c r="E16" i="7"/>
  <c r="F16" i="7"/>
  <c r="F15" i="7"/>
  <c r="E15" i="7"/>
  <c r="F14" i="7"/>
  <c r="E14" i="7"/>
  <c r="D206" i="6"/>
  <c r="C206" i="6"/>
  <c r="E206" i="6"/>
  <c r="D205" i="6"/>
  <c r="C205" i="6"/>
  <c r="E205" i="6"/>
  <c r="D204" i="6"/>
  <c r="C204" i="6"/>
  <c r="E204" i="6"/>
  <c r="D203" i="6"/>
  <c r="C203" i="6"/>
  <c r="E203" i="6"/>
  <c r="D202" i="6"/>
  <c r="C202" i="6"/>
  <c r="E202" i="6"/>
  <c r="D201" i="6"/>
  <c r="C201" i="6"/>
  <c r="E201" i="6"/>
  <c r="D200" i="6"/>
  <c r="C200" i="6"/>
  <c r="E200" i="6"/>
  <c r="D199" i="6"/>
  <c r="D208" i="6"/>
  <c r="C199" i="6"/>
  <c r="E199" i="6"/>
  <c r="D198" i="6"/>
  <c r="D207" i="6"/>
  <c r="C198" i="6"/>
  <c r="E198" i="6"/>
  <c r="D193" i="6"/>
  <c r="C193" i="6"/>
  <c r="E193" i="6"/>
  <c r="D192" i="6"/>
  <c r="C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/>
  <c r="D166" i="6"/>
  <c r="C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C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F128" i="6"/>
  <c r="D127" i="6"/>
  <c r="E127" i="6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E115" i="6"/>
  <c r="D114" i="6"/>
  <c r="C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E89" i="6"/>
  <c r="D88" i="6"/>
  <c r="C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F76" i="6"/>
  <c r="C76" i="6"/>
  <c r="D75" i="6"/>
  <c r="E75" i="6"/>
  <c r="F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E49" i="6"/>
  <c r="C49" i="6"/>
  <c r="F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C37" i="6"/>
  <c r="D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F24" i="6"/>
  <c r="D23" i="6"/>
  <c r="C23" i="6"/>
  <c r="F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D143" i="5"/>
  <c r="D149" i="5"/>
  <c r="C147" i="5"/>
  <c r="C143" i="5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D104" i="5"/>
  <c r="E102" i="5"/>
  <c r="E104" i="5"/>
  <c r="D102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E79" i="5"/>
  <c r="D84" i="5"/>
  <c r="D79" i="5"/>
  <c r="C84" i="5"/>
  <c r="E83" i="5"/>
  <c r="D83" i="5"/>
  <c r="C83" i="5"/>
  <c r="C79" i="5"/>
  <c r="E75" i="5"/>
  <c r="D75" i="5"/>
  <c r="D88" i="5"/>
  <c r="D90" i="5"/>
  <c r="D86" i="5"/>
  <c r="C75" i="5"/>
  <c r="E74" i="5"/>
  <c r="D74" i="5"/>
  <c r="C74" i="5"/>
  <c r="E67" i="5"/>
  <c r="D67" i="5"/>
  <c r="C67" i="5"/>
  <c r="E38" i="5"/>
  <c r="E43" i="5"/>
  <c r="D38" i="5"/>
  <c r="C38" i="5"/>
  <c r="C53" i="5"/>
  <c r="E33" i="5"/>
  <c r="E34" i="5"/>
  <c r="D33" i="5"/>
  <c r="D34" i="5"/>
  <c r="E26" i="5"/>
  <c r="D26" i="5"/>
  <c r="C26" i="5"/>
  <c r="E13" i="5"/>
  <c r="D13" i="5"/>
  <c r="D25" i="5"/>
  <c r="D27" i="5"/>
  <c r="C13" i="5"/>
  <c r="F186" i="4"/>
  <c r="E186" i="4"/>
  <c r="D183" i="4"/>
  <c r="C183" i="4"/>
  <c r="E182" i="4"/>
  <c r="F182" i="4"/>
  <c r="E181" i="4"/>
  <c r="F181" i="4"/>
  <c r="E180" i="4"/>
  <c r="F180" i="4"/>
  <c r="E179" i="4"/>
  <c r="F179" i="4"/>
  <c r="F178" i="4"/>
  <c r="E178" i="4"/>
  <c r="F177" i="4"/>
  <c r="E177" i="4"/>
  <c r="E176" i="4"/>
  <c r="F176" i="4"/>
  <c r="E175" i="4"/>
  <c r="F175" i="4"/>
  <c r="F174" i="4"/>
  <c r="E174" i="4"/>
  <c r="E173" i="4"/>
  <c r="F173" i="4"/>
  <c r="F172" i="4"/>
  <c r="E172" i="4"/>
  <c r="E171" i="4"/>
  <c r="F171" i="4"/>
  <c r="E170" i="4"/>
  <c r="F170" i="4"/>
  <c r="D167" i="4"/>
  <c r="C167" i="4"/>
  <c r="E166" i="4"/>
  <c r="F166" i="4"/>
  <c r="F165" i="4"/>
  <c r="E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E158" i="4"/>
  <c r="F158" i="4"/>
  <c r="E157" i="4"/>
  <c r="F157" i="4"/>
  <c r="E156" i="4"/>
  <c r="F156" i="4"/>
  <c r="E155" i="4"/>
  <c r="F155" i="4"/>
  <c r="E154" i="4"/>
  <c r="F154" i="4"/>
  <c r="F153" i="4"/>
  <c r="E153" i="4"/>
  <c r="E152" i="4"/>
  <c r="F152" i="4"/>
  <c r="E151" i="4"/>
  <c r="F151" i="4"/>
  <c r="E150" i="4"/>
  <c r="F150" i="4"/>
  <c r="F149" i="4"/>
  <c r="E149" i="4"/>
  <c r="E148" i="4"/>
  <c r="F148" i="4"/>
  <c r="F147" i="4"/>
  <c r="E147" i="4"/>
  <c r="E146" i="4"/>
  <c r="F146" i="4"/>
  <c r="F145" i="4"/>
  <c r="E145" i="4"/>
  <c r="E144" i="4"/>
  <c r="F144" i="4"/>
  <c r="E143" i="4"/>
  <c r="F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F136" i="4"/>
  <c r="E136" i="4"/>
  <c r="E135" i="4"/>
  <c r="F135" i="4"/>
  <c r="E134" i="4"/>
  <c r="F134" i="4"/>
  <c r="E133" i="4"/>
  <c r="F133" i="4"/>
  <c r="D130" i="4"/>
  <c r="D188" i="4"/>
  <c r="E188" i="4"/>
  <c r="F188" i="4"/>
  <c r="C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D121" i="4"/>
  <c r="E121" i="4"/>
  <c r="F121" i="4"/>
  <c r="C121" i="4"/>
  <c r="E120" i="4"/>
  <c r="F120" i="4"/>
  <c r="E119" i="4"/>
  <c r="F119" i="4"/>
  <c r="E118" i="4"/>
  <c r="F118" i="4"/>
  <c r="F117" i="4"/>
  <c r="E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C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E59" i="4"/>
  <c r="F59" i="4"/>
  <c r="C59" i="4"/>
  <c r="F58" i="4"/>
  <c r="E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D95" i="4"/>
  <c r="C41" i="4"/>
  <c r="E40" i="4"/>
  <c r="F40" i="4"/>
  <c r="E39" i="4"/>
  <c r="F39" i="4"/>
  <c r="E38" i="4"/>
  <c r="F38" i="4"/>
  <c r="D35" i="4"/>
  <c r="E35" i="4"/>
  <c r="F35" i="4"/>
  <c r="C35" i="4"/>
  <c r="E34" i="4"/>
  <c r="F34" i="4"/>
  <c r="E33" i="4"/>
  <c r="F33" i="4"/>
  <c r="D30" i="4"/>
  <c r="C30" i="4"/>
  <c r="E30" i="4"/>
  <c r="F30" i="4"/>
  <c r="F29" i="4"/>
  <c r="E29" i="4"/>
  <c r="E28" i="4"/>
  <c r="F28" i="4"/>
  <c r="E27" i="4"/>
  <c r="F27" i="4"/>
  <c r="D24" i="4"/>
  <c r="E24" i="4"/>
  <c r="F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C179" i="3"/>
  <c r="E179" i="3"/>
  <c r="F179" i="3"/>
  <c r="F178" i="3"/>
  <c r="E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F166" i="3"/>
  <c r="C166" i="3"/>
  <c r="F165" i="3"/>
  <c r="E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3" i="3"/>
  <c r="F153" i="3"/>
  <c r="F152" i="3"/>
  <c r="E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F137" i="3"/>
  <c r="C137" i="3"/>
  <c r="F136" i="3"/>
  <c r="E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/>
  <c r="F124" i="3"/>
  <c r="F123" i="3"/>
  <c r="E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F111" i="3"/>
  <c r="C111" i="3"/>
  <c r="F110" i="3"/>
  <c r="E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E93" i="3"/>
  <c r="C93" i="3"/>
  <c r="F93" i="3"/>
  <c r="D92" i="3"/>
  <c r="E92" i="3"/>
  <c r="F92" i="3"/>
  <c r="C92" i="3"/>
  <c r="D91" i="3"/>
  <c r="C91" i="3"/>
  <c r="D90" i="3"/>
  <c r="C90" i="3"/>
  <c r="D89" i="3"/>
  <c r="C89" i="3"/>
  <c r="E89" i="3"/>
  <c r="F89" i="3"/>
  <c r="D88" i="3"/>
  <c r="E88" i="3"/>
  <c r="F88" i="3"/>
  <c r="C88" i="3"/>
  <c r="D87" i="3"/>
  <c r="C87" i="3"/>
  <c r="D86" i="3"/>
  <c r="C86" i="3"/>
  <c r="E86" i="3"/>
  <c r="D85" i="3"/>
  <c r="E85" i="3"/>
  <c r="F85" i="3"/>
  <c r="C85" i="3"/>
  <c r="E84" i="3"/>
  <c r="D84" i="3"/>
  <c r="D95" i="3"/>
  <c r="C84" i="3"/>
  <c r="C95" i="3"/>
  <c r="D81" i="3"/>
  <c r="C81" i="3"/>
  <c r="F80" i="3"/>
  <c r="E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E50" i="3"/>
  <c r="C50" i="3"/>
  <c r="F50" i="3"/>
  <c r="D49" i="3"/>
  <c r="C49" i="3"/>
  <c r="D48" i="3"/>
  <c r="C48" i="3"/>
  <c r="D47" i="3"/>
  <c r="E47" i="3"/>
  <c r="F47" i="3"/>
  <c r="C47" i="3"/>
  <c r="D46" i="3"/>
  <c r="C46" i="3"/>
  <c r="E46" i="3"/>
  <c r="F46" i="3"/>
  <c r="D45" i="3"/>
  <c r="C45" i="3"/>
  <c r="D44" i="3"/>
  <c r="C44" i="3"/>
  <c r="D43" i="3"/>
  <c r="E43" i="3"/>
  <c r="F43" i="3"/>
  <c r="C43" i="3"/>
  <c r="D42" i="3"/>
  <c r="C42" i="3"/>
  <c r="E42" i="3"/>
  <c r="F42" i="3"/>
  <c r="D41" i="3"/>
  <c r="D52" i="3"/>
  <c r="C41" i="3"/>
  <c r="D38" i="3"/>
  <c r="C38" i="3"/>
  <c r="E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F24" i="3"/>
  <c r="E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C39" i="2"/>
  <c r="E38" i="2"/>
  <c r="F38" i="2"/>
  <c r="E37" i="2"/>
  <c r="F37" i="2"/>
  <c r="E36" i="2"/>
  <c r="F36" i="2"/>
  <c r="D31" i="2"/>
  <c r="C31" i="2"/>
  <c r="E31" i="2"/>
  <c r="F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F15" i="2"/>
  <c r="E15" i="2"/>
  <c r="E14" i="2"/>
  <c r="F14" i="2"/>
  <c r="E13" i="2"/>
  <c r="F13" i="2"/>
  <c r="E12" i="2"/>
  <c r="F12" i="2"/>
  <c r="D73" i="1"/>
  <c r="C73" i="1"/>
  <c r="E73" i="1"/>
  <c r="F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E65" i="1"/>
  <c r="C61" i="1"/>
  <c r="C65" i="1"/>
  <c r="E60" i="1"/>
  <c r="F60" i="1"/>
  <c r="E59" i="1"/>
  <c r="F59" i="1"/>
  <c r="D56" i="1"/>
  <c r="C56" i="1"/>
  <c r="E55" i="1"/>
  <c r="F55" i="1"/>
  <c r="E54" i="1"/>
  <c r="F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E37" i="1"/>
  <c r="F37" i="1"/>
  <c r="E36" i="1"/>
  <c r="F36" i="1"/>
  <c r="E33" i="1"/>
  <c r="F33" i="1"/>
  <c r="E32" i="1"/>
  <c r="F32" i="1"/>
  <c r="F31" i="1"/>
  <c r="E31" i="1"/>
  <c r="D29" i="1"/>
  <c r="C29" i="1"/>
  <c r="E29" i="1"/>
  <c r="F29" i="1"/>
  <c r="E28" i="1"/>
  <c r="F28" i="1"/>
  <c r="F27" i="1"/>
  <c r="E27" i="1"/>
  <c r="E26" i="1"/>
  <c r="F26" i="1"/>
  <c r="E25" i="1"/>
  <c r="F25" i="1"/>
  <c r="D22" i="1"/>
  <c r="E22" i="1"/>
  <c r="F22" i="1"/>
  <c r="C22" i="1"/>
  <c r="E21" i="1"/>
  <c r="F21" i="1"/>
  <c r="E20" i="1"/>
  <c r="F20" i="1"/>
  <c r="E19" i="1"/>
  <c r="F19" i="1"/>
  <c r="F18" i="1"/>
  <c r="E18" i="1"/>
  <c r="F17" i="1"/>
  <c r="E17" i="1"/>
  <c r="E16" i="1"/>
  <c r="F16" i="1"/>
  <c r="E15" i="1"/>
  <c r="F15" i="1"/>
  <c r="E14" i="1"/>
  <c r="F14" i="1"/>
  <c r="E13" i="1"/>
  <c r="F13" i="1"/>
  <c r="E44" i="14"/>
  <c r="F44" i="14"/>
  <c r="E89" i="14"/>
  <c r="F101" i="14"/>
  <c r="E188" i="14"/>
  <c r="F188" i="14"/>
  <c r="D102" i="14"/>
  <c r="D103" i="14"/>
  <c r="D277" i="14"/>
  <c r="E17" i="14"/>
  <c r="F17" i="14"/>
  <c r="E155" i="14"/>
  <c r="E229" i="14"/>
  <c r="D68" i="14"/>
  <c r="F47" i="14"/>
  <c r="D156" i="5"/>
  <c r="D152" i="5"/>
  <c r="D154" i="5"/>
  <c r="D157" i="5"/>
  <c r="D155" i="5"/>
  <c r="D153" i="5"/>
  <c r="E95" i="3"/>
  <c r="F95" i="3"/>
  <c r="F36" i="6"/>
  <c r="E36" i="6"/>
  <c r="C95" i="4"/>
  <c r="D43" i="1"/>
  <c r="C41" i="1"/>
  <c r="C109" i="5"/>
  <c r="C106" i="5"/>
  <c r="C15" i="5"/>
  <c r="C25" i="5"/>
  <c r="C27" i="5"/>
  <c r="E88" i="5"/>
  <c r="E90" i="5"/>
  <c r="E86" i="5"/>
  <c r="E77" i="5"/>
  <c r="E71" i="5"/>
  <c r="E63" i="6"/>
  <c r="F63" i="6"/>
  <c r="C52" i="3"/>
  <c r="E52" i="3"/>
  <c r="E18" i="4"/>
  <c r="F18" i="4"/>
  <c r="D53" i="5"/>
  <c r="D43" i="5"/>
  <c r="E37" i="6"/>
  <c r="F37" i="6"/>
  <c r="C33" i="9"/>
  <c r="D21" i="10"/>
  <c r="E56" i="1"/>
  <c r="F56" i="1"/>
  <c r="E39" i="2"/>
  <c r="F39" i="2"/>
  <c r="E25" i="3"/>
  <c r="F25" i="3"/>
  <c r="E44" i="3"/>
  <c r="F44" i="3"/>
  <c r="E48" i="3"/>
  <c r="F48" i="3"/>
  <c r="F84" i="3"/>
  <c r="E90" i="3"/>
  <c r="F90" i="3"/>
  <c r="E94" i="3"/>
  <c r="E41" i="4"/>
  <c r="F41" i="4"/>
  <c r="E90" i="4"/>
  <c r="F90" i="4"/>
  <c r="E38" i="1"/>
  <c r="F38" i="1"/>
  <c r="C43" i="1"/>
  <c r="D75" i="1"/>
  <c r="E16" i="2"/>
  <c r="F16" i="2"/>
  <c r="C19" i="2"/>
  <c r="E41" i="3"/>
  <c r="F41" i="3"/>
  <c r="E45" i="3"/>
  <c r="F45" i="3"/>
  <c r="E49" i="3"/>
  <c r="F49" i="3"/>
  <c r="E68" i="3"/>
  <c r="F68" i="3"/>
  <c r="E81" i="3"/>
  <c r="F81" i="3"/>
  <c r="E87" i="3"/>
  <c r="F87" i="3"/>
  <c r="E91" i="3"/>
  <c r="F91" i="3"/>
  <c r="E167" i="4"/>
  <c r="F167" i="4"/>
  <c r="E183" i="4"/>
  <c r="F183" i="4"/>
  <c r="D49" i="5"/>
  <c r="D57" i="5"/>
  <c r="D62" i="5"/>
  <c r="C149" i="5"/>
  <c r="E166" i="5"/>
  <c r="E23" i="6"/>
  <c r="E25" i="5"/>
  <c r="E27" i="5"/>
  <c r="E21" i="5"/>
  <c r="E15" i="5"/>
  <c r="C77" i="5"/>
  <c r="C71" i="5"/>
  <c r="C88" i="5"/>
  <c r="C90" i="5"/>
  <c r="C86" i="5"/>
  <c r="E62" i="6"/>
  <c r="F62" i="6"/>
  <c r="F38" i="3"/>
  <c r="F86" i="3"/>
  <c r="C188" i="4"/>
  <c r="E24" i="6"/>
  <c r="C60" i="14"/>
  <c r="E59" i="14"/>
  <c r="F59" i="14"/>
  <c r="C57" i="5"/>
  <c r="C62" i="5"/>
  <c r="F29" i="8"/>
  <c r="C41" i="8"/>
  <c r="E41" i="8"/>
  <c r="D75" i="8"/>
  <c r="F61" i="8"/>
  <c r="F73" i="8"/>
  <c r="E16" i="9"/>
  <c r="E80" i="10"/>
  <c r="E77" i="10"/>
  <c r="H33" i="11"/>
  <c r="H36" i="11"/>
  <c r="H38" i="11"/>
  <c r="H40" i="11"/>
  <c r="F16" i="12"/>
  <c r="F23" i="12"/>
  <c r="F45" i="12"/>
  <c r="F65" i="12"/>
  <c r="E75" i="12"/>
  <c r="F84" i="12"/>
  <c r="F14" i="13"/>
  <c r="F25" i="13"/>
  <c r="F24" i="14"/>
  <c r="C37" i="14"/>
  <c r="E25" i="10"/>
  <c r="E27" i="10"/>
  <c r="E15" i="10"/>
  <c r="C59" i="10"/>
  <c r="C61" i="10"/>
  <c r="C57" i="10"/>
  <c r="C48" i="10"/>
  <c r="C42" i="10"/>
  <c r="C31" i="14"/>
  <c r="E30" i="14"/>
  <c r="F30" i="14"/>
  <c r="C207" i="6"/>
  <c r="C208" i="6"/>
  <c r="E208" i="6"/>
  <c r="C121" i="7"/>
  <c r="C43" i="8"/>
  <c r="E43" i="8"/>
  <c r="E33" i="9"/>
  <c r="E33" i="11"/>
  <c r="E36" i="11"/>
  <c r="E38" i="11"/>
  <c r="E40" i="11"/>
  <c r="C258" i="15"/>
  <c r="C98" i="15"/>
  <c r="C87" i="15"/>
  <c r="C83" i="15"/>
  <c r="C101" i="15"/>
  <c r="C97" i="15"/>
  <c r="C86" i="15"/>
  <c r="C96" i="15"/>
  <c r="C85" i="15"/>
  <c r="C99" i="15"/>
  <c r="C88" i="15"/>
  <c r="C100" i="15"/>
  <c r="C89" i="15"/>
  <c r="C95" i="15"/>
  <c r="C84" i="15"/>
  <c r="F88" i="6"/>
  <c r="F89" i="6"/>
  <c r="F114" i="6"/>
  <c r="F115" i="6"/>
  <c r="F140" i="6"/>
  <c r="F141" i="6"/>
  <c r="F166" i="6"/>
  <c r="F167" i="6"/>
  <c r="F192" i="6"/>
  <c r="F193" i="6"/>
  <c r="F198" i="6"/>
  <c r="F199" i="6"/>
  <c r="F200" i="6"/>
  <c r="F201" i="6"/>
  <c r="F202" i="6"/>
  <c r="F203" i="6"/>
  <c r="F204" i="6"/>
  <c r="F205" i="6"/>
  <c r="F206" i="6"/>
  <c r="F96" i="7"/>
  <c r="F107" i="7"/>
  <c r="F108" i="7"/>
  <c r="F114" i="7"/>
  <c r="F115" i="7"/>
  <c r="F116" i="7"/>
  <c r="F117" i="7"/>
  <c r="F118" i="7"/>
  <c r="F119" i="7"/>
  <c r="F120" i="7"/>
  <c r="C122" i="7"/>
  <c r="F38" i="8"/>
  <c r="F16" i="9"/>
  <c r="D42" i="10"/>
  <c r="I17" i="11"/>
  <c r="F30" i="12"/>
  <c r="F75" i="12"/>
  <c r="F19" i="13"/>
  <c r="F58" i="14"/>
  <c r="C15" i="10"/>
  <c r="C25" i="10"/>
  <c r="C27" i="10"/>
  <c r="E48" i="10"/>
  <c r="E42" i="10"/>
  <c r="E59" i="10"/>
  <c r="E61" i="10"/>
  <c r="E57" i="10"/>
  <c r="C31" i="11"/>
  <c r="H17" i="11"/>
  <c r="C91" i="14"/>
  <c r="D234" i="15"/>
  <c r="D211" i="15"/>
  <c r="E48" i="7"/>
  <c r="E95" i="7"/>
  <c r="F95" i="7"/>
  <c r="E22" i="8"/>
  <c r="F22" i="8"/>
  <c r="E56" i="8"/>
  <c r="F56" i="8"/>
  <c r="E19" i="9"/>
  <c r="F19" i="9"/>
  <c r="E31" i="9"/>
  <c r="F31" i="9"/>
  <c r="E39" i="9"/>
  <c r="F39" i="9"/>
  <c r="G33" i="11"/>
  <c r="E37" i="12"/>
  <c r="F37" i="12"/>
  <c r="F50" i="12"/>
  <c r="F70" i="12"/>
  <c r="F92" i="12"/>
  <c r="E99" i="12"/>
  <c r="F99" i="12"/>
  <c r="C285" i="14"/>
  <c r="C286" i="14"/>
  <c r="F204" i="14"/>
  <c r="C229" i="15"/>
  <c r="C210" i="15"/>
  <c r="E210" i="15"/>
  <c r="E216" i="15"/>
  <c r="D240" i="15"/>
  <c r="D222" i="15"/>
  <c r="D252" i="15"/>
  <c r="E231" i="15"/>
  <c r="C46" i="19"/>
  <c r="C40" i="19"/>
  <c r="C36" i="19"/>
  <c r="C30" i="19"/>
  <c r="C111" i="19"/>
  <c r="C54" i="19"/>
  <c r="D175" i="14"/>
  <c r="D62" i="14"/>
  <c r="D90" i="14"/>
  <c r="D160" i="14"/>
  <c r="D194" i="14"/>
  <c r="D195" i="14"/>
  <c r="D207" i="14"/>
  <c r="D138" i="14"/>
  <c r="D140" i="14"/>
  <c r="E278" i="14"/>
  <c r="F278" i="14"/>
  <c r="C68" i="14"/>
  <c r="E85" i="14"/>
  <c r="F85" i="14"/>
  <c r="E94" i="14"/>
  <c r="F94" i="14"/>
  <c r="E102" i="14"/>
  <c r="F102" i="14"/>
  <c r="C111" i="14"/>
  <c r="C124" i="14"/>
  <c r="E136" i="14"/>
  <c r="F136" i="14"/>
  <c r="C193" i="14"/>
  <c r="E193" i="14"/>
  <c r="C215" i="14"/>
  <c r="E230" i="14"/>
  <c r="F230" i="14"/>
  <c r="C269" i="14"/>
  <c r="E21" i="15"/>
  <c r="E36" i="15"/>
  <c r="E39" i="15"/>
  <c r="E162" i="15"/>
  <c r="E167" i="15"/>
  <c r="E178" i="15"/>
  <c r="E189" i="15"/>
  <c r="E221" i="15"/>
  <c r="E227" i="15"/>
  <c r="E289" i="15"/>
  <c r="C262" i="14"/>
  <c r="C255" i="14"/>
  <c r="E189" i="14"/>
  <c r="F189" i="14"/>
  <c r="C280" i="14"/>
  <c r="C200" i="14"/>
  <c r="C274" i="14"/>
  <c r="F198" i="14"/>
  <c r="D181" i="15"/>
  <c r="D169" i="15"/>
  <c r="C240" i="15"/>
  <c r="E240" i="15"/>
  <c r="C253" i="15"/>
  <c r="C254" i="15"/>
  <c r="C222" i="15"/>
  <c r="D320" i="15"/>
  <c r="E320" i="15"/>
  <c r="E316" i="15"/>
  <c r="D330" i="15"/>
  <c r="E330" i="15"/>
  <c r="E326" i="15"/>
  <c r="C108" i="19"/>
  <c r="C109" i="19"/>
  <c r="D254" i="14"/>
  <c r="F67" i="14"/>
  <c r="F89" i="14"/>
  <c r="F100" i="14"/>
  <c r="F110" i="14"/>
  <c r="F130" i="14"/>
  <c r="F144" i="14"/>
  <c r="C146" i="14"/>
  <c r="C181" i="14"/>
  <c r="F192" i="14"/>
  <c r="C239" i="14"/>
  <c r="F297" i="14"/>
  <c r="F307" i="14"/>
  <c r="F36" i="17"/>
  <c r="F45" i="17"/>
  <c r="C267" i="14"/>
  <c r="C271" i="14"/>
  <c r="C273" i="14"/>
  <c r="E203" i="14"/>
  <c r="F203" i="14"/>
  <c r="E296" i="14"/>
  <c r="F296" i="14"/>
  <c r="E22" i="15"/>
  <c r="C266" i="14"/>
  <c r="F35" i="14"/>
  <c r="C103" i="14"/>
  <c r="E123" i="14"/>
  <c r="F123" i="14"/>
  <c r="C137" i="14"/>
  <c r="C172" i="14"/>
  <c r="F180" i="14"/>
  <c r="C205" i="14"/>
  <c r="C214" i="14"/>
  <c r="C304" i="14"/>
  <c r="F226" i="14"/>
  <c r="F238" i="14"/>
  <c r="C282" i="14"/>
  <c r="C290" i="14"/>
  <c r="D43" i="15"/>
  <c r="E40" i="15"/>
  <c r="E72" i="15"/>
  <c r="E75" i="15"/>
  <c r="E166" i="15"/>
  <c r="E177" i="15"/>
  <c r="D223" i="15"/>
  <c r="E217" i="15"/>
  <c r="D253" i="15"/>
  <c r="E253" i="15"/>
  <c r="E230" i="15"/>
  <c r="C303" i="15"/>
  <c r="C306" i="15"/>
  <c r="C310" i="15"/>
  <c r="D41" i="17"/>
  <c r="D103" i="19"/>
  <c r="E290" i="14"/>
  <c r="C306" i="14"/>
  <c r="E250" i="14"/>
  <c r="F250" i="14"/>
  <c r="E205" i="15"/>
  <c r="D229" i="15"/>
  <c r="E229" i="15"/>
  <c r="E220" i="15"/>
  <c r="D244" i="15"/>
  <c r="E244" i="15"/>
  <c r="D139" i="14"/>
  <c r="D174" i="14"/>
  <c r="C190" i="14"/>
  <c r="F191" i="14"/>
  <c r="C199" i="14"/>
  <c r="F229" i="14"/>
  <c r="C264" i="14"/>
  <c r="E264" i="14"/>
  <c r="D180" i="15"/>
  <c r="E156" i="15"/>
  <c r="D168" i="15"/>
  <c r="E173" i="15"/>
  <c r="E146" i="14"/>
  <c r="D302" i="15"/>
  <c r="E302" i="15"/>
  <c r="C37" i="16"/>
  <c r="C38" i="16"/>
  <c r="C127" i="16"/>
  <c r="C129" i="16"/>
  <c r="C133" i="16"/>
  <c r="C20" i="17"/>
  <c r="E20" i="17"/>
  <c r="F20" i="17"/>
  <c r="C40" i="17"/>
  <c r="E40" i="17"/>
  <c r="C46" i="17"/>
  <c r="E29" i="19"/>
  <c r="C33" i="19"/>
  <c r="D34" i="19"/>
  <c r="E35" i="19"/>
  <c r="E39" i="19"/>
  <c r="E45" i="19"/>
  <c r="D77" i="19"/>
  <c r="C101" i="19"/>
  <c r="C103" i="19"/>
  <c r="D267" i="14"/>
  <c r="D285" i="14"/>
  <c r="E285" i="14"/>
  <c r="D306" i="14"/>
  <c r="E33" i="15"/>
  <c r="E215" i="15"/>
  <c r="D303" i="15"/>
  <c r="E314" i="15"/>
  <c r="C49" i="16"/>
  <c r="F33" i="17"/>
  <c r="D22" i="19"/>
  <c r="E23" i="19"/>
  <c r="C34" i="19"/>
  <c r="E108" i="19"/>
  <c r="D124" i="14"/>
  <c r="E124" i="14"/>
  <c r="D200" i="14"/>
  <c r="E200" i="14"/>
  <c r="F200" i="14"/>
  <c r="D206" i="14"/>
  <c r="E206" i="14"/>
  <c r="F206" i="14"/>
  <c r="D262" i="14"/>
  <c r="D266" i="14"/>
  <c r="E266" i="14"/>
  <c r="D274" i="14"/>
  <c r="E274" i="14"/>
  <c r="D280" i="14"/>
  <c r="E260" i="15"/>
  <c r="E324" i="15"/>
  <c r="E19" i="17"/>
  <c r="F19" i="17"/>
  <c r="E39" i="17"/>
  <c r="F39" i="17"/>
  <c r="E43" i="17"/>
  <c r="E46" i="17"/>
  <c r="C22" i="19"/>
  <c r="D23" i="19"/>
  <c r="E53" i="19"/>
  <c r="E101" i="19"/>
  <c r="E103" i="19"/>
  <c r="D199" i="14"/>
  <c r="E199" i="14"/>
  <c r="F199" i="14"/>
  <c r="D205" i="14"/>
  <c r="E205" i="14"/>
  <c r="F205" i="14"/>
  <c r="D215" i="14"/>
  <c r="D279" i="14"/>
  <c r="D283" i="14"/>
  <c r="D21" i="14"/>
  <c r="D190" i="14"/>
  <c r="E190" i="14"/>
  <c r="D300" i="14"/>
  <c r="D141" i="14"/>
  <c r="D286" i="14"/>
  <c r="E286" i="14"/>
  <c r="E283" i="14"/>
  <c r="F283" i="14"/>
  <c r="C45" i="19"/>
  <c r="C39" i="19"/>
  <c r="C35" i="19"/>
  <c r="C29" i="19"/>
  <c r="C110" i="19"/>
  <c r="C53" i="19"/>
  <c r="E54" i="19"/>
  <c r="E46" i="19"/>
  <c r="E40" i="19"/>
  <c r="E36" i="19"/>
  <c r="E30" i="19"/>
  <c r="E111" i="19"/>
  <c r="D270" i="14"/>
  <c r="E267" i="14"/>
  <c r="E47" i="19"/>
  <c r="E37" i="19"/>
  <c r="E112" i="19"/>
  <c r="E55" i="19"/>
  <c r="C272" i="14"/>
  <c r="C56" i="19"/>
  <c r="C48" i="19"/>
  <c r="C38" i="19"/>
  <c r="C113" i="19"/>
  <c r="C138" i="5"/>
  <c r="C140" i="5"/>
  <c r="C136" i="5"/>
  <c r="C139" i="5"/>
  <c r="C137" i="5"/>
  <c r="C135" i="5"/>
  <c r="D265" i="14"/>
  <c r="F43" i="17"/>
  <c r="C288" i="14"/>
  <c r="E121" i="7"/>
  <c r="F121" i="7"/>
  <c r="D281" i="14"/>
  <c r="E280" i="14"/>
  <c r="F239" i="14"/>
  <c r="E239" i="14"/>
  <c r="E269" i="14"/>
  <c r="F269" i="14"/>
  <c r="D63" i="14"/>
  <c r="C17" i="10"/>
  <c r="C28" i="10"/>
  <c r="C70" i="10"/>
  <c r="C72" i="10"/>
  <c r="C69" i="10"/>
  <c r="C24" i="10"/>
  <c r="C33" i="2"/>
  <c r="F266" i="14"/>
  <c r="F274" i="14"/>
  <c r="E282" i="14"/>
  <c r="F282" i="14"/>
  <c r="D288" i="14"/>
  <c r="E288" i="14"/>
  <c r="C126" i="14"/>
  <c r="E207" i="6"/>
  <c r="F207" i="6"/>
  <c r="E43" i="1"/>
  <c r="F43" i="1"/>
  <c r="E95" i="4"/>
  <c r="F95" i="4"/>
  <c r="D126" i="14"/>
  <c r="D91" i="14"/>
  <c r="D49" i="14"/>
  <c r="D196" i="14"/>
  <c r="D161" i="14"/>
  <c r="E21" i="14"/>
  <c r="F21" i="14"/>
  <c r="D46" i="19"/>
  <c r="D40" i="19"/>
  <c r="D36" i="19"/>
  <c r="D30" i="19"/>
  <c r="D111" i="19"/>
  <c r="D54" i="19"/>
  <c r="E43" i="15"/>
  <c r="D44" i="15"/>
  <c r="C216" i="14"/>
  <c r="E214" i="14"/>
  <c r="F214" i="14"/>
  <c r="C138" i="14"/>
  <c r="C207" i="14"/>
  <c r="E137" i="14"/>
  <c r="F137" i="14"/>
  <c r="D255" i="14"/>
  <c r="E255" i="14"/>
  <c r="F255" i="14"/>
  <c r="E215" i="14"/>
  <c r="D272" i="14"/>
  <c r="E272" i="14"/>
  <c r="E262" i="14"/>
  <c r="F262" i="14"/>
  <c r="D109" i="19"/>
  <c r="D108" i="19"/>
  <c r="C173" i="14"/>
  <c r="E172" i="14"/>
  <c r="F172" i="14"/>
  <c r="F193" i="14"/>
  <c r="C194" i="14"/>
  <c r="E194" i="14"/>
  <c r="E111" i="14"/>
  <c r="F111" i="14"/>
  <c r="E68" i="14"/>
  <c r="F68" i="14"/>
  <c r="D208" i="14"/>
  <c r="E222" i="15"/>
  <c r="C22" i="10"/>
  <c r="C20" i="10"/>
  <c r="C21" i="10"/>
  <c r="E122" i="7"/>
  <c r="F122" i="7"/>
  <c r="E31" i="14"/>
  <c r="F31" i="14"/>
  <c r="C32" i="14"/>
  <c r="E21" i="10"/>
  <c r="E24" i="5"/>
  <c r="E20" i="5"/>
  <c r="E17" i="5"/>
  <c r="E157" i="5"/>
  <c r="E153" i="5"/>
  <c r="E155" i="5"/>
  <c r="E156" i="5"/>
  <c r="E154" i="5"/>
  <c r="E152" i="5"/>
  <c r="E158" i="5"/>
  <c r="C24" i="5"/>
  <c r="C17" i="5"/>
  <c r="F40" i="17"/>
  <c r="E41" i="17"/>
  <c r="D284" i="14"/>
  <c r="E306" i="14"/>
  <c r="C41" i="17"/>
  <c r="F41" i="17"/>
  <c r="F190" i="14"/>
  <c r="C223" i="15"/>
  <c r="F290" i="14"/>
  <c r="F146" i="14"/>
  <c r="D216" i="14"/>
  <c r="E216" i="14"/>
  <c r="F216" i="14"/>
  <c r="C263" i="14"/>
  <c r="I31" i="11"/>
  <c r="C90" i="15"/>
  <c r="F43" i="8"/>
  <c r="F208" i="6"/>
  <c r="F52" i="3"/>
  <c r="D53" i="19"/>
  <c r="D45" i="19"/>
  <c r="D39" i="19"/>
  <c r="D35" i="19"/>
  <c r="D29" i="19"/>
  <c r="D110" i="19"/>
  <c r="D306" i="15"/>
  <c r="E303" i="15"/>
  <c r="F264" i="14"/>
  <c r="C300" i="14"/>
  <c r="C265" i="14"/>
  <c r="E103" i="14"/>
  <c r="F103" i="14"/>
  <c r="C270" i="14"/>
  <c r="F267" i="14"/>
  <c r="C268" i="14"/>
  <c r="F181" i="14"/>
  <c r="E181" i="14"/>
  <c r="C281" i="14"/>
  <c r="F280" i="14"/>
  <c r="D176" i="14"/>
  <c r="E252" i="15"/>
  <c r="D254" i="15"/>
  <c r="E254" i="15"/>
  <c r="C211" i="15"/>
  <c r="C235" i="15"/>
  <c r="C234" i="15"/>
  <c r="E234" i="15"/>
  <c r="G36" i="11"/>
  <c r="G38" i="11"/>
  <c r="G40" i="11"/>
  <c r="I33" i="11"/>
  <c r="I36" i="11"/>
  <c r="I38" i="11"/>
  <c r="I40" i="11"/>
  <c r="C92" i="14"/>
  <c r="E17" i="10"/>
  <c r="E28" i="10"/>
  <c r="E70" i="10"/>
  <c r="E72" i="10"/>
  <c r="E69" i="10"/>
  <c r="E24" i="10"/>
  <c r="E20" i="10"/>
  <c r="E37" i="14"/>
  <c r="F37" i="14"/>
  <c r="C61" i="14"/>
  <c r="E60" i="14"/>
  <c r="F60" i="14"/>
  <c r="F33" i="9"/>
  <c r="C41" i="9"/>
  <c r="C20" i="5"/>
  <c r="C21" i="5"/>
  <c r="F46" i="17"/>
  <c r="E300" i="14"/>
  <c r="D287" i="14"/>
  <c r="F215" i="14"/>
  <c r="F124" i="14"/>
  <c r="E138" i="14"/>
  <c r="D125" i="14"/>
  <c r="F285" i="14"/>
  <c r="C102" i="15"/>
  <c r="C103" i="15"/>
  <c r="C105" i="15"/>
  <c r="C91" i="15"/>
  <c r="F41" i="8"/>
  <c r="E41" i="1"/>
  <c r="F41" i="1"/>
  <c r="D158" i="5"/>
  <c r="D210" i="14"/>
  <c r="D209" i="14"/>
  <c r="C208" i="14"/>
  <c r="D162" i="14"/>
  <c r="D127" i="14"/>
  <c r="E126" i="14"/>
  <c r="C41" i="2"/>
  <c r="E48" i="19"/>
  <c r="E38" i="19"/>
  <c r="E113" i="19"/>
  <c r="E56" i="19"/>
  <c r="E281" i="14"/>
  <c r="F281" i="14"/>
  <c r="C141" i="5"/>
  <c r="D47" i="19"/>
  <c r="D37" i="19"/>
  <c r="D112" i="19"/>
  <c r="D55" i="19"/>
  <c r="C210" i="14"/>
  <c r="C175" i="14"/>
  <c r="E32" i="14"/>
  <c r="C140" i="14"/>
  <c r="C105" i="14"/>
  <c r="C62" i="14"/>
  <c r="F32" i="14"/>
  <c r="D113" i="19"/>
  <c r="D56" i="19"/>
  <c r="D48" i="19"/>
  <c r="D38" i="19"/>
  <c r="D92" i="14"/>
  <c r="E91" i="14"/>
  <c r="F91" i="14"/>
  <c r="C112" i="19"/>
  <c r="C55" i="19"/>
  <c r="C47" i="19"/>
  <c r="C37" i="19"/>
  <c r="F300" i="14"/>
  <c r="E207" i="14"/>
  <c r="F207" i="14"/>
  <c r="C48" i="9"/>
  <c r="E41" i="9"/>
  <c r="F41" i="9"/>
  <c r="D310" i="15"/>
  <c r="E310" i="15"/>
  <c r="E306" i="15"/>
  <c r="C112" i="5"/>
  <c r="C111" i="5"/>
  <c r="C28" i="5"/>
  <c r="E112" i="5"/>
  <c r="E111" i="5"/>
  <c r="E28" i="5"/>
  <c r="D99" i="15"/>
  <c r="E99" i="15"/>
  <c r="D95" i="15"/>
  <c r="D88" i="15"/>
  <c r="E88" i="15"/>
  <c r="D84" i="15"/>
  <c r="E44" i="15"/>
  <c r="D258" i="15"/>
  <c r="D98" i="15"/>
  <c r="E98" i="15"/>
  <c r="D87" i="15"/>
  <c r="E87" i="15"/>
  <c r="D83" i="15"/>
  <c r="D101" i="15"/>
  <c r="E101" i="15"/>
  <c r="D96" i="15"/>
  <c r="D85" i="15"/>
  <c r="E85" i="15"/>
  <c r="D97" i="15"/>
  <c r="E97" i="15"/>
  <c r="D86" i="15"/>
  <c r="E86" i="15"/>
  <c r="D100" i="15"/>
  <c r="E100" i="15"/>
  <c r="D89" i="15"/>
  <c r="E89" i="15"/>
  <c r="D50" i="14"/>
  <c r="C127" i="14"/>
  <c r="F126" i="14"/>
  <c r="E265" i="14"/>
  <c r="F265" i="14"/>
  <c r="E211" i="15"/>
  <c r="E270" i="14"/>
  <c r="C104" i="14"/>
  <c r="E61" i="14"/>
  <c r="F61" i="14"/>
  <c r="C209" i="14"/>
  <c r="C174" i="14"/>
  <c r="C139" i="14"/>
  <c r="D291" i="14"/>
  <c r="D289" i="14"/>
  <c r="F194" i="14"/>
  <c r="C196" i="14"/>
  <c r="E196" i="14"/>
  <c r="F196" i="14"/>
  <c r="E173" i="14"/>
  <c r="F173" i="14"/>
  <c r="D197" i="14"/>
  <c r="D322" i="14"/>
  <c r="F270" i="14"/>
  <c r="E22" i="10"/>
  <c r="F138" i="14"/>
  <c r="F288" i="14"/>
  <c r="F272" i="14"/>
  <c r="E223" i="15"/>
  <c r="E96" i="15"/>
  <c r="E92" i="14"/>
  <c r="F92" i="14"/>
  <c r="C63" i="14"/>
  <c r="E62" i="14"/>
  <c r="F62" i="14"/>
  <c r="C176" i="14"/>
  <c r="E175" i="14"/>
  <c r="F175" i="14"/>
  <c r="D148" i="14"/>
  <c r="E127" i="14"/>
  <c r="F127" i="14"/>
  <c r="D211" i="14"/>
  <c r="E210" i="14"/>
  <c r="E84" i="15"/>
  <c r="D90" i="15"/>
  <c r="E90" i="15"/>
  <c r="E99" i="5"/>
  <c r="E101" i="5"/>
  <c r="E98" i="5"/>
  <c r="E22" i="5"/>
  <c r="E209" i="14"/>
  <c r="F209" i="14"/>
  <c r="D70" i="14"/>
  <c r="E48" i="9"/>
  <c r="F48" i="9"/>
  <c r="C141" i="14"/>
  <c r="C148" i="14"/>
  <c r="E140" i="14"/>
  <c r="F140" i="14"/>
  <c r="D183" i="14"/>
  <c r="D323" i="14"/>
  <c r="E174" i="14"/>
  <c r="F174" i="14"/>
  <c r="E139" i="14"/>
  <c r="F139" i="14"/>
  <c r="E83" i="15"/>
  <c r="D305" i="14"/>
  <c r="E258" i="15"/>
  <c r="E95" i="15"/>
  <c r="C99" i="5"/>
  <c r="C101" i="5"/>
  <c r="C98" i="5"/>
  <c r="C22" i="5"/>
  <c r="C106" i="14"/>
  <c r="C48" i="2"/>
  <c r="F210" i="14"/>
  <c r="E208" i="14"/>
  <c r="F208" i="14"/>
  <c r="C113" i="14"/>
  <c r="C324" i="14"/>
  <c r="E63" i="14"/>
  <c r="F63" i="14"/>
  <c r="D309" i="14"/>
  <c r="C322" i="14"/>
  <c r="C211" i="14"/>
  <c r="E211" i="14"/>
  <c r="F211" i="14"/>
  <c r="E141" i="14"/>
  <c r="F141" i="14"/>
  <c r="F176" i="14"/>
  <c r="E176" i="14"/>
  <c r="E322" i="14"/>
  <c r="F322" i="14"/>
  <c r="F148" i="14"/>
  <c r="E148" i="14"/>
  <c r="D104" i="14"/>
  <c r="E104" i="14"/>
  <c r="F104" i="14"/>
  <c r="D105" i="14"/>
  <c r="C75" i="1"/>
  <c r="F65" i="1"/>
  <c r="D21" i="5"/>
  <c r="D135" i="5"/>
  <c r="D138" i="5"/>
  <c r="D140" i="5"/>
  <c r="D139" i="5"/>
  <c r="D137" i="5"/>
  <c r="D136" i="5"/>
  <c r="D91" i="15"/>
  <c r="D102" i="15"/>
  <c r="F286" i="14"/>
  <c r="E75" i="1"/>
  <c r="E19" i="2"/>
  <c r="F19" i="2"/>
  <c r="D33" i="2"/>
  <c r="E137" i="5"/>
  <c r="E140" i="5"/>
  <c r="E139" i="5"/>
  <c r="E135" i="5"/>
  <c r="E136" i="5"/>
  <c r="E138" i="5"/>
  <c r="C154" i="5"/>
  <c r="C155" i="5"/>
  <c r="C153" i="5"/>
  <c r="C156" i="5"/>
  <c r="C157" i="5"/>
  <c r="C152" i="5"/>
  <c r="E61" i="1"/>
  <c r="F61" i="1"/>
  <c r="D15" i="5"/>
  <c r="C49" i="5"/>
  <c r="E57" i="5"/>
  <c r="E62" i="5"/>
  <c r="C43" i="5"/>
  <c r="E49" i="5"/>
  <c r="E53" i="5"/>
  <c r="D77" i="5"/>
  <c r="D71" i="5"/>
  <c r="E130" i="4"/>
  <c r="F130" i="4"/>
  <c r="F23" i="7"/>
  <c r="F24" i="7"/>
  <c r="F59" i="7"/>
  <c r="F60" i="7"/>
  <c r="E112" i="7"/>
  <c r="F112" i="7"/>
  <c r="E113" i="7"/>
  <c r="F113" i="7"/>
  <c r="C65" i="8"/>
  <c r="E65" i="8"/>
  <c r="F95" i="14"/>
  <c r="E46" i="9"/>
  <c r="D15" i="10"/>
  <c r="F31" i="11"/>
  <c r="H31" i="11"/>
  <c r="E55" i="12"/>
  <c r="C48" i="14"/>
  <c r="E66" i="14"/>
  <c r="F66" i="14"/>
  <c r="E95" i="14"/>
  <c r="E120" i="14"/>
  <c r="F120" i="14"/>
  <c r="E129" i="14"/>
  <c r="F129" i="14"/>
  <c r="F158" i="14"/>
  <c r="C159" i="14"/>
  <c r="F165" i="14"/>
  <c r="C227" i="14"/>
  <c r="E237" i="14"/>
  <c r="F237" i="14"/>
  <c r="C254" i="14"/>
  <c r="C277" i="14"/>
  <c r="E294" i="14"/>
  <c r="F294" i="14"/>
  <c r="D55" i="15"/>
  <c r="E60" i="15"/>
  <c r="C65" i="15"/>
  <c r="E70" i="15"/>
  <c r="C71" i="15"/>
  <c r="C76" i="15"/>
  <c r="E139" i="15"/>
  <c r="C241" i="15"/>
  <c r="E29" i="14"/>
  <c r="F29" i="14"/>
  <c r="E135" i="14"/>
  <c r="F135" i="14"/>
  <c r="E76" i="14"/>
  <c r="F76" i="14"/>
  <c r="F145" i="14"/>
  <c r="F164" i="14"/>
  <c r="E170" i="14"/>
  <c r="E223" i="14"/>
  <c r="F223" i="14"/>
  <c r="E295" i="14"/>
  <c r="F295" i="14"/>
  <c r="C283" i="15"/>
  <c r="E283" i="15"/>
  <c r="E32" i="15"/>
  <c r="D65" i="15"/>
  <c r="D71" i="15"/>
  <c r="C175" i="15"/>
  <c r="E175" i="15"/>
  <c r="D163" i="15"/>
  <c r="E163" i="15"/>
  <c r="C144" i="15"/>
  <c r="E151" i="15"/>
  <c r="E164" i="15"/>
  <c r="E174" i="15"/>
  <c r="D241" i="15"/>
  <c r="E241" i="15"/>
  <c r="E245" i="15"/>
  <c r="F44" i="17"/>
  <c r="E188" i="15"/>
  <c r="D242" i="15"/>
  <c r="E242" i="15"/>
  <c r="E16" i="17"/>
  <c r="F16" i="17"/>
  <c r="C261" i="15"/>
  <c r="E261" i="15"/>
  <c r="D261" i="14"/>
  <c r="C259" i="15"/>
  <c r="C263" i="15"/>
  <c r="C264" i="15"/>
  <c r="C266" i="15"/>
  <c r="C267" i="15"/>
  <c r="C77" i="15"/>
  <c r="E261" i="14"/>
  <c r="F261" i="14"/>
  <c r="D263" i="14"/>
  <c r="E263" i="14"/>
  <c r="F263" i="14"/>
  <c r="D268" i="14"/>
  <c r="E268" i="14"/>
  <c r="F268" i="14"/>
  <c r="D271" i="14"/>
  <c r="C145" i="15"/>
  <c r="C180" i="15"/>
  <c r="E180" i="15"/>
  <c r="C168" i="15"/>
  <c r="E168" i="15"/>
  <c r="E144" i="15"/>
  <c r="D66" i="15"/>
  <c r="E65" i="15"/>
  <c r="D246" i="15"/>
  <c r="D294" i="15"/>
  <c r="F254" i="14"/>
  <c r="E254" i="14"/>
  <c r="E227" i="14"/>
  <c r="F227" i="14"/>
  <c r="F159" i="14"/>
  <c r="C161" i="14"/>
  <c r="E159" i="14"/>
  <c r="C160" i="14"/>
  <c r="E48" i="14"/>
  <c r="C125" i="14"/>
  <c r="C90" i="14"/>
  <c r="F48" i="14"/>
  <c r="C49" i="14"/>
  <c r="C195" i="14"/>
  <c r="D24" i="5"/>
  <c r="D20" i="5"/>
  <c r="D17" i="5"/>
  <c r="C158" i="5"/>
  <c r="E141" i="5"/>
  <c r="D41" i="2"/>
  <c r="E33" i="2"/>
  <c r="F33" i="2"/>
  <c r="E102" i="15"/>
  <c r="D103" i="15"/>
  <c r="E103" i="15"/>
  <c r="D106" i="14"/>
  <c r="E105" i="14"/>
  <c r="F105" i="14"/>
  <c r="D76" i="15"/>
  <c r="E71" i="15"/>
  <c r="C66" i="15"/>
  <c r="C294" i="15"/>
  <c r="C246" i="15"/>
  <c r="E55" i="15"/>
  <c r="D284" i="15"/>
  <c r="E284" i="15"/>
  <c r="D235" i="15"/>
  <c r="E235" i="15"/>
  <c r="C279" i="14"/>
  <c r="C287" i="14"/>
  <c r="E277" i="14"/>
  <c r="C284" i="14"/>
  <c r="F277" i="14"/>
  <c r="D24" i="10"/>
  <c r="D20" i="10"/>
  <c r="D17" i="10"/>
  <c r="D28" i="10"/>
  <c r="F65" i="8"/>
  <c r="C75" i="8"/>
  <c r="D105" i="15"/>
  <c r="E105" i="15"/>
  <c r="E91" i="15"/>
  <c r="D141" i="5"/>
  <c r="F75" i="1"/>
  <c r="F284" i="14"/>
  <c r="E284" i="14"/>
  <c r="F75" i="8"/>
  <c r="E75" i="8"/>
  <c r="D22" i="10"/>
  <c r="D70" i="10"/>
  <c r="D72" i="10"/>
  <c r="D69" i="10"/>
  <c r="E279" i="14"/>
  <c r="F279" i="14"/>
  <c r="C295" i="15"/>
  <c r="C247" i="15"/>
  <c r="E76" i="15"/>
  <c r="D259" i="15"/>
  <c r="D77" i="15"/>
  <c r="D324" i="14"/>
  <c r="D113" i="14"/>
  <c r="E113" i="14"/>
  <c r="F113" i="14"/>
  <c r="E106" i="14"/>
  <c r="F106" i="14"/>
  <c r="D48" i="2"/>
  <c r="E48" i="2"/>
  <c r="F48" i="2"/>
  <c r="E41" i="2"/>
  <c r="F41" i="2"/>
  <c r="C50" i="14"/>
  <c r="E49" i="14"/>
  <c r="F49" i="14"/>
  <c r="E90" i="14"/>
  <c r="F90" i="14"/>
  <c r="E294" i="15"/>
  <c r="D273" i="14"/>
  <c r="E273" i="14"/>
  <c r="F273" i="14"/>
  <c r="D304" i="14"/>
  <c r="E271" i="14"/>
  <c r="F271" i="14"/>
  <c r="C125" i="15"/>
  <c r="C114" i="15"/>
  <c r="C124" i="15"/>
  <c r="C109" i="15"/>
  <c r="C111" i="15"/>
  <c r="C112" i="15"/>
  <c r="C115" i="15"/>
  <c r="C121" i="15"/>
  <c r="C110" i="15"/>
  <c r="C113" i="15"/>
  <c r="C127" i="15"/>
  <c r="C122" i="15"/>
  <c r="C123" i="15"/>
  <c r="C126" i="15"/>
  <c r="C291" i="14"/>
  <c r="E287" i="14"/>
  <c r="C289" i="14"/>
  <c r="F287" i="14"/>
  <c r="D28" i="5"/>
  <c r="D112" i="5"/>
  <c r="D111" i="5"/>
  <c r="E195" i="14"/>
  <c r="F195" i="14"/>
  <c r="E125" i="14"/>
  <c r="F125" i="14"/>
  <c r="E160" i="14"/>
  <c r="F160" i="14"/>
  <c r="C162" i="14"/>
  <c r="F161" i="14"/>
  <c r="E161" i="14"/>
  <c r="E246" i="15"/>
  <c r="D295" i="15"/>
  <c r="E295" i="15"/>
  <c r="E66" i="15"/>
  <c r="D247" i="15"/>
  <c r="E247" i="15"/>
  <c r="E145" i="15"/>
  <c r="C169" i="15"/>
  <c r="E169" i="15"/>
  <c r="C181" i="15"/>
  <c r="E181" i="15"/>
  <c r="C269" i="15"/>
  <c r="C268" i="15"/>
  <c r="C271" i="15"/>
  <c r="C197" i="14"/>
  <c r="E162" i="14"/>
  <c r="C183" i="14"/>
  <c r="C323" i="14"/>
  <c r="F162" i="14"/>
  <c r="D22" i="5"/>
  <c r="D99" i="5"/>
  <c r="D101" i="5"/>
  <c r="D98" i="5"/>
  <c r="E289" i="14"/>
  <c r="F289" i="14"/>
  <c r="C305" i="14"/>
  <c r="E291" i="14"/>
  <c r="F291" i="14"/>
  <c r="C116" i="15"/>
  <c r="D310" i="14"/>
  <c r="E304" i="14"/>
  <c r="F304" i="14"/>
  <c r="D325" i="14"/>
  <c r="E324" i="14"/>
  <c r="F324" i="14"/>
  <c r="D263" i="15"/>
  <c r="E259" i="15"/>
  <c r="C128" i="15"/>
  <c r="C129" i="15"/>
  <c r="C117" i="15"/>
  <c r="E50" i="14"/>
  <c r="C70" i="14"/>
  <c r="F50" i="14"/>
  <c r="D127" i="15"/>
  <c r="E127" i="15"/>
  <c r="D112" i="15"/>
  <c r="E112" i="15"/>
  <c r="D122" i="15"/>
  <c r="D111" i="15"/>
  <c r="E111" i="15"/>
  <c r="D121" i="15"/>
  <c r="D110" i="15"/>
  <c r="D124" i="15"/>
  <c r="E124" i="15"/>
  <c r="D123" i="15"/>
  <c r="E123" i="15"/>
  <c r="D109" i="15"/>
  <c r="D126" i="15"/>
  <c r="E126" i="15"/>
  <c r="D115" i="15"/>
  <c r="E115" i="15"/>
  <c r="D125" i="15"/>
  <c r="E125" i="15"/>
  <c r="D114" i="15"/>
  <c r="E114" i="15"/>
  <c r="D113" i="15"/>
  <c r="E113" i="15"/>
  <c r="E77" i="15"/>
  <c r="E109" i="15"/>
  <c r="D116" i="15"/>
  <c r="E116" i="15"/>
  <c r="E110" i="15"/>
  <c r="D312" i="14"/>
  <c r="F323" i="14"/>
  <c r="C325" i="14"/>
  <c r="E323" i="14"/>
  <c r="E121" i="15"/>
  <c r="D128" i="15"/>
  <c r="E128" i="15"/>
  <c r="E122" i="15"/>
  <c r="E70" i="14"/>
  <c r="F70" i="14"/>
  <c r="C131" i="15"/>
  <c r="E263" i="15"/>
  <c r="D264" i="15"/>
  <c r="E325" i="14"/>
  <c r="C309" i="14"/>
  <c r="E305" i="14"/>
  <c r="F305" i="14"/>
  <c r="F183" i="14"/>
  <c r="E183" i="14"/>
  <c r="E197" i="14"/>
  <c r="F197" i="14"/>
  <c r="D266" i="15"/>
  <c r="E264" i="15"/>
  <c r="F325" i="14"/>
  <c r="D313" i="14"/>
  <c r="D117" i="15"/>
  <c r="E309" i="14"/>
  <c r="C310" i="14"/>
  <c r="F309" i="14"/>
  <c r="D129" i="15"/>
  <c r="E129" i="15"/>
  <c r="C312" i="14"/>
  <c r="E310" i="14"/>
  <c r="F310" i="14"/>
  <c r="E117" i="15"/>
  <c r="D131" i="15"/>
  <c r="E131" i="15"/>
  <c r="D314" i="14"/>
  <c r="D256" i="14"/>
  <c r="D251" i="14"/>
  <c r="D315" i="14"/>
  <c r="E266" i="15"/>
  <c r="D267" i="15"/>
  <c r="D269" i="15"/>
  <c r="E269" i="15"/>
  <c r="D268" i="15"/>
  <c r="E267" i="15"/>
  <c r="D257" i="14"/>
  <c r="D318" i="14"/>
  <c r="C313" i="14"/>
  <c r="F312" i="14"/>
  <c r="E312" i="14"/>
  <c r="C251" i="14"/>
  <c r="C315" i="14"/>
  <c r="C314" i="14"/>
  <c r="C256" i="14"/>
  <c r="E313" i="14"/>
  <c r="F313" i="14"/>
  <c r="E268" i="15"/>
  <c r="D271" i="15"/>
  <c r="E271" i="15"/>
  <c r="F315" i="14"/>
  <c r="E315" i="14"/>
  <c r="C257" i="14"/>
  <c r="E256" i="14"/>
  <c r="F256" i="14"/>
  <c r="C318" i="14"/>
  <c r="F314" i="14"/>
  <c r="E314" i="14"/>
  <c r="F251" i="14"/>
  <c r="E251" i="14"/>
  <c r="F318" i="14"/>
  <c r="E318" i="14"/>
  <c r="F257" i="14"/>
  <c r="E257" i="14"/>
</calcChain>
</file>

<file path=xl/sharedStrings.xml><?xml version="1.0" encoding="utf-8"?>
<sst xmlns="http://schemas.openxmlformats.org/spreadsheetml/2006/main" count="2324" uniqueCount="1001">
  <si>
    <t>MIDDLESEX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</si>
  <si>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</si>
  <si>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</si>
  <si>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</si>
  <si>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</si>
  <si>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</si>
  <si>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</si>
  <si>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</si>
  <si>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</si>
  <si>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</si>
  <si>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</si>
  <si>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</si>
  <si>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</si>
  <si>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</si>
  <si>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</si>
  <si>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</si>
  <si>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</si>
  <si>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</si>
  <si>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</si>
  <si>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</si>
  <si>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</si>
  <si>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</si>
  <si>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</si>
  <si>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</si>
  <si>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</si>
  <si>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</si>
  <si>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</si>
  <si>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</si>
  <si>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</si>
  <si>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</si>
  <si>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</si>
  <si>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</si>
  <si>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</si>
  <si>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</si>
  <si>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</si>
  <si>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</si>
  <si>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</si>
  <si>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</si>
  <si>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</si>
  <si>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</si>
  <si>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</si>
  <si>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</si>
  <si>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</si>
  <si>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</si>
  <si>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</si>
  <si>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</si>
  <si>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</si>
  <si>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</si>
  <si>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</si>
  <si>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</si>
  <si>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</si>
  <si>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</si>
  <si>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</si>
  <si>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</si>
  <si>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</si>
  <si>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</si>
  <si>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</si>
  <si>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</si>
  <si>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</si>
  <si>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</si>
  <si>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</si>
  <si>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</si>
  <si>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</si>
  <si>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</si>
  <si>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</si>
  <si>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</si>
  <si>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</si>
  <si>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</si>
  <si>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</si>
  <si>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</si>
  <si>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</si>
  <si>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</si>
  <si>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</si>
  <si>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</si>
  <si>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</si>
  <si>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</si>
  <si>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</si>
  <si>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</si>
  <si>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</si>
  <si>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</si>
  <si>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</si>
  <si>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</si>
  <si>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</si>
  <si>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</si>
  <si>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</si>
  <si>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</si>
  <si>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</si>
  <si>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</si>
  <si>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</si>
  <si>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</si>
  <si>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</si>
  <si>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</si>
  <si>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</si>
  <si>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</si>
  <si>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</si>
  <si>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</si>
  <si>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</si>
  <si>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</si>
  <si>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</si>
  <si>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</si>
  <si>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</si>
  <si>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</si>
  <si>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</si>
  <si>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</si>
  <si>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</si>
  <si>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</si>
  <si>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</si>
  <si>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</si>
  <si>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</si>
  <si>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</si>
  <si>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</si>
  <si>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</si>
  <si>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</si>
  <si>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</si>
  <si>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</si>
  <si>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</si>
  <si>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</si>
  <si>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</si>
  <si>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</si>
  <si>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</si>
  <si>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</si>
  <si>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</si>
  <si>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</si>
  <si>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</si>
  <si>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</si>
  <si>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</si>
  <si>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</si>
  <si>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</si>
  <si>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</si>
  <si>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</si>
  <si>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</si>
  <si>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</si>
  <si>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</si>
  <si>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</si>
  <si>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</si>
  <si>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</si>
  <si>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</si>
  <si>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</si>
  <si>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</si>
  <si>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</si>
  <si>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</si>
  <si>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</si>
  <si>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</si>
  <si>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</si>
  <si>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</si>
  <si>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</si>
  <si>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</si>
  <si>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</si>
  <si>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</si>
  <si>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</si>
  <si>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</si>
  <si>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</si>
  <si>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</si>
  <si>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</si>
  <si>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</si>
  <si>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</si>
  <si>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</si>
  <si>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</si>
  <si>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</si>
  <si>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</si>
  <si>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</si>
  <si>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</si>
  <si>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</si>
  <si>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</si>
  <si>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</si>
  <si>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</si>
  <si>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</si>
  <si>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</si>
  <si>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</si>
  <si>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</si>
  <si>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</si>
  <si>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</si>
  <si>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</si>
  <si>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</si>
  <si>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</si>
  <si>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</si>
  <si>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</si>
  <si>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</si>
  <si>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</si>
  <si>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</si>
  <si>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</si>
  <si>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</si>
  <si>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</si>
  <si>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</si>
  <si>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</si>
  <si>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</si>
  <si>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</si>
  <si>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</si>
  <si>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</si>
  <si>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</si>
  <si>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</si>
  <si>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</si>
  <si>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</si>
  <si>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</si>
  <si>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</si>
  <si>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</si>
  <si>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</si>
  <si>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</si>
  <si>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</si>
  <si>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</si>
  <si>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</si>
  <si>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</si>
  <si>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</si>
  <si>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</si>
  <si>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</si>
  <si>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</si>
  <si>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</si>
  <si>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</si>
  <si>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</si>
  <si>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</si>
  <si>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</si>
  <si>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</si>
  <si>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</si>
  <si>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</si>
  <si>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</si>
  <si>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</si>
  <si>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</si>
  <si>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</si>
  <si>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</si>
  <si>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</si>
  <si>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</si>
  <si>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</si>
  <si>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</si>
  <si>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</si>
  <si>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</si>
  <si>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</si>
  <si>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</si>
  <si>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</si>
  <si>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</si>
  <si>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</si>
  <si>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</si>
  <si>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</si>
  <si>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</si>
  <si>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</si>
  <si>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</si>
  <si>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</si>
  <si>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</si>
  <si>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</si>
  <si>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</si>
  <si>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</si>
  <si>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</si>
  <si>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</si>
  <si>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</si>
  <si>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</si>
  <si>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</si>
  <si>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</si>
  <si>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</si>
  <si>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</si>
  <si>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</si>
  <si>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</si>
  <si>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</si>
  <si>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</si>
  <si>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</si>
  <si>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</si>
  <si>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</si>
  <si>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</si>
  <si>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</si>
  <si>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</si>
  <si>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</si>
  <si>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</si>
  <si>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</si>
  <si>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</si>
  <si>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</si>
  <si>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</si>
  <si>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</si>
  <si>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</si>
  <si>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</si>
  <si>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</si>
  <si>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</si>
  <si>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</si>
  <si>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</si>
  <si>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</si>
  <si>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</si>
  <si>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</si>
  <si>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</si>
  <si>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</si>
  <si>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</si>
  <si>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</si>
  <si>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</si>
  <si>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</si>
  <si>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</si>
  <si>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</si>
  <si>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</si>
  <si>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</si>
  <si>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</si>
  <si>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</si>
  <si>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</si>
  <si>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</si>
  <si>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</si>
  <si>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</si>
  <si>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</si>
  <si>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</si>
  <si>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</si>
  <si>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</si>
  <si>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</si>
  <si>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</si>
  <si>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</si>
  <si>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</si>
  <si>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</si>
  <si>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</si>
  <si>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</si>
  <si>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</si>
  <si>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</si>
  <si>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</si>
  <si>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</si>
  <si>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</si>
  <si>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</si>
  <si>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</si>
  <si>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</si>
  <si>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</si>
  <si>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</si>
  <si>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</si>
  <si>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</si>
  <si>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</si>
  <si>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</si>
  <si>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</si>
  <si>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</si>
  <si>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</si>
  <si>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</si>
  <si>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</si>
  <si>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</si>
  <si>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</si>
  <si>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</si>
  <si>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</si>
  <si>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</si>
  <si>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</si>
  <si>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</si>
  <si>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</si>
  <si>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</si>
  <si>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</si>
  <si>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</si>
  <si>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</si>
  <si>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</si>
  <si>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</si>
  <si>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</si>
  <si>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</si>
  <si>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</si>
  <si>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</si>
  <si>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</si>
  <si>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</si>
  <si>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</si>
  <si>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</si>
  <si>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</si>
  <si>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</si>
  <si>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</si>
  <si>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</si>
  <si>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</si>
  <si>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</si>
  <si>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</si>
  <si>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</si>
  <si>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</si>
  <si>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</si>
  <si>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</si>
  <si>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</si>
  <si>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</si>
  <si>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</si>
  <si>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</si>
  <si>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</si>
  <si>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</si>
  <si>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</si>
  <si>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</si>
  <si>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</si>
  <si>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</si>
  <si>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</si>
  <si>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</si>
  <si>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</si>
  <si>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</si>
  <si>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</si>
  <si>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</si>
  <si>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</si>
  <si>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</si>
  <si>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</si>
  <si>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</si>
  <si>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</si>
  <si>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</si>
  <si>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</si>
  <si>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</si>
  <si>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</si>
  <si>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</si>
  <si>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</si>
  <si>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</si>
  <si>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</si>
  <si>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</si>
  <si>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</si>
  <si>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</si>
  <si>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</si>
  <si>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</si>
  <si>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</si>
  <si>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</si>
  <si>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</si>
  <si>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</si>
  <si>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</si>
  <si>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</si>
  <si>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</si>
  <si>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</si>
  <si>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</si>
  <si>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</si>
  <si>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</si>
  <si>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</si>
  <si>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</si>
  <si>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</si>
  <si>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</si>
  <si>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</si>
  <si>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</si>
  <si>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</si>
  <si>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</si>
  <si>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</si>
  <si>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</si>
  <si>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</si>
  <si>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</si>
  <si>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</si>
  <si>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</si>
  <si>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</si>
  <si>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</si>
  <si>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</si>
  <si>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</si>
  <si>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</si>
  <si>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</si>
  <si>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</si>
  <si>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</si>
  <si>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</si>
  <si>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</si>
  <si>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</si>
  <si>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</si>
  <si>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</si>
  <si>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</si>
  <si>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</si>
  <si>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</si>
  <si>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</si>
  <si>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</si>
  <si>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</si>
  <si>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</si>
  <si>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</si>
  <si>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</si>
  <si>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</si>
  <si>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</si>
  <si>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</si>
  <si>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</si>
  <si>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</si>
  <si>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</si>
  <si>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</si>
  <si>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</si>
  <si>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</si>
  <si>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</si>
  <si>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</si>
  <si>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</si>
  <si>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</si>
  <si>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</si>
  <si>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</si>
  <si>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</si>
  <si>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</si>
  <si>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</si>
  <si>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</si>
  <si>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</si>
  <si>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</si>
  <si>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</si>
  <si>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</si>
  <si>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</si>
  <si>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</si>
  <si>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</si>
  <si>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</si>
  <si>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</si>
  <si>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</si>
  <si>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</si>
  <si>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</si>
  <si>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</si>
  <si>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</si>
  <si>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</si>
  <si>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</si>
  <si>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</si>
  <si>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</si>
  <si>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</si>
  <si>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</si>
  <si>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</si>
  <si>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</si>
  <si>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</si>
  <si>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</si>
  <si>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</si>
  <si>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</si>
  <si>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</si>
  <si>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</si>
  <si>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</si>
  <si>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</si>
  <si>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</si>
  <si>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</si>
  <si>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</si>
  <si>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</si>
  <si>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</si>
  <si>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</si>
  <si>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</si>
  <si>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</si>
  <si>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MIDDLESEX HEALTH SYSTEM,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</si>
  <si>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</si>
  <si>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</si>
  <si>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</si>
  <si>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</si>
  <si>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</si>
  <si>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</si>
  <si>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</si>
  <si>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</si>
  <si>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</si>
  <si>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</si>
  <si>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</si>
  <si>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</si>
  <si>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</si>
  <si>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</si>
  <si>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</si>
  <si>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</si>
  <si>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</si>
  <si>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</si>
  <si>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</si>
  <si>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</si>
  <si>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</si>
  <si>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</si>
  <si>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</si>
  <si>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</si>
  <si>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</si>
  <si>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</si>
  <si>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</si>
  <si>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</si>
  <si>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</si>
  <si>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</si>
  <si>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</si>
  <si>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</si>
  <si>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</si>
  <si>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</si>
  <si>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</si>
  <si>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</si>
  <si>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</si>
  <si>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</si>
  <si>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</si>
  <si>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</si>
  <si>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</si>
  <si>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</si>
  <si>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</si>
  <si>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</si>
  <si>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</si>
  <si>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</si>
  <si>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</si>
  <si>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</si>
  <si>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</si>
  <si>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</si>
  <si>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</si>
  <si>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</si>
  <si>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</si>
  <si>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</si>
  <si>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</si>
  <si>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</si>
  <si>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</si>
  <si>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</si>
  <si>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</si>
  <si>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</si>
  <si>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</si>
  <si>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</si>
  <si>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</si>
  <si>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</si>
  <si>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</si>
  <si>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</si>
  <si>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</si>
  <si>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</si>
  <si>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</si>
  <si>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</si>
  <si>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</si>
  <si>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</si>
  <si>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</si>
  <si>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</si>
  <si>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</si>
  <si>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</si>
  <si>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</si>
  <si>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</si>
  <si>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</si>
  <si>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</si>
  <si>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</si>
  <si>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</si>
  <si>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</si>
  <si>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</si>
  <si>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</si>
  <si>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</si>
  <si>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</si>
  <si>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</si>
  <si>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</si>
  <si>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</si>
  <si>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</si>
  <si>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</si>
  <si>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</si>
  <si>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</si>
  <si>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</si>
  <si>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</si>
  <si>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</si>
  <si>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</si>
  <si>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</si>
  <si>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</si>
  <si>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</si>
  <si>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</si>
  <si>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</si>
  <si>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</si>
  <si>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</si>
  <si>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</si>
  <si>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</si>
  <si>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</si>
  <si>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</si>
  <si>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MH OP Center Saybrook Road</t>
  </si>
  <si>
    <t>Middlesex Hospital</t>
  </si>
  <si>
    <t xml:space="preserve">      Total Outpatient Surgical Procedures(A)     </t>
  </si>
  <si>
    <t>MH Shoreline Oscopy Room</t>
  </si>
  <si>
    <t xml:space="preserve">      Total Outpatient Endoscopy Procedures(B)     </t>
  </si>
  <si>
    <t>Outpatient Hospital Emergency Room Visits</t>
  </si>
  <si>
    <t>MH Marlborough ED</t>
  </si>
  <si>
    <t>MH Shoreline ED</t>
  </si>
  <si>
    <t>Middlesex Hospital ED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</si>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</sst>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56459000</v>
      </c>
      <c r="D13" s="23">
        <v>54769000</v>
      </c>
      <c r="E13" s="23">
        <f t="shared" ref="E13:E22" si="0">D13-C13</f>
        <v>-1690000</v>
      </c>
      <c r="F13" s="24">
        <f t="shared" ref="F13:F22" si="1">IF(C13=0,0,E13/C13)</f>
        <v>-2.9933225880727606E-2</v>
      </c>
    </row>
    <row r="14" spans="1:8" ht="24" customHeight="1" x14ac:dyDescent="0.2">
      <c r="A14" s="21">
        <v>2</v>
      </c>
      <c r="B14" s="22" t="s">
        <v>17</v>
      </c>
      <c r="C14" s="23">
        <v>10647000</v>
      </c>
      <c r="D14" s="23">
        <v>10187000</v>
      </c>
      <c r="E14" s="23">
        <f t="shared" si="0"/>
        <v>-460000</v>
      </c>
      <c r="F14" s="24">
        <f t="shared" si="1"/>
        <v>-4.3204658589273977E-2</v>
      </c>
    </row>
    <row r="15" spans="1:8" ht="29.25" customHeight="1" x14ac:dyDescent="0.2">
      <c r="A15" s="21">
        <v>3</v>
      </c>
      <c r="B15" s="22" t="s">
        <v>18</v>
      </c>
      <c r="C15" s="23">
        <v>42961000</v>
      </c>
      <c r="D15" s="23">
        <v>45169000</v>
      </c>
      <c r="E15" s="23">
        <f t="shared" si="0"/>
        <v>2208000</v>
      </c>
      <c r="F15" s="24">
        <f t="shared" si="1"/>
        <v>5.1395451688740948E-2</v>
      </c>
    </row>
    <row r="16" spans="1:8" ht="24" customHeight="1" x14ac:dyDescent="0.2">
      <c r="A16" s="21">
        <v>4</v>
      </c>
      <c r="B16" s="22" t="s">
        <v>19</v>
      </c>
      <c r="C16" s="23">
        <v>4082000</v>
      </c>
      <c r="D16" s="23">
        <v>4527000</v>
      </c>
      <c r="E16" s="23">
        <f t="shared" si="0"/>
        <v>445000</v>
      </c>
      <c r="F16" s="24">
        <f t="shared" si="1"/>
        <v>0.10901518863302302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1436000</v>
      </c>
      <c r="D19" s="23">
        <v>1347000</v>
      </c>
      <c r="E19" s="23">
        <f t="shared" si="0"/>
        <v>-89000</v>
      </c>
      <c r="F19" s="24">
        <f t="shared" si="1"/>
        <v>-6.1977715877437327E-2</v>
      </c>
    </row>
    <row r="20" spans="1:11" ht="24" customHeight="1" x14ac:dyDescent="0.2">
      <c r="A20" s="21">
        <v>8</v>
      </c>
      <c r="B20" s="22" t="s">
        <v>23</v>
      </c>
      <c r="C20" s="23">
        <v>2029000</v>
      </c>
      <c r="D20" s="23">
        <v>2156000</v>
      </c>
      <c r="E20" s="23">
        <f t="shared" si="0"/>
        <v>127000</v>
      </c>
      <c r="F20" s="24">
        <f t="shared" si="1"/>
        <v>6.2592410054213898E-2</v>
      </c>
    </row>
    <row r="21" spans="1:11" ht="24" customHeight="1" x14ac:dyDescent="0.2">
      <c r="A21" s="21">
        <v>9</v>
      </c>
      <c r="B21" s="22" t="s">
        <v>24</v>
      </c>
      <c r="C21" s="23">
        <v>2852000</v>
      </c>
      <c r="D21" s="23">
        <v>3653000</v>
      </c>
      <c r="E21" s="23">
        <f t="shared" si="0"/>
        <v>801000</v>
      </c>
      <c r="F21" s="24">
        <f t="shared" si="1"/>
        <v>0.28085553997194951</v>
      </c>
    </row>
    <row r="22" spans="1:11" ht="24" customHeight="1" x14ac:dyDescent="0.25">
      <c r="A22" s="25"/>
      <c r="B22" s="26" t="s">
        <v>25</v>
      </c>
      <c r="C22" s="27">
        <f>SUM(C13:C21)</f>
        <v>120466000</v>
      </c>
      <c r="D22" s="27">
        <f>SUM(D13:D21)</f>
        <v>121808000</v>
      </c>
      <c r="E22" s="27">
        <f t="shared" si="0"/>
        <v>1342000</v>
      </c>
      <c r="F22" s="28">
        <f t="shared" si="1"/>
        <v>1.1140072717613268E-2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8120000</v>
      </c>
      <c r="D25" s="23">
        <v>8207000</v>
      </c>
      <c r="E25" s="23">
        <f>D25-C25</f>
        <v>87000</v>
      </c>
      <c r="F25" s="24">
        <f>IF(C25=0,0,E25/C25)</f>
        <v>1.0714285714285714E-2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80737000</v>
      </c>
      <c r="D26" s="23">
        <v>95568000</v>
      </c>
      <c r="E26" s="23">
        <f>D26-C26</f>
        <v>14831000</v>
      </c>
      <c r="F26" s="24">
        <f>IF(C26=0,0,E26/C26)</f>
        <v>0.18369520789724661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13547000</v>
      </c>
      <c r="D28" s="23">
        <v>15167000</v>
      </c>
      <c r="E28" s="23">
        <f>D28-C28</f>
        <v>1620000</v>
      </c>
      <c r="F28" s="24">
        <f>IF(C28=0,0,E28/C28)</f>
        <v>0.1195836716616225</v>
      </c>
    </row>
    <row r="29" spans="1:11" ht="24" customHeight="1" x14ac:dyDescent="0.25">
      <c r="A29" s="25"/>
      <c r="B29" s="26" t="s">
        <v>32</v>
      </c>
      <c r="C29" s="27">
        <f>SUM(C25:C28)</f>
        <v>102404000</v>
      </c>
      <c r="D29" s="27">
        <f>SUM(D25:D28)</f>
        <v>118942000</v>
      </c>
      <c r="E29" s="27">
        <f>D29-C29</f>
        <v>16538000</v>
      </c>
      <c r="F29" s="28">
        <f>IF(C29=0,0,E29/C29)</f>
        <v>0.16149759775008787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2019000</v>
      </c>
      <c r="D32" s="23">
        <v>16627000</v>
      </c>
      <c r="E32" s="23">
        <f>D32-C32</f>
        <v>14608000</v>
      </c>
      <c r="F32" s="24">
        <f>IF(C32=0,0,E32/C32)</f>
        <v>7.2352649826646855</v>
      </c>
    </row>
    <row r="33" spans="1:8" ht="24" customHeight="1" x14ac:dyDescent="0.2">
      <c r="A33" s="21">
        <v>7</v>
      </c>
      <c r="B33" s="22" t="s">
        <v>35</v>
      </c>
      <c r="C33" s="23">
        <v>2995000</v>
      </c>
      <c r="D33" s="23">
        <v>2862000</v>
      </c>
      <c r="E33" s="23">
        <f>D33-C33</f>
        <v>-133000</v>
      </c>
      <c r="F33" s="24">
        <f>IF(C33=0,0,E33/C33)</f>
        <v>-4.4407345575959933E-2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411695000</v>
      </c>
      <c r="D36" s="23">
        <v>373198000</v>
      </c>
      <c r="E36" s="23">
        <f>D36-C36</f>
        <v>-38497000</v>
      </c>
      <c r="F36" s="24">
        <f>IF(C36=0,0,E36/C36)</f>
        <v>-9.3508543946368067E-2</v>
      </c>
    </row>
    <row r="37" spans="1:8" ht="24" customHeight="1" x14ac:dyDescent="0.2">
      <c r="A37" s="21">
        <v>2</v>
      </c>
      <c r="B37" s="22" t="s">
        <v>39</v>
      </c>
      <c r="C37" s="23">
        <v>258275000</v>
      </c>
      <c r="D37" s="23">
        <v>208046000</v>
      </c>
      <c r="E37" s="23">
        <f>D37-C37</f>
        <v>-50229000</v>
      </c>
      <c r="F37" s="24">
        <f>IF(C37=0,0,E37/C37)</f>
        <v>-0.1944787532668667</v>
      </c>
    </row>
    <row r="38" spans="1:8" ht="24" customHeight="1" x14ac:dyDescent="0.25">
      <c r="A38" s="25"/>
      <c r="B38" s="26" t="s">
        <v>40</v>
      </c>
      <c r="C38" s="27">
        <f>C36-C37</f>
        <v>153420000</v>
      </c>
      <c r="D38" s="27">
        <f>D36-D37</f>
        <v>165152000</v>
      </c>
      <c r="E38" s="27">
        <f>D38-C38</f>
        <v>11732000</v>
      </c>
      <c r="F38" s="28">
        <f>IF(C38=0,0,E38/C38)</f>
        <v>7.6469821405292654E-2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21322000</v>
      </c>
      <c r="D40" s="23">
        <v>14694000</v>
      </c>
      <c r="E40" s="23">
        <f>D40-C40</f>
        <v>-6628000</v>
      </c>
      <c r="F40" s="24">
        <f>IF(C40=0,0,E40/C40)</f>
        <v>-0.31085264046524719</v>
      </c>
    </row>
    <row r="41" spans="1:8" ht="24" customHeight="1" x14ac:dyDescent="0.25">
      <c r="A41" s="25"/>
      <c r="B41" s="26" t="s">
        <v>42</v>
      </c>
      <c r="C41" s="27">
        <f>+C38+C40</f>
        <v>174742000</v>
      </c>
      <c r="D41" s="27">
        <f>+D38+D40</f>
        <v>179846000</v>
      </c>
      <c r="E41" s="27">
        <f>D41-C41</f>
        <v>5104000</v>
      </c>
      <c r="F41" s="28">
        <f>IF(C41=0,0,E41/C41)</f>
        <v>2.9208776367444577E-2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402626000</v>
      </c>
      <c r="D43" s="27">
        <f>D22+D29+D31+D32+D33+D41</f>
        <v>440085000</v>
      </c>
      <c r="E43" s="27">
        <f>D43-C43</f>
        <v>37459000</v>
      </c>
      <c r="F43" s="28">
        <f>IF(C43=0,0,E43/C43)</f>
        <v>9.3036713972768775E-2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18782000</v>
      </c>
      <c r="D49" s="23">
        <v>19149000</v>
      </c>
      <c r="E49" s="23">
        <f t="shared" ref="E49:E56" si="2">D49-C49</f>
        <v>367000</v>
      </c>
      <c r="F49" s="24">
        <f t="shared" ref="F49:F56" si="3">IF(C49=0,0,E49/C49)</f>
        <v>1.9539985092109465E-2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29606000</v>
      </c>
      <c r="D50" s="23">
        <v>32727000</v>
      </c>
      <c r="E50" s="23">
        <f t="shared" si="2"/>
        <v>3121000</v>
      </c>
      <c r="F50" s="24">
        <f t="shared" si="3"/>
        <v>0.10541782071201783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207000</v>
      </c>
      <c r="D51" s="23">
        <v>2944000</v>
      </c>
      <c r="E51" s="23">
        <f t="shared" si="2"/>
        <v>2737000</v>
      </c>
      <c r="F51" s="24">
        <f t="shared" si="3"/>
        <v>13.222222222222221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3060000</v>
      </c>
      <c r="D53" s="23">
        <v>3045000</v>
      </c>
      <c r="E53" s="23">
        <f t="shared" si="2"/>
        <v>-15000</v>
      </c>
      <c r="F53" s="24">
        <f t="shared" si="3"/>
        <v>-4.9019607843137254E-3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63000</v>
      </c>
      <c r="D54" s="23">
        <v>1573000</v>
      </c>
      <c r="E54" s="23">
        <f t="shared" si="2"/>
        <v>1510000</v>
      </c>
      <c r="F54" s="24">
        <f t="shared" si="3"/>
        <v>23.968253968253968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9399000</v>
      </c>
      <c r="D55" s="23">
        <v>10211000</v>
      </c>
      <c r="E55" s="23">
        <f t="shared" si="2"/>
        <v>812000</v>
      </c>
      <c r="F55" s="24">
        <f t="shared" si="3"/>
        <v>8.6392169379721245E-2</v>
      </c>
    </row>
    <row r="56" spans="1:6" ht="24" customHeight="1" x14ac:dyDescent="0.25">
      <c r="A56" s="25"/>
      <c r="B56" s="26" t="s">
        <v>54</v>
      </c>
      <c r="C56" s="27">
        <f>SUM(C49:C55)</f>
        <v>61117000</v>
      </c>
      <c r="D56" s="27">
        <f>SUM(D49:D55)</f>
        <v>69649000</v>
      </c>
      <c r="E56" s="27">
        <f t="shared" si="2"/>
        <v>8532000</v>
      </c>
      <c r="F56" s="28">
        <f t="shared" si="3"/>
        <v>0.13960109298558501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66442000</v>
      </c>
      <c r="D59" s="23">
        <v>63285000</v>
      </c>
      <c r="E59" s="23">
        <f>D59-C59</f>
        <v>-3157000</v>
      </c>
      <c r="F59" s="24">
        <f>IF(C59=0,0,E59/C59)</f>
        <v>-4.7515125974534181E-2</v>
      </c>
    </row>
    <row r="60" spans="1:6" ht="24" customHeight="1" x14ac:dyDescent="0.2">
      <c r="A60" s="21">
        <v>2</v>
      </c>
      <c r="B60" s="22" t="s">
        <v>57</v>
      </c>
      <c r="C60" s="23">
        <v>89000</v>
      </c>
      <c r="D60" s="23">
        <v>47000</v>
      </c>
      <c r="E60" s="23">
        <f>D60-C60</f>
        <v>-42000</v>
      </c>
      <c r="F60" s="24">
        <f>IF(C60=0,0,E60/C60)</f>
        <v>-0.47191011235955055</v>
      </c>
    </row>
    <row r="61" spans="1:6" ht="24" customHeight="1" x14ac:dyDescent="0.25">
      <c r="A61" s="25"/>
      <c r="B61" s="26" t="s">
        <v>58</v>
      </c>
      <c r="C61" s="27">
        <f>SUM(C59:C60)</f>
        <v>66531000</v>
      </c>
      <c r="D61" s="27">
        <f>SUM(D59:D60)</f>
        <v>63332000</v>
      </c>
      <c r="E61" s="27">
        <f>D61-C61</f>
        <v>-3199000</v>
      </c>
      <c r="F61" s="28">
        <f>IF(C61=0,0,E61/C61)</f>
        <v>-4.8082848596894684E-2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117232000</v>
      </c>
      <c r="D63" s="23">
        <v>129719000</v>
      </c>
      <c r="E63" s="23">
        <f>D63-C63</f>
        <v>12487000</v>
      </c>
      <c r="F63" s="24">
        <f>IF(C63=0,0,E63/C63)</f>
        <v>0.10651528592875666</v>
      </c>
    </row>
    <row r="64" spans="1:6" ht="24" customHeight="1" x14ac:dyDescent="0.2">
      <c r="A64" s="21">
        <v>4</v>
      </c>
      <c r="B64" s="22" t="s">
        <v>60</v>
      </c>
      <c r="C64" s="23">
        <v>19674000</v>
      </c>
      <c r="D64" s="23">
        <v>16380000</v>
      </c>
      <c r="E64" s="23">
        <f>D64-C64</f>
        <v>-3294000</v>
      </c>
      <c r="F64" s="24">
        <f>IF(C64=0,0,E64/C64)</f>
        <v>-0.16742909423604757</v>
      </c>
    </row>
    <row r="65" spans="1:6" ht="24" customHeight="1" x14ac:dyDescent="0.25">
      <c r="A65" s="25"/>
      <c r="B65" s="26" t="s">
        <v>61</v>
      </c>
      <c r="C65" s="27">
        <f>SUM(C61:C64)</f>
        <v>203437000</v>
      </c>
      <c r="D65" s="27">
        <f>SUM(D61:D64)</f>
        <v>209431000</v>
      </c>
      <c r="E65" s="27">
        <f>D65-C65</f>
        <v>5994000</v>
      </c>
      <c r="F65" s="28">
        <f>IF(C65=0,0,E65/C65)</f>
        <v>2.946366688458835E-2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124933000</v>
      </c>
      <c r="D70" s="23">
        <v>144992000</v>
      </c>
      <c r="E70" s="23">
        <f>D70-C70</f>
        <v>20059000</v>
      </c>
      <c r="F70" s="24">
        <f>IF(C70=0,0,E70/C70)</f>
        <v>0.16055805911968815</v>
      </c>
    </row>
    <row r="71" spans="1:6" ht="24" customHeight="1" x14ac:dyDescent="0.2">
      <c r="A71" s="21">
        <v>2</v>
      </c>
      <c r="B71" s="22" t="s">
        <v>65</v>
      </c>
      <c r="C71" s="23">
        <v>6259000</v>
      </c>
      <c r="D71" s="23">
        <v>9049000</v>
      </c>
      <c r="E71" s="23">
        <f>D71-C71</f>
        <v>2790000</v>
      </c>
      <c r="F71" s="24">
        <f>IF(C71=0,0,E71/C71)</f>
        <v>0.44575810832401341</v>
      </c>
    </row>
    <row r="72" spans="1:6" ht="24" customHeight="1" x14ac:dyDescent="0.2">
      <c r="A72" s="21">
        <v>3</v>
      </c>
      <c r="B72" s="22" t="s">
        <v>66</v>
      </c>
      <c r="C72" s="23">
        <v>6880000</v>
      </c>
      <c r="D72" s="23">
        <v>6964000</v>
      </c>
      <c r="E72" s="23">
        <f>D72-C72</f>
        <v>84000</v>
      </c>
      <c r="F72" s="24">
        <f>IF(C72=0,0,E72/C72)</f>
        <v>1.2209302325581395E-2</v>
      </c>
    </row>
    <row r="73" spans="1:6" ht="24" customHeight="1" x14ac:dyDescent="0.25">
      <c r="A73" s="21"/>
      <c r="B73" s="26" t="s">
        <v>67</v>
      </c>
      <c r="C73" s="27">
        <f>SUM(C70:C72)</f>
        <v>138072000</v>
      </c>
      <c r="D73" s="27">
        <f>SUM(D70:D72)</f>
        <v>161005000</v>
      </c>
      <c r="E73" s="27">
        <f>D73-C73</f>
        <v>22933000</v>
      </c>
      <c r="F73" s="28">
        <f>IF(C73=0,0,E73/C73)</f>
        <v>0.16609450141954923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402626000</v>
      </c>
      <c r="D75" s="27">
        <f>D56+D65+D67+D73</f>
        <v>440085000</v>
      </c>
      <c r="E75" s="27">
        <f>D75-C75</f>
        <v>37459000</v>
      </c>
      <c r="F75" s="28">
        <f>IF(C75=0,0,E75/C75)</f>
        <v>9.3036713972768775E-2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FILING&amp;RMIDDLESEX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337751000</v>
      </c>
      <c r="D11" s="51">
        <v>345032000</v>
      </c>
      <c r="E11" s="51">
        <v>361466000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9955000</v>
      </c>
      <c r="D12" s="49">
        <v>14403000</v>
      </c>
      <c r="E12" s="49">
        <v>12534000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347706000</v>
      </c>
      <c r="D13" s="51">
        <f>+D11+D12</f>
        <v>359435000</v>
      </c>
      <c r="E13" s="51">
        <f>+E11+E12</f>
        <v>374000000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328329000</v>
      </c>
      <c r="D14" s="49">
        <v>344623000</v>
      </c>
      <c r="E14" s="49">
        <v>351657000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19377000</v>
      </c>
      <c r="D15" s="51">
        <f>+D13-D14</f>
        <v>14812000</v>
      </c>
      <c r="E15" s="51">
        <f>+E13-E14</f>
        <v>22343000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2815000</v>
      </c>
      <c r="D16" s="49">
        <v>5151000</v>
      </c>
      <c r="E16" s="49">
        <v>3906000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22192000</v>
      </c>
      <c r="D17" s="51">
        <f>D15+D16</f>
        <v>19963000</v>
      </c>
      <c r="E17" s="51">
        <f>E15+E16</f>
        <v>26249000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5.5280568068674915E-2</v>
      </c>
      <c r="D20" s="169">
        <f>IF(+D27=0,0,+D24/+D27)</f>
        <v>4.062690284322492E-2</v>
      </c>
      <c r="E20" s="169">
        <f>IF(+E27=0,0,+E24/+E27)</f>
        <v>5.9123168195265488E-2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8.0309025707446923E-3</v>
      </c>
      <c r="D21" s="169">
        <f>IF(+D27=0,0,+D26/+D27)</f>
        <v>1.4128353804040747E-2</v>
      </c>
      <c r="E21" s="169">
        <f>IF(+E27=0,0,+E26/+E27)</f>
        <v>1.0335903637412477E-2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6.3311470639419609E-2</v>
      </c>
      <c r="D22" s="169">
        <f>IF(+D27=0,0,+D28/+D27)</f>
        <v>5.4755256647265667E-2</v>
      </c>
      <c r="E22" s="169">
        <f>IF(+E27=0,0,+E28/+E27)</f>
        <v>6.9459071832677965E-2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19377000</v>
      </c>
      <c r="D24" s="51">
        <f>+D15</f>
        <v>14812000</v>
      </c>
      <c r="E24" s="51">
        <f>+E15</f>
        <v>22343000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347706000</v>
      </c>
      <c r="D25" s="51">
        <f>+D13</f>
        <v>359435000</v>
      </c>
      <c r="E25" s="51">
        <f>+E13</f>
        <v>374000000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2815000</v>
      </c>
      <c r="D26" s="51">
        <f>+D16</f>
        <v>5151000</v>
      </c>
      <c r="E26" s="51">
        <f>+E16</f>
        <v>3906000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350521000</v>
      </c>
      <c r="D27" s="51">
        <f>SUM(D25:D26)</f>
        <v>364586000</v>
      </c>
      <c r="E27" s="51">
        <f>SUM(E25:E26)</f>
        <v>377906000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22192000</v>
      </c>
      <c r="D28" s="51">
        <f>+D17</f>
        <v>19963000</v>
      </c>
      <c r="E28" s="51">
        <f>+E17</f>
        <v>26249000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134810000</v>
      </c>
      <c r="D31" s="51">
        <v>130362000</v>
      </c>
      <c r="E31" s="52">
        <v>150651000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148452000</v>
      </c>
      <c r="D32" s="51">
        <v>143545000</v>
      </c>
      <c r="E32" s="51">
        <v>166810000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6471000</v>
      </c>
      <c r="D33" s="51">
        <f>+D32-C32</f>
        <v>-4907000</v>
      </c>
      <c r="E33" s="51">
        <f>+E32-D32</f>
        <v>23265000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1.0455000000000001</v>
      </c>
      <c r="D34" s="171">
        <f>IF(C32=0,0,+D33/C32)</f>
        <v>-3.3054455312154771E-2</v>
      </c>
      <c r="E34" s="171">
        <f>IF(D32=0,0,+E33/D32)</f>
        <v>0.1620746107492424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2.2053039281358959</v>
      </c>
      <c r="D38" s="269">
        <f>IF(+D40=0,0,+D39/+D40)</f>
        <v>1.9734092166627144</v>
      </c>
      <c r="E38" s="269">
        <f>IF(+E40=0,0,+E39/+E40)</f>
        <v>1.7643449465716829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128395000</v>
      </c>
      <c r="D39" s="270">
        <v>124828000</v>
      </c>
      <c r="E39" s="270">
        <v>126807000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58221000</v>
      </c>
      <c r="D40" s="270">
        <v>63255000</v>
      </c>
      <c r="E40" s="270">
        <v>71872000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95.832498359970899</v>
      </c>
      <c r="D42" s="271">
        <f>IF((D48/365)=0,0,+D45/(D48/365))</f>
        <v>79.521462338089634</v>
      </c>
      <c r="E42" s="271">
        <f>IF((E48/365)=0,0,+E45/(E48/365))</f>
        <v>76.15288794751504</v>
      </c>
    </row>
    <row r="43" spans="1:14" ht="24" customHeight="1" x14ac:dyDescent="0.2">
      <c r="A43" s="17">
        <v>5</v>
      </c>
      <c r="B43" s="188" t="s">
        <v>16</v>
      </c>
      <c r="C43" s="272">
        <v>52873000</v>
      </c>
      <c r="D43" s="272">
        <v>59543000</v>
      </c>
      <c r="E43" s="272">
        <v>58568000</v>
      </c>
    </row>
    <row r="44" spans="1:14" ht="24" customHeight="1" x14ac:dyDescent="0.2">
      <c r="A44" s="17">
        <v>6</v>
      </c>
      <c r="B44" s="273" t="s">
        <v>17</v>
      </c>
      <c r="C44" s="274">
        <v>27573000</v>
      </c>
      <c r="D44" s="274">
        <v>10647000</v>
      </c>
      <c r="E44" s="274">
        <v>10187000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80446000</v>
      </c>
      <c r="D45" s="270">
        <f>+D43+D44</f>
        <v>70190000</v>
      </c>
      <c r="E45" s="270">
        <f>+E43+E44</f>
        <v>68755000</v>
      </c>
    </row>
    <row r="46" spans="1:14" ht="24" customHeight="1" x14ac:dyDescent="0.2">
      <c r="A46" s="17">
        <v>8</v>
      </c>
      <c r="B46" s="45" t="s">
        <v>336</v>
      </c>
      <c r="C46" s="270">
        <f>+C14</f>
        <v>328329000</v>
      </c>
      <c r="D46" s="270">
        <f>+D14</f>
        <v>344623000</v>
      </c>
      <c r="E46" s="270">
        <f>+E14</f>
        <v>351657000</v>
      </c>
    </row>
    <row r="47" spans="1:14" ht="24" customHeight="1" x14ac:dyDescent="0.2">
      <c r="A47" s="17">
        <v>9</v>
      </c>
      <c r="B47" s="45" t="s">
        <v>359</v>
      </c>
      <c r="C47" s="270">
        <v>21932000</v>
      </c>
      <c r="D47" s="270">
        <v>22454000</v>
      </c>
      <c r="E47" s="270">
        <v>22115000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306397000</v>
      </c>
      <c r="D48" s="270">
        <f>+D46-D47</f>
        <v>322169000</v>
      </c>
      <c r="E48" s="270">
        <f>+E46-E47</f>
        <v>329542000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42.691094919037994</v>
      </c>
      <c r="D50" s="278">
        <f>IF((D55/365)=0,0,+D54/(D55/365))</f>
        <v>46.156052192260425</v>
      </c>
      <c r="E50" s="278">
        <f>IF((E55/365)=0,0,+E54/(E55/365))</f>
        <v>43.427473123336632</v>
      </c>
    </row>
    <row r="51" spans="1:5" ht="24" customHeight="1" x14ac:dyDescent="0.2">
      <c r="A51" s="17">
        <v>12</v>
      </c>
      <c r="B51" s="188" t="s">
        <v>362</v>
      </c>
      <c r="C51" s="279">
        <v>39170000</v>
      </c>
      <c r="D51" s="279">
        <v>43838000</v>
      </c>
      <c r="E51" s="279">
        <v>45951000</v>
      </c>
    </row>
    <row r="52" spans="1:5" ht="24" customHeight="1" x14ac:dyDescent="0.2">
      <c r="A52" s="17">
        <v>13</v>
      </c>
      <c r="B52" s="188" t="s">
        <v>21</v>
      </c>
      <c r="C52" s="270">
        <v>334000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207000</v>
      </c>
      <c r="E53" s="270">
        <v>2944000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39504000</v>
      </c>
      <c r="D54" s="280">
        <f>+D51+D52-D53</f>
        <v>43631000</v>
      </c>
      <c r="E54" s="280">
        <f>+E51+E52-E53</f>
        <v>43007000</v>
      </c>
    </row>
    <row r="55" spans="1:5" ht="24" customHeight="1" x14ac:dyDescent="0.2">
      <c r="A55" s="17">
        <v>16</v>
      </c>
      <c r="B55" s="45" t="s">
        <v>75</v>
      </c>
      <c r="C55" s="270">
        <f>+C11</f>
        <v>337751000</v>
      </c>
      <c r="D55" s="270">
        <f>+D11</f>
        <v>345032000</v>
      </c>
      <c r="E55" s="270">
        <f>+E11</f>
        <v>361466000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69.356635345646339</v>
      </c>
      <c r="D57" s="283">
        <f>IF((D61/365)=0,0,+D58/(D61/365))</f>
        <v>71.664483547454907</v>
      </c>
      <c r="E57" s="283">
        <f>IF((E61/365)=0,0,+E58/(E61/365))</f>
        <v>79.60527034490292</v>
      </c>
    </row>
    <row r="58" spans="1:5" ht="24" customHeight="1" x14ac:dyDescent="0.2">
      <c r="A58" s="17">
        <v>18</v>
      </c>
      <c r="B58" s="45" t="s">
        <v>54</v>
      </c>
      <c r="C58" s="281">
        <f>+C40</f>
        <v>58221000</v>
      </c>
      <c r="D58" s="281">
        <f>+D40</f>
        <v>63255000</v>
      </c>
      <c r="E58" s="281">
        <f>+E40</f>
        <v>71872000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328329000</v>
      </c>
      <c r="D59" s="281">
        <f t="shared" si="0"/>
        <v>344623000</v>
      </c>
      <c r="E59" s="281">
        <f t="shared" si="0"/>
        <v>351657000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21932000</v>
      </c>
      <c r="D60" s="176">
        <f t="shared" si="0"/>
        <v>22454000</v>
      </c>
      <c r="E60" s="176">
        <f t="shared" si="0"/>
        <v>22115000</v>
      </c>
    </row>
    <row r="61" spans="1:5" ht="24" customHeight="1" x14ac:dyDescent="0.2">
      <c r="A61" s="17">
        <v>21</v>
      </c>
      <c r="B61" s="45" t="s">
        <v>365</v>
      </c>
      <c r="C61" s="281">
        <f>+C59-C60</f>
        <v>306397000</v>
      </c>
      <c r="D61" s="281">
        <f>+D59-D60</f>
        <v>322169000</v>
      </c>
      <c r="E61" s="281">
        <f>+E59-E60</f>
        <v>329542000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36.56831494883707</v>
      </c>
      <c r="D65" s="284">
        <f>IF(D67=0,0,(D66/D67)*100)</f>
        <v>34.445894904565591</v>
      </c>
      <c r="E65" s="284">
        <f>IF(E67=0,0,(E66/E67)*100)</f>
        <v>36.710997453712366</v>
      </c>
    </row>
    <row r="66" spans="1:5" ht="24" customHeight="1" x14ac:dyDescent="0.2">
      <c r="A66" s="17">
        <v>2</v>
      </c>
      <c r="B66" s="45" t="s">
        <v>67</v>
      </c>
      <c r="C66" s="281">
        <f>+C32</f>
        <v>148452000</v>
      </c>
      <c r="D66" s="281">
        <f>+D32</f>
        <v>143545000</v>
      </c>
      <c r="E66" s="281">
        <f>+E32</f>
        <v>166810000</v>
      </c>
    </row>
    <row r="67" spans="1:5" ht="24" customHeight="1" x14ac:dyDescent="0.2">
      <c r="A67" s="17">
        <v>3</v>
      </c>
      <c r="B67" s="45" t="s">
        <v>43</v>
      </c>
      <c r="C67" s="281">
        <v>405958000</v>
      </c>
      <c r="D67" s="281">
        <v>416726000</v>
      </c>
      <c r="E67" s="281">
        <v>454387000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32.821809796555954</v>
      </c>
      <c r="D69" s="284">
        <f>IF(D75=0,0,(D72/D75)*100)</f>
        <v>31.19149342961563</v>
      </c>
      <c r="E69" s="284">
        <f>IF(E75=0,0,(E72/E75)*100)</f>
        <v>34.238788007504162</v>
      </c>
    </row>
    <row r="70" spans="1:5" ht="24" customHeight="1" x14ac:dyDescent="0.2">
      <c r="A70" s="17">
        <v>5</v>
      </c>
      <c r="B70" s="45" t="s">
        <v>370</v>
      </c>
      <c r="C70" s="281">
        <f>+C28</f>
        <v>22192000</v>
      </c>
      <c r="D70" s="281">
        <f>+D28</f>
        <v>19963000</v>
      </c>
      <c r="E70" s="281">
        <f>+E28</f>
        <v>26249000</v>
      </c>
    </row>
    <row r="71" spans="1:5" ht="24" customHeight="1" x14ac:dyDescent="0.2">
      <c r="A71" s="17">
        <v>6</v>
      </c>
      <c r="B71" s="45" t="s">
        <v>359</v>
      </c>
      <c r="C71" s="176">
        <f>+C47</f>
        <v>21932000</v>
      </c>
      <c r="D71" s="176">
        <f>+D47</f>
        <v>22454000</v>
      </c>
      <c r="E71" s="176">
        <f>+E47</f>
        <v>22115000</v>
      </c>
    </row>
    <row r="72" spans="1:5" ht="24" customHeight="1" x14ac:dyDescent="0.2">
      <c r="A72" s="17">
        <v>7</v>
      </c>
      <c r="B72" s="45" t="s">
        <v>371</v>
      </c>
      <c r="C72" s="281">
        <f>+C70+C71</f>
        <v>44124000</v>
      </c>
      <c r="D72" s="281">
        <f>+D70+D71</f>
        <v>42417000</v>
      </c>
      <c r="E72" s="281">
        <f>+E70+E71</f>
        <v>48364000</v>
      </c>
    </row>
    <row r="73" spans="1:5" ht="24" customHeight="1" x14ac:dyDescent="0.2">
      <c r="A73" s="17">
        <v>8</v>
      </c>
      <c r="B73" s="45" t="s">
        <v>54</v>
      </c>
      <c r="C73" s="270">
        <f>+C40</f>
        <v>58221000</v>
      </c>
      <c r="D73" s="270">
        <f>+D40</f>
        <v>63255000</v>
      </c>
      <c r="E73" s="270">
        <f>+E40</f>
        <v>71872000</v>
      </c>
    </row>
    <row r="74" spans="1:5" ht="24" customHeight="1" x14ac:dyDescent="0.2">
      <c r="A74" s="17">
        <v>9</v>
      </c>
      <c r="B74" s="45" t="s">
        <v>58</v>
      </c>
      <c r="C74" s="281">
        <v>76214000</v>
      </c>
      <c r="D74" s="281">
        <v>72734000</v>
      </c>
      <c r="E74" s="281">
        <v>69383000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134435000</v>
      </c>
      <c r="D75" s="270">
        <f>+D73+D74</f>
        <v>135989000</v>
      </c>
      <c r="E75" s="270">
        <f>+E73+E74</f>
        <v>141255000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33.923246063044701</v>
      </c>
      <c r="D77" s="286">
        <f>IF(D80=0,0,(D78/D80)*100)</f>
        <v>33.629709773024658</v>
      </c>
      <c r="E77" s="286">
        <f>IF(E80=0,0,(E78/E80)*100)</f>
        <v>29.375553043485624</v>
      </c>
    </row>
    <row r="78" spans="1:5" ht="24" customHeight="1" x14ac:dyDescent="0.2">
      <c r="A78" s="17">
        <v>12</v>
      </c>
      <c r="B78" s="45" t="s">
        <v>58</v>
      </c>
      <c r="C78" s="270">
        <f>+C74</f>
        <v>76214000</v>
      </c>
      <c r="D78" s="270">
        <f>+D74</f>
        <v>72734000</v>
      </c>
      <c r="E78" s="270">
        <f>+E74</f>
        <v>69383000</v>
      </c>
    </row>
    <row r="79" spans="1:5" ht="24" customHeight="1" x14ac:dyDescent="0.2">
      <c r="A79" s="17">
        <v>13</v>
      </c>
      <c r="B79" s="45" t="s">
        <v>67</v>
      </c>
      <c r="C79" s="270">
        <f>+C32</f>
        <v>148452000</v>
      </c>
      <c r="D79" s="270">
        <f>+D32</f>
        <v>143545000</v>
      </c>
      <c r="E79" s="270">
        <f>+E32</f>
        <v>166810000</v>
      </c>
    </row>
    <row r="80" spans="1:5" ht="24" customHeight="1" x14ac:dyDescent="0.2">
      <c r="A80" s="17">
        <v>14</v>
      </c>
      <c r="B80" s="45" t="s">
        <v>374</v>
      </c>
      <c r="C80" s="270">
        <f>+C78+C79</f>
        <v>224666000</v>
      </c>
      <c r="D80" s="270">
        <f>+D78+D79</f>
        <v>216279000</v>
      </c>
      <c r="E80" s="270">
        <f>+E78+E79</f>
        <v>236193000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FILING&amp;R&amp;8MIDDLESEX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40086</v>
      </c>
      <c r="D11" s="296">
        <v>11093</v>
      </c>
      <c r="E11" s="296">
        <v>11112</v>
      </c>
      <c r="F11" s="297">
        <v>119</v>
      </c>
      <c r="G11" s="297">
        <v>168</v>
      </c>
      <c r="H11" s="298">
        <f>IF(F11=0,0,$C11/(F11*365))</f>
        <v>0.9228962818003914</v>
      </c>
      <c r="I11" s="298">
        <f>IF(G11=0,0,$C11/(G11*365))</f>
        <v>0.65371819960861055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6789</v>
      </c>
      <c r="D13" s="296">
        <v>750</v>
      </c>
      <c r="E13" s="296">
        <v>0</v>
      </c>
      <c r="F13" s="297">
        <v>26</v>
      </c>
      <c r="G13" s="297">
        <v>26</v>
      </c>
      <c r="H13" s="298">
        <f>IF(F13=0,0,$C13/(F13*365))</f>
        <v>0.7153846153846154</v>
      </c>
      <c r="I13" s="298">
        <f>IF(G13=0,0,$C13/(G13*365))</f>
        <v>0.7153846153846154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6208</v>
      </c>
      <c r="D16" s="296">
        <v>789</v>
      </c>
      <c r="E16" s="296">
        <v>789</v>
      </c>
      <c r="F16" s="297">
        <v>18</v>
      </c>
      <c r="G16" s="297">
        <v>20</v>
      </c>
      <c r="H16" s="298">
        <f t="shared" si="0"/>
        <v>0.94490106544901065</v>
      </c>
      <c r="I16" s="298">
        <f t="shared" si="0"/>
        <v>0.85041095890410956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6208</v>
      </c>
      <c r="D17" s="300">
        <f>SUM(D15:D16)</f>
        <v>789</v>
      </c>
      <c r="E17" s="300">
        <f>SUM(E15:E16)</f>
        <v>789</v>
      </c>
      <c r="F17" s="300">
        <f>SUM(F15:F16)</f>
        <v>18</v>
      </c>
      <c r="G17" s="300">
        <f>SUM(G15:G16)</f>
        <v>20</v>
      </c>
      <c r="H17" s="301">
        <f t="shared" si="0"/>
        <v>0.94490106544901065</v>
      </c>
      <c r="I17" s="301">
        <f t="shared" si="0"/>
        <v>0.85041095890410956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3028</v>
      </c>
      <c r="D21" s="296">
        <v>1136</v>
      </c>
      <c r="E21" s="296">
        <v>1138</v>
      </c>
      <c r="F21" s="297">
        <v>10</v>
      </c>
      <c r="G21" s="297">
        <v>23</v>
      </c>
      <c r="H21" s="298">
        <f>IF(F21=0,0,$C21/(F21*365))</f>
        <v>0.82958904109589038</v>
      </c>
      <c r="I21" s="298">
        <f>IF(G21=0,0,$C21/(G21*365))</f>
        <v>0.36069088743299582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3362</v>
      </c>
      <c r="D23" s="296">
        <v>1140</v>
      </c>
      <c r="E23" s="296">
        <v>1142</v>
      </c>
      <c r="F23" s="297">
        <v>10</v>
      </c>
      <c r="G23" s="297">
        <v>23</v>
      </c>
      <c r="H23" s="298">
        <f>IF(F23=0,0,$C23/(F23*365))</f>
        <v>0.92109589041095885</v>
      </c>
      <c r="I23" s="298">
        <f>IF(G23=0,0,$C23/(G23*365))</f>
        <v>0.40047647409172127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56111</v>
      </c>
      <c r="D31" s="300">
        <f>SUM(D10:D29)-D13-D17-D23</f>
        <v>13018</v>
      </c>
      <c r="E31" s="300">
        <f>SUM(E10:E29)-E17-E23</f>
        <v>13039</v>
      </c>
      <c r="F31" s="300">
        <f>SUM(F10:F29)-F17-F23</f>
        <v>173</v>
      </c>
      <c r="G31" s="300">
        <f>SUM(G10:G29)-G17-G23</f>
        <v>237</v>
      </c>
      <c r="H31" s="301">
        <f>IF(F31=0,0,$C31/(F31*365))</f>
        <v>0.88860559030802122</v>
      </c>
      <c r="I31" s="301">
        <f>IF(G31=0,0,$C31/(G31*365))</f>
        <v>0.64864458701809147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59473</v>
      </c>
      <c r="D33" s="300">
        <f>SUM(D10:D29)-D13-D17</f>
        <v>14158</v>
      </c>
      <c r="E33" s="300">
        <f>SUM(E10:E29)-E17</f>
        <v>14181</v>
      </c>
      <c r="F33" s="300">
        <f>SUM(F10:F29)-F17</f>
        <v>183</v>
      </c>
      <c r="G33" s="300">
        <f>SUM(G10:G29)-G17</f>
        <v>260</v>
      </c>
      <c r="H33" s="301">
        <f>IF(F33=0,0,$C33/(F33*365))</f>
        <v>0.89038101654315438</v>
      </c>
      <c r="I33" s="301">
        <f>IF(G33=0,0,$C33/(G33*365))</f>
        <v>0.62669125395152792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59473</v>
      </c>
      <c r="D36" s="300">
        <f t="shared" si="1"/>
        <v>14158</v>
      </c>
      <c r="E36" s="300">
        <f t="shared" si="1"/>
        <v>14181</v>
      </c>
      <c r="F36" s="300">
        <f t="shared" si="1"/>
        <v>183</v>
      </c>
      <c r="G36" s="300">
        <f t="shared" si="1"/>
        <v>260</v>
      </c>
      <c r="H36" s="301">
        <f t="shared" si="1"/>
        <v>0.89038101654315438</v>
      </c>
      <c r="I36" s="301">
        <f t="shared" si="1"/>
        <v>0.62669125395152792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59935</v>
      </c>
      <c r="D37" s="300">
        <v>13855</v>
      </c>
      <c r="E37" s="300">
        <v>13800</v>
      </c>
      <c r="F37" s="302">
        <v>183</v>
      </c>
      <c r="G37" s="302">
        <v>248</v>
      </c>
      <c r="H37" s="301">
        <f>IF(F37=0,0,$C37/(F37*365))</f>
        <v>0.89729770192379665</v>
      </c>
      <c r="I37" s="301">
        <f>IF(G37=0,0,$C37/(G37*365))</f>
        <v>0.66211886875828552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-462</v>
      </c>
      <c r="D38" s="300">
        <f t="shared" si="2"/>
        <v>303</v>
      </c>
      <c r="E38" s="300">
        <f t="shared" si="2"/>
        <v>381</v>
      </c>
      <c r="F38" s="300">
        <f t="shared" si="2"/>
        <v>0</v>
      </c>
      <c r="G38" s="300">
        <f t="shared" si="2"/>
        <v>12</v>
      </c>
      <c r="H38" s="301">
        <f t="shared" si="2"/>
        <v>-6.9166853806422735E-3</v>
      </c>
      <c r="I38" s="301">
        <f t="shared" si="2"/>
        <v>-3.5427614806757601E-2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-7.7083507132727118E-3</v>
      </c>
      <c r="D40" s="148">
        <f t="shared" si="3"/>
        <v>2.1869361241429085E-2</v>
      </c>
      <c r="E40" s="148">
        <f t="shared" si="3"/>
        <v>2.7608695652173915E-2</v>
      </c>
      <c r="F40" s="148">
        <f t="shared" si="3"/>
        <v>0</v>
      </c>
      <c r="G40" s="148">
        <f t="shared" si="3"/>
        <v>4.8387096774193547E-2</v>
      </c>
      <c r="H40" s="148">
        <f t="shared" si="3"/>
        <v>-7.7083507132727231E-3</v>
      </c>
      <c r="I40" s="148">
        <f t="shared" si="3"/>
        <v>-5.3506426834198678E-2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297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FILING&amp;RMIDDLESEX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7256</v>
      </c>
      <c r="D12" s="296">
        <v>7073</v>
      </c>
      <c r="E12" s="296">
        <f>+D12-C12</f>
        <v>-183</v>
      </c>
      <c r="F12" s="316">
        <f>IF(C12=0,0,+E12/C12)</f>
        <v>-2.522050716648291E-2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11270</v>
      </c>
      <c r="D13" s="296">
        <v>10392</v>
      </c>
      <c r="E13" s="296">
        <f>+D13-C13</f>
        <v>-878</v>
      </c>
      <c r="F13" s="316">
        <f>IF(C13=0,0,+E13/C13)</f>
        <v>-7.7905944986690331E-2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11427</v>
      </c>
      <c r="D14" s="296">
        <v>11314</v>
      </c>
      <c r="E14" s="296">
        <f>+D14-C14</f>
        <v>-113</v>
      </c>
      <c r="F14" s="316">
        <f>IF(C14=0,0,+E14/C14)</f>
        <v>-9.8888597182112542E-3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29953</v>
      </c>
      <c r="D16" s="300">
        <f>SUM(D12:D15)</f>
        <v>28779</v>
      </c>
      <c r="E16" s="300">
        <f>+D16-C16</f>
        <v>-1174</v>
      </c>
      <c r="F16" s="309">
        <f>IF(C16=0,0,+E16/C16)</f>
        <v>-3.9194738423530197E-2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1446</v>
      </c>
      <c r="D19" s="296">
        <v>1663</v>
      </c>
      <c r="E19" s="296">
        <f>+D19-C19</f>
        <v>217</v>
      </c>
      <c r="F19" s="316">
        <f>IF(C19=0,0,+E19/C19)</f>
        <v>0.15006915629322268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9068</v>
      </c>
      <c r="D20" s="296">
        <v>9098</v>
      </c>
      <c r="E20" s="296">
        <f>+D20-C20</f>
        <v>30</v>
      </c>
      <c r="F20" s="316">
        <f>IF(C20=0,0,+E20/C20)</f>
        <v>3.3083370092633437E-3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65</v>
      </c>
      <c r="D21" s="296">
        <v>98</v>
      </c>
      <c r="E21" s="296">
        <f>+D21-C21</f>
        <v>33</v>
      </c>
      <c r="F21" s="316">
        <f>IF(C21=0,0,+E21/C21)</f>
        <v>0.50769230769230766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10579</v>
      </c>
      <c r="D23" s="300">
        <f>SUM(D19:D22)</f>
        <v>10859</v>
      </c>
      <c r="E23" s="300">
        <f>+D23-C23</f>
        <v>280</v>
      </c>
      <c r="F23" s="309">
        <f>IF(C23=0,0,+E23/C23)</f>
        <v>2.6467530012288496E-2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1</v>
      </c>
      <c r="E26" s="296">
        <f>+D26-C26</f>
        <v>1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7</v>
      </c>
      <c r="D27" s="296">
        <v>8</v>
      </c>
      <c r="E27" s="296">
        <f>+D27-C27</f>
        <v>1</v>
      </c>
      <c r="F27" s="316">
        <f>IF(C27=0,0,+E27/C27)</f>
        <v>0.14285714285714285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7</v>
      </c>
      <c r="D30" s="300">
        <f>SUM(D26:D29)</f>
        <v>9</v>
      </c>
      <c r="E30" s="300">
        <f>+D30-C30</f>
        <v>2</v>
      </c>
      <c r="F30" s="309">
        <f>IF(C30=0,0,+E30/C30)</f>
        <v>0.2857142857142857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8</v>
      </c>
      <c r="D33" s="296">
        <v>3</v>
      </c>
      <c r="E33" s="296">
        <f>+D33-C33</f>
        <v>-5</v>
      </c>
      <c r="F33" s="316">
        <f>IF(C33=0,0,+E33/C33)</f>
        <v>-0.625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479</v>
      </c>
      <c r="D34" s="296">
        <v>495</v>
      </c>
      <c r="E34" s="296">
        <f>+D34-C34</f>
        <v>16</v>
      </c>
      <c r="F34" s="316">
        <f>IF(C34=0,0,+E34/C34)</f>
        <v>3.3402922755741124E-2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487</v>
      </c>
      <c r="D37" s="300">
        <f>SUM(D33:D36)</f>
        <v>498</v>
      </c>
      <c r="E37" s="300">
        <f>+D37-C37</f>
        <v>11</v>
      </c>
      <c r="F37" s="309">
        <f>IF(C37=0,0,+E37/C37)</f>
        <v>2.2587268993839837E-2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183</v>
      </c>
      <c r="D43" s="296">
        <v>225</v>
      </c>
      <c r="E43" s="296">
        <f>+D43-C43</f>
        <v>42</v>
      </c>
      <c r="F43" s="316">
        <f>IF(C43=0,0,+E43/C43)</f>
        <v>0.22950819672131148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10431</v>
      </c>
      <c r="D44" s="296">
        <v>12272</v>
      </c>
      <c r="E44" s="296">
        <f>+D44-C44</f>
        <v>1841</v>
      </c>
      <c r="F44" s="316">
        <f>IF(C44=0,0,+E44/C44)</f>
        <v>0.17649314543188571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10614</v>
      </c>
      <c r="D45" s="300">
        <f>SUM(D43:D44)</f>
        <v>12497</v>
      </c>
      <c r="E45" s="300">
        <f>+D45-C45</f>
        <v>1883</v>
      </c>
      <c r="F45" s="309">
        <f>IF(C45=0,0,+E45/C45)</f>
        <v>0.17740719804032409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115</v>
      </c>
      <c r="D48" s="296">
        <v>110</v>
      </c>
      <c r="E48" s="296">
        <f>+D48-C48</f>
        <v>-5</v>
      </c>
      <c r="F48" s="316">
        <f>IF(C48=0,0,+E48/C48)</f>
        <v>-4.3478260869565216E-2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219</v>
      </c>
      <c r="D49" s="296">
        <v>202</v>
      </c>
      <c r="E49" s="296">
        <f>+D49-C49</f>
        <v>-17</v>
      </c>
      <c r="F49" s="316">
        <f>IF(C49=0,0,+E49/C49)</f>
        <v>-7.7625570776255703E-2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334</v>
      </c>
      <c r="D50" s="300">
        <f>SUM(D48:D49)</f>
        <v>312</v>
      </c>
      <c r="E50" s="300">
        <f>+D50-C50</f>
        <v>-22</v>
      </c>
      <c r="F50" s="309">
        <f>IF(C50=0,0,+E50/C50)</f>
        <v>-6.5868263473053898E-2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3110</v>
      </c>
      <c r="D63" s="296">
        <v>2859</v>
      </c>
      <c r="E63" s="296">
        <f>+D63-C63</f>
        <v>-251</v>
      </c>
      <c r="F63" s="316">
        <f>IF(C63=0,0,+E63/C63)</f>
        <v>-8.0707395498392287E-2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4934</v>
      </c>
      <c r="D64" s="296">
        <v>4807</v>
      </c>
      <c r="E64" s="296">
        <f>+D64-C64</f>
        <v>-127</v>
      </c>
      <c r="F64" s="316">
        <f>IF(C64=0,0,+E64/C64)</f>
        <v>-2.573976489663559E-2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8044</v>
      </c>
      <c r="D65" s="300">
        <f>SUM(D63:D64)</f>
        <v>7666</v>
      </c>
      <c r="E65" s="300">
        <f>+D65-C65</f>
        <v>-378</v>
      </c>
      <c r="F65" s="309">
        <f>IF(C65=0,0,+E65/C65)</f>
        <v>-4.6991546494281451E-2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782</v>
      </c>
      <c r="D68" s="296">
        <v>885</v>
      </c>
      <c r="E68" s="296">
        <f>+D68-C68</f>
        <v>103</v>
      </c>
      <c r="F68" s="316">
        <f>IF(C68=0,0,+E68/C68)</f>
        <v>0.13171355498721227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1851</v>
      </c>
      <c r="D69" s="296">
        <v>1926</v>
      </c>
      <c r="E69" s="296">
        <f>+D69-C69</f>
        <v>75</v>
      </c>
      <c r="F69" s="318">
        <f>IF(C69=0,0,+E69/C69)</f>
        <v>4.0518638573743923E-2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2633</v>
      </c>
      <c r="D70" s="300">
        <f>SUM(D68:D69)</f>
        <v>2811</v>
      </c>
      <c r="E70" s="300">
        <f>+D70-C70</f>
        <v>178</v>
      </c>
      <c r="F70" s="309">
        <f>IF(C70=0,0,+E70/C70)</f>
        <v>6.7603494113178883E-2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8487</v>
      </c>
      <c r="D73" s="319">
        <v>8809</v>
      </c>
      <c r="E73" s="296">
        <f>+D73-C73</f>
        <v>322</v>
      </c>
      <c r="F73" s="316">
        <f>IF(C73=0,0,+E73/C73)</f>
        <v>3.7940379403794036E-2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86806</v>
      </c>
      <c r="D74" s="319">
        <v>85082</v>
      </c>
      <c r="E74" s="296">
        <f>+D74-C74</f>
        <v>-1724</v>
      </c>
      <c r="F74" s="316">
        <f>IF(C74=0,0,+E74/C74)</f>
        <v>-1.9860378314863029E-2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95293</v>
      </c>
      <c r="D75" s="300">
        <f>SUM(D73:D74)</f>
        <v>93891</v>
      </c>
      <c r="E75" s="300">
        <f>SUM(E73:E74)</f>
        <v>-1402</v>
      </c>
      <c r="F75" s="309">
        <f>IF(C75=0,0,+E75/C75)</f>
        <v>-1.4712518233238539E-2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29833</v>
      </c>
      <c r="D81" s="319">
        <v>35449</v>
      </c>
      <c r="E81" s="296">
        <f t="shared" si="0"/>
        <v>5616</v>
      </c>
      <c r="F81" s="316">
        <f t="shared" si="1"/>
        <v>0.18824791338450708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53691</v>
      </c>
      <c r="D82" s="319">
        <v>55697</v>
      </c>
      <c r="E82" s="296">
        <f t="shared" si="0"/>
        <v>2006</v>
      </c>
      <c r="F82" s="316">
        <f t="shared" si="1"/>
        <v>3.7361941479950082E-2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7454</v>
      </c>
      <c r="D83" s="319">
        <v>6891</v>
      </c>
      <c r="E83" s="296">
        <f t="shared" si="0"/>
        <v>-563</v>
      </c>
      <c r="F83" s="316">
        <f t="shared" si="1"/>
        <v>-7.5529916823182178E-2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90978</v>
      </c>
      <c r="D84" s="320">
        <f>SUM(D79:D83)</f>
        <v>98037</v>
      </c>
      <c r="E84" s="300">
        <f t="shared" si="0"/>
        <v>7059</v>
      </c>
      <c r="F84" s="309">
        <f t="shared" si="1"/>
        <v>7.7590186638528E-2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44360</v>
      </c>
      <c r="D87" s="322">
        <v>46677</v>
      </c>
      <c r="E87" s="323">
        <f t="shared" ref="E87:E92" si="2">+D87-C87</f>
        <v>2317</v>
      </c>
      <c r="F87" s="318">
        <f t="shared" ref="F87:F92" si="3">IF(C87=0,0,+E87/C87)</f>
        <v>5.2231740306582508E-2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3620</v>
      </c>
      <c r="D88" s="322">
        <v>3489</v>
      </c>
      <c r="E88" s="296">
        <f t="shared" si="2"/>
        <v>-131</v>
      </c>
      <c r="F88" s="316">
        <f t="shared" si="3"/>
        <v>-3.6187845303867407E-2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459</v>
      </c>
      <c r="D89" s="322">
        <v>730</v>
      </c>
      <c r="E89" s="296">
        <f t="shared" si="2"/>
        <v>271</v>
      </c>
      <c r="F89" s="316">
        <f t="shared" si="3"/>
        <v>0.59041394335511987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412543</v>
      </c>
      <c r="D91" s="322">
        <v>399259</v>
      </c>
      <c r="E91" s="296">
        <f t="shared" si="2"/>
        <v>-13284</v>
      </c>
      <c r="F91" s="316">
        <f t="shared" si="3"/>
        <v>-3.2200279728416187E-2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460982</v>
      </c>
      <c r="D92" s="320">
        <f>SUM(D87:D91)</f>
        <v>450155</v>
      </c>
      <c r="E92" s="300">
        <f t="shared" si="2"/>
        <v>-10827</v>
      </c>
      <c r="F92" s="309">
        <f t="shared" si="3"/>
        <v>-2.3486817272691776E-2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497.2</v>
      </c>
      <c r="D96" s="325">
        <v>522</v>
      </c>
      <c r="E96" s="326">
        <f>+D96-C96</f>
        <v>24.800000000000011</v>
      </c>
      <c r="F96" s="316">
        <f>IF(C96=0,0,+E96/C96)</f>
        <v>4.9879324215607423E-2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130.30000000000001</v>
      </c>
      <c r="D97" s="325">
        <v>134</v>
      </c>
      <c r="E97" s="326">
        <f>+D97-C97</f>
        <v>3.6999999999999886</v>
      </c>
      <c r="F97" s="316">
        <f>IF(C97=0,0,+E97/C97)</f>
        <v>2.8396009209516411E-2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1429.1</v>
      </c>
      <c r="D98" s="325">
        <v>1424</v>
      </c>
      <c r="E98" s="326">
        <f>+D98-C98</f>
        <v>-5.0999999999999091</v>
      </c>
      <c r="F98" s="316">
        <f>IF(C98=0,0,+E98/C98)</f>
        <v>-3.5686795885521722E-3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2056.6</v>
      </c>
      <c r="D99" s="327">
        <f>SUM(D96:D98)</f>
        <v>2080</v>
      </c>
      <c r="E99" s="327">
        <f>+D99-C99</f>
        <v>23.400000000000091</v>
      </c>
      <c r="F99" s="309">
        <f>IF(C99=0,0,+E99/C99)</f>
        <v>1.1378002528445052E-2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FILING&amp;RMIDDLESEX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1184</v>
      </c>
      <c r="D12" s="296">
        <v>1440</v>
      </c>
      <c r="E12" s="296">
        <f>+D12-C12</f>
        <v>256</v>
      </c>
      <c r="F12" s="316">
        <f>IF(C12=0,0,+E12/C12)</f>
        <v>0.21621621621621623</v>
      </c>
    </row>
    <row r="13" spans="1:16" ht="15.75" customHeight="1" x14ac:dyDescent="0.2">
      <c r="A13" s="294">
        <v>2</v>
      </c>
      <c r="B13" s="295" t="s">
        <v>602</v>
      </c>
      <c r="C13" s="296">
        <v>3750</v>
      </c>
      <c r="D13" s="296">
        <v>3367</v>
      </c>
      <c r="E13" s="296">
        <f>+D13-C13</f>
        <v>-383</v>
      </c>
      <c r="F13" s="316">
        <f>IF(C13=0,0,+E13/C13)</f>
        <v>-0.10213333333333334</v>
      </c>
    </row>
    <row r="14" spans="1:16" ht="15.75" customHeight="1" x14ac:dyDescent="0.25">
      <c r="A14" s="294"/>
      <c r="B14" s="135" t="s">
        <v>603</v>
      </c>
      <c r="C14" s="300">
        <f>SUM(C11:C13)</f>
        <v>4934</v>
      </c>
      <c r="D14" s="300">
        <f>SUM(D11:D13)</f>
        <v>4807</v>
      </c>
      <c r="E14" s="300">
        <f>+D14-C14</f>
        <v>-127</v>
      </c>
      <c r="F14" s="309">
        <f>IF(C14=0,0,+E14/C14)</f>
        <v>-2.573976489663559E-2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576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604</v>
      </c>
      <c r="C17" s="296">
        <v>0</v>
      </c>
      <c r="D17" s="296">
        <v>0</v>
      </c>
      <c r="E17" s="296">
        <f>+D17-C17</f>
        <v>0</v>
      </c>
      <c r="F17" s="316">
        <f>IF(C17=0,0,+E17/C17)</f>
        <v>0</v>
      </c>
    </row>
    <row r="18" spans="1:6" ht="15.75" customHeight="1" x14ac:dyDescent="0.2">
      <c r="A18" s="294">
        <v>2</v>
      </c>
      <c r="B18" s="295" t="s">
        <v>602</v>
      </c>
      <c r="C18" s="296">
        <v>1851</v>
      </c>
      <c r="D18" s="296">
        <v>1926</v>
      </c>
      <c r="E18" s="296">
        <f>+D18-C18</f>
        <v>75</v>
      </c>
      <c r="F18" s="316">
        <f>IF(C18=0,0,+E18/C18)</f>
        <v>4.0518638573743923E-2</v>
      </c>
    </row>
    <row r="19" spans="1:6" ht="15.75" customHeight="1" x14ac:dyDescent="0.25">
      <c r="A19" s="294"/>
      <c r="B19" s="135" t="s">
        <v>605</v>
      </c>
      <c r="C19" s="300">
        <f>SUM(C16:C18)</f>
        <v>1851</v>
      </c>
      <c r="D19" s="300">
        <f>SUM(D16:D18)</f>
        <v>1926</v>
      </c>
      <c r="E19" s="300">
        <f>+D19-C19</f>
        <v>75</v>
      </c>
      <c r="F19" s="309">
        <f>IF(C19=0,0,+E19/C19)</f>
        <v>4.0518638573743923E-2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606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607</v>
      </c>
      <c r="C22" s="296">
        <v>24175</v>
      </c>
      <c r="D22" s="296">
        <v>23096</v>
      </c>
      <c r="E22" s="296">
        <f>+D22-C22</f>
        <v>-1079</v>
      </c>
      <c r="F22" s="316">
        <f>IF(C22=0,0,+E22/C22)</f>
        <v>-4.4632885211995862E-2</v>
      </c>
    </row>
    <row r="23" spans="1:6" ht="15.75" customHeight="1" x14ac:dyDescent="0.2">
      <c r="A23" s="294">
        <v>2</v>
      </c>
      <c r="B23" s="295" t="s">
        <v>608</v>
      </c>
      <c r="C23" s="296">
        <v>21592</v>
      </c>
      <c r="D23" s="296">
        <v>20601</v>
      </c>
      <c r="E23" s="296">
        <f>+D23-C23</f>
        <v>-991</v>
      </c>
      <c r="F23" s="316">
        <f>IF(C23=0,0,+E23/C23)</f>
        <v>-4.5896628380881807E-2</v>
      </c>
    </row>
    <row r="24" spans="1:6" ht="15.75" customHeight="1" x14ac:dyDescent="0.2">
      <c r="A24" s="294">
        <v>3</v>
      </c>
      <c r="B24" s="295" t="s">
        <v>609</v>
      </c>
      <c r="C24" s="296">
        <v>41039</v>
      </c>
      <c r="D24" s="296">
        <v>41385</v>
      </c>
      <c r="E24" s="296">
        <f>+D24-C24</f>
        <v>346</v>
      </c>
      <c r="F24" s="316">
        <f>IF(C24=0,0,+E24/C24)</f>
        <v>8.431004654109505E-3</v>
      </c>
    </row>
    <row r="25" spans="1:6" ht="15.75" customHeight="1" x14ac:dyDescent="0.25">
      <c r="A25" s="294"/>
      <c r="B25" s="135" t="s">
        <v>610</v>
      </c>
      <c r="C25" s="300">
        <f>SUM(C21:C24)</f>
        <v>86806</v>
      </c>
      <c r="D25" s="300">
        <f>SUM(D21:D24)</f>
        <v>85082</v>
      </c>
      <c r="E25" s="300">
        <f>+D25-C25</f>
        <v>-1724</v>
      </c>
      <c r="F25" s="309">
        <f>IF(C25=0,0,+E25/C25)</f>
        <v>-1.9860378314863029E-2</v>
      </c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611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612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  <row r="31" spans="1:6" ht="15.75" customHeight="1" x14ac:dyDescent="0.25">
      <c r="B31" s="699" t="s">
        <v>613</v>
      </c>
      <c r="C31" s="700"/>
      <c r="D31" s="700"/>
      <c r="E31" s="700"/>
      <c r="F31" s="701"/>
    </row>
    <row r="32" spans="1:6" ht="15.75" customHeight="1" x14ac:dyDescent="0.25">
      <c r="A32" s="293"/>
      <c r="B32" s="135"/>
      <c r="C32" s="300"/>
      <c r="D32" s="300"/>
      <c r="E32" s="300"/>
      <c r="F32" s="309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FILING&amp;RMIDDLESEX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614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615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616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617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618</v>
      </c>
      <c r="D7" s="341" t="s">
        <v>618</v>
      </c>
      <c r="E7" s="341" t="s">
        <v>619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620</v>
      </c>
      <c r="D8" s="344" t="s">
        <v>621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622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623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624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625</v>
      </c>
      <c r="C15" s="361">
        <v>274740403</v>
      </c>
      <c r="D15" s="361">
        <v>300009429</v>
      </c>
      <c r="E15" s="361">
        <f t="shared" ref="E15:E24" si="0">D15-C15</f>
        <v>25269026</v>
      </c>
      <c r="F15" s="362">
        <f t="shared" ref="F15:F24" si="1">IF(C15=0,0,E15/C15)</f>
        <v>9.1974189904642456E-2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626</v>
      </c>
      <c r="C16" s="361">
        <v>68628846</v>
      </c>
      <c r="D16" s="361">
        <v>72545632</v>
      </c>
      <c r="E16" s="361">
        <f t="shared" si="0"/>
        <v>3916786</v>
      </c>
      <c r="F16" s="362">
        <f t="shared" si="1"/>
        <v>5.7072007301419578E-2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627</v>
      </c>
      <c r="C17" s="366">
        <f>IF(C15=0,0,C16/C15)</f>
        <v>0.24979524398528308</v>
      </c>
      <c r="D17" s="366">
        <f>IF(LN_IA1=0,0,LN_IA2/LN_IA1)</f>
        <v>0.2418111732081594</v>
      </c>
      <c r="E17" s="367">
        <f t="shared" si="0"/>
        <v>-7.9840707771236807E-3</v>
      </c>
      <c r="F17" s="362">
        <f t="shared" si="1"/>
        <v>-3.196246113314339E-2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7373</v>
      </c>
      <c r="D18" s="369">
        <v>7537</v>
      </c>
      <c r="E18" s="369">
        <f t="shared" si="0"/>
        <v>164</v>
      </c>
      <c r="F18" s="362">
        <f t="shared" si="1"/>
        <v>2.2243320222433201E-2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628</v>
      </c>
      <c r="C19" s="372">
        <v>1.3360000000000001</v>
      </c>
      <c r="D19" s="372">
        <v>1.38656</v>
      </c>
      <c r="E19" s="373">
        <f t="shared" si="0"/>
        <v>5.0559999999999938E-2</v>
      </c>
      <c r="F19" s="362">
        <f t="shared" si="1"/>
        <v>3.7844311377245463E-2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629</v>
      </c>
      <c r="C20" s="376">
        <f>C18*C19</f>
        <v>9850.3280000000013</v>
      </c>
      <c r="D20" s="376">
        <f>LN_IA4*LN_IA5</f>
        <v>10450.50272</v>
      </c>
      <c r="E20" s="376">
        <f t="shared" si="0"/>
        <v>600.17471999999907</v>
      </c>
      <c r="F20" s="362">
        <f t="shared" si="1"/>
        <v>6.0929414736240153E-2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630</v>
      </c>
      <c r="C21" s="378">
        <f>IF(C20=0,0,C16/C20)</f>
        <v>6967.1635299860054</v>
      </c>
      <c r="D21" s="378">
        <f>IF(LN_IA6=0,0,LN_IA2/LN_IA6)</f>
        <v>6941.8317896959506</v>
      </c>
      <c r="E21" s="378">
        <f t="shared" si="0"/>
        <v>-25.331740290054768</v>
      </c>
      <c r="F21" s="362">
        <f t="shared" si="1"/>
        <v>-3.6358756588717031E-3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35194</v>
      </c>
      <c r="D22" s="369">
        <v>34849</v>
      </c>
      <c r="E22" s="369">
        <f t="shared" si="0"/>
        <v>-345</v>
      </c>
      <c r="F22" s="362">
        <f t="shared" si="1"/>
        <v>-9.8028072966983015E-3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631</v>
      </c>
      <c r="C23" s="378">
        <f>IF(C22=0,0,C16/C22)</f>
        <v>1950.0155140080697</v>
      </c>
      <c r="D23" s="378">
        <f>IF(LN_IA8=0,0,LN_IA2/LN_IA8)</f>
        <v>2081.7134494533561</v>
      </c>
      <c r="E23" s="378">
        <f t="shared" si="0"/>
        <v>131.69793544528648</v>
      </c>
      <c r="F23" s="362">
        <f t="shared" si="1"/>
        <v>6.7536865475800248E-2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632</v>
      </c>
      <c r="C24" s="379">
        <f>IF(C18=0,0,C22/C18)</f>
        <v>4.7733622677336225</v>
      </c>
      <c r="D24" s="379">
        <f>IF(LN_IA4=0,0,LN_IA8/LN_IA4)</f>
        <v>4.6237229666976249</v>
      </c>
      <c r="E24" s="379">
        <f t="shared" si="0"/>
        <v>-0.14963930103599754</v>
      </c>
      <c r="F24" s="362">
        <f t="shared" si="1"/>
        <v>-3.1348825553742396E-2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633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634</v>
      </c>
      <c r="C27" s="361">
        <v>202223329</v>
      </c>
      <c r="D27" s="361">
        <v>220377833</v>
      </c>
      <c r="E27" s="361">
        <f t="shared" ref="E27:E32" si="2">D27-C27</f>
        <v>18154504</v>
      </c>
      <c r="F27" s="362">
        <f t="shared" ref="F27:F32" si="3">IF(C27=0,0,E27/C27)</f>
        <v>8.9774528437319909E-2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635</v>
      </c>
      <c r="C28" s="361">
        <v>45755735</v>
      </c>
      <c r="D28" s="361">
        <v>46519479</v>
      </c>
      <c r="E28" s="361">
        <f t="shared" si="2"/>
        <v>763744</v>
      </c>
      <c r="F28" s="362">
        <f t="shared" si="3"/>
        <v>1.6691765524037588E-2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636</v>
      </c>
      <c r="C29" s="366">
        <f>IF(C27=0,0,C28/C27)</f>
        <v>0.22626338526946116</v>
      </c>
      <c r="D29" s="366">
        <f>IF(LN_IA11=0,0,LN_IA12/LN_IA11)</f>
        <v>0.2110896471152795</v>
      </c>
      <c r="E29" s="367">
        <f t="shared" si="2"/>
        <v>-1.517373815418166E-2</v>
      </c>
      <c r="F29" s="362">
        <f t="shared" si="3"/>
        <v>-6.7062278486247254E-2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637</v>
      </c>
      <c r="C30" s="366">
        <f>IF(C15=0,0,C27/C15)</f>
        <v>0.7360523854221761</v>
      </c>
      <c r="D30" s="366">
        <f>IF(LN_IA1=0,0,LN_IA11/LN_IA1)</f>
        <v>0.73456968914133691</v>
      </c>
      <c r="E30" s="367">
        <f t="shared" si="2"/>
        <v>-1.4826962808391908E-3</v>
      </c>
      <c r="F30" s="362">
        <f t="shared" si="3"/>
        <v>-2.0143896143869754E-3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638</v>
      </c>
      <c r="C31" s="376">
        <f>C30*C18</f>
        <v>5426.9142377177041</v>
      </c>
      <c r="D31" s="376">
        <f>LN_IA14*LN_IA4</f>
        <v>5536.4517470582559</v>
      </c>
      <c r="E31" s="376">
        <f t="shared" si="2"/>
        <v>109.53750934055188</v>
      </c>
      <c r="F31" s="362">
        <f t="shared" si="3"/>
        <v>2.0184123894800669E-2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639</v>
      </c>
      <c r="C32" s="378">
        <f>IF(C31=0,0,C28/C31)</f>
        <v>8431.2618544793204</v>
      </c>
      <c r="D32" s="378">
        <f>IF(LN_IA15=0,0,LN_IA12/LN_IA15)</f>
        <v>8402.3994293308369</v>
      </c>
      <c r="E32" s="378">
        <f t="shared" si="2"/>
        <v>-28.862425148483453</v>
      </c>
      <c r="F32" s="362">
        <f t="shared" si="3"/>
        <v>-3.4232628100797939E-3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640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641</v>
      </c>
      <c r="C35" s="361">
        <f>C15+C27</f>
        <v>476963732</v>
      </c>
      <c r="D35" s="361">
        <f>LN_IA1+LN_IA11</f>
        <v>520387262</v>
      </c>
      <c r="E35" s="361">
        <f>D35-C35</f>
        <v>43423530</v>
      </c>
      <c r="F35" s="362">
        <f>IF(C35=0,0,E35/C35)</f>
        <v>9.1041576301654728E-2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642</v>
      </c>
      <c r="C36" s="361">
        <f>C16+C28</f>
        <v>114384581</v>
      </c>
      <c r="D36" s="361">
        <f>LN_IA2+LN_IA12</f>
        <v>119065111</v>
      </c>
      <c r="E36" s="361">
        <f>D36-C36</f>
        <v>4680530</v>
      </c>
      <c r="F36" s="362">
        <f>IF(C36=0,0,E36/C36)</f>
        <v>4.0919238931338135E-2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643</v>
      </c>
      <c r="C37" s="361">
        <f>C35-C36</f>
        <v>362579151</v>
      </c>
      <c r="D37" s="361">
        <f>LN_IA17-LN_IA18</f>
        <v>401322151</v>
      </c>
      <c r="E37" s="361">
        <f>D37-C37</f>
        <v>38743000</v>
      </c>
      <c r="F37" s="362">
        <f>IF(C37=0,0,E37/C37)</f>
        <v>0.1068539100859663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644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645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625</v>
      </c>
      <c r="C42" s="361">
        <v>142019598</v>
      </c>
      <c r="D42" s="361">
        <v>141858357</v>
      </c>
      <c r="E42" s="361">
        <f t="shared" ref="E42:E53" si="4">D42-C42</f>
        <v>-161241</v>
      </c>
      <c r="F42" s="362">
        <f t="shared" ref="F42:F53" si="5">IF(C42=0,0,E42/C42)</f>
        <v>-1.1353433066329339E-3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626</v>
      </c>
      <c r="C43" s="361">
        <v>66126608</v>
      </c>
      <c r="D43" s="361">
        <v>63941094</v>
      </c>
      <c r="E43" s="361">
        <f t="shared" si="4"/>
        <v>-2185514</v>
      </c>
      <c r="F43" s="362">
        <f t="shared" si="5"/>
        <v>-3.3050447710851888E-2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627</v>
      </c>
      <c r="C44" s="366">
        <f>IF(C42=0,0,C43/C42)</f>
        <v>0.46561607645164577</v>
      </c>
      <c r="D44" s="366">
        <f>IF(LN_IB1=0,0,LN_IB2/LN_IB1)</f>
        <v>0.45073900017043056</v>
      </c>
      <c r="E44" s="367">
        <f t="shared" si="4"/>
        <v>-1.4877076281215207E-2</v>
      </c>
      <c r="F44" s="362">
        <f t="shared" si="5"/>
        <v>-3.1951380189855175E-2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4406</v>
      </c>
      <c r="D45" s="369">
        <v>4421</v>
      </c>
      <c r="E45" s="369">
        <f t="shared" si="4"/>
        <v>15</v>
      </c>
      <c r="F45" s="362">
        <f t="shared" si="5"/>
        <v>3.4044484793463461E-3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628</v>
      </c>
      <c r="C46" s="372">
        <v>1.1259999999999999</v>
      </c>
      <c r="D46" s="372">
        <v>1.1101000000000001</v>
      </c>
      <c r="E46" s="373">
        <f t="shared" si="4"/>
        <v>-1.5899999999999803E-2</v>
      </c>
      <c r="F46" s="362">
        <f t="shared" si="5"/>
        <v>-1.412078152753091E-2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629</v>
      </c>
      <c r="C47" s="376">
        <f>C45*C46</f>
        <v>4961.1559999999999</v>
      </c>
      <c r="D47" s="376">
        <f>LN_IB4*LN_IB5</f>
        <v>4907.7521000000006</v>
      </c>
      <c r="E47" s="376">
        <f t="shared" si="4"/>
        <v>-53.403899999999339</v>
      </c>
      <c r="F47" s="362">
        <f t="shared" si="5"/>
        <v>-1.0764406521383189E-2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630</v>
      </c>
      <c r="C48" s="378">
        <f>IF(C47=0,0,C43/C47)</f>
        <v>13328.870932500409</v>
      </c>
      <c r="D48" s="378">
        <f>IF(LN_IB6=0,0,LN_IB2/LN_IB6)</f>
        <v>13028.590828782895</v>
      </c>
      <c r="E48" s="378">
        <f t="shared" si="4"/>
        <v>-300.28010371751407</v>
      </c>
      <c r="F48" s="362">
        <f t="shared" si="5"/>
        <v>-2.2528547634543226E-2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646</v>
      </c>
      <c r="C49" s="378">
        <f>C21-C48</f>
        <v>-6361.7074025144038</v>
      </c>
      <c r="D49" s="378">
        <f>LN_IA7-LN_IB7</f>
        <v>-6086.7590390869445</v>
      </c>
      <c r="E49" s="378">
        <f t="shared" si="4"/>
        <v>274.9483634274593</v>
      </c>
      <c r="F49" s="362">
        <f t="shared" si="5"/>
        <v>-4.3219272127917825E-2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647</v>
      </c>
      <c r="C50" s="391">
        <f>C49*C47</f>
        <v>-31561422.850228749</v>
      </c>
      <c r="D50" s="391">
        <f>LN_IB8*LN_IB6</f>
        <v>-29872304.456272937</v>
      </c>
      <c r="E50" s="391">
        <f t="shared" si="4"/>
        <v>1689118.3939558119</v>
      </c>
      <c r="F50" s="362">
        <f t="shared" si="5"/>
        <v>-5.3518448834557836E-2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15861</v>
      </c>
      <c r="D51" s="369">
        <v>15364</v>
      </c>
      <c r="E51" s="369">
        <f t="shared" si="4"/>
        <v>-497</v>
      </c>
      <c r="F51" s="362">
        <f t="shared" si="5"/>
        <v>-3.1334720383330184E-2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631</v>
      </c>
      <c r="C52" s="378">
        <f>IF(C51=0,0,C43/C51)</f>
        <v>4169.132337179245</v>
      </c>
      <c r="D52" s="378">
        <f>IF(LN_IB10=0,0,LN_IB2/LN_IB10)</f>
        <v>4161.7478521218436</v>
      </c>
      <c r="E52" s="378">
        <f t="shared" si="4"/>
        <v>-7.3844850574014345</v>
      </c>
      <c r="F52" s="362">
        <f t="shared" si="5"/>
        <v>-1.7712282701003526E-3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632</v>
      </c>
      <c r="C53" s="379">
        <f>IF(C45=0,0,C51/C45)</f>
        <v>3.5998638220608261</v>
      </c>
      <c r="D53" s="379">
        <f>IF(LN_IB4=0,0,LN_IB10/LN_IB4)</f>
        <v>3.4752318479981903</v>
      </c>
      <c r="E53" s="379">
        <f t="shared" si="4"/>
        <v>-0.12463197406263582</v>
      </c>
      <c r="F53" s="362">
        <f t="shared" si="5"/>
        <v>-3.4621302422292E-2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648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634</v>
      </c>
      <c r="C56" s="361">
        <v>274202487</v>
      </c>
      <c r="D56" s="361">
        <v>293369697</v>
      </c>
      <c r="E56" s="361">
        <f t="shared" ref="E56:E63" si="6">D56-C56</f>
        <v>19167210</v>
      </c>
      <c r="F56" s="362">
        <f t="shared" ref="F56:F63" si="7">IF(C56=0,0,E56/C56)</f>
        <v>6.9901663583379528E-2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635</v>
      </c>
      <c r="C57" s="361">
        <v>116979335</v>
      </c>
      <c r="D57" s="361">
        <v>124109814</v>
      </c>
      <c r="E57" s="361">
        <f t="shared" si="6"/>
        <v>7130479</v>
      </c>
      <c r="F57" s="362">
        <f t="shared" si="7"/>
        <v>6.0955031074505596E-2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636</v>
      </c>
      <c r="C58" s="366">
        <f>IF(C56=0,0,C57/C56)</f>
        <v>0.4266166083314919</v>
      </c>
      <c r="D58" s="366">
        <f>IF(LN_IB13=0,0,LN_IB14/LN_IB13)</f>
        <v>0.42304919447764233</v>
      </c>
      <c r="E58" s="367">
        <f t="shared" si="6"/>
        <v>-3.5674138538495659E-3</v>
      </c>
      <c r="F58" s="362">
        <f t="shared" si="7"/>
        <v>-8.3621072977018169E-3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637</v>
      </c>
      <c r="C59" s="366">
        <f>IF(C42=0,0,C56/C42)</f>
        <v>1.9307369606834122</v>
      </c>
      <c r="D59" s="366">
        <f>IF(LN_IB1=0,0,LN_IB13/LN_IB1)</f>
        <v>2.068046629075226</v>
      </c>
      <c r="E59" s="367">
        <f t="shared" si="6"/>
        <v>0.1373096683918138</v>
      </c>
      <c r="F59" s="362">
        <f t="shared" si="7"/>
        <v>7.1117749951402534E-2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638</v>
      </c>
      <c r="C60" s="376">
        <f>C59*C45</f>
        <v>8506.8270487711143</v>
      </c>
      <c r="D60" s="376">
        <f>LN_IB16*LN_IB4</f>
        <v>9142.8341471415733</v>
      </c>
      <c r="E60" s="376">
        <f t="shared" si="6"/>
        <v>636.00709837045906</v>
      </c>
      <c r="F60" s="362">
        <f t="shared" si="7"/>
        <v>7.4764315146425342E-2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639</v>
      </c>
      <c r="C61" s="378">
        <f>IF(C60=0,0,C57/C60)</f>
        <v>13751.229962633211</v>
      </c>
      <c r="D61" s="378">
        <f>IF(LN_IB17=0,0,LN_IB14/LN_IB17)</f>
        <v>13574.545048353726</v>
      </c>
      <c r="E61" s="378">
        <f t="shared" si="6"/>
        <v>-176.68491427948538</v>
      </c>
      <c r="F61" s="362">
        <f t="shared" si="7"/>
        <v>-1.2848662611242677E-2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649</v>
      </c>
      <c r="C62" s="378">
        <f>C32-C61</f>
        <v>-5319.9681081538911</v>
      </c>
      <c r="D62" s="378">
        <f>LN_IA16-LN_IB18</f>
        <v>-5172.1456190228892</v>
      </c>
      <c r="E62" s="378">
        <f t="shared" si="6"/>
        <v>147.82248913100193</v>
      </c>
      <c r="F62" s="362">
        <f t="shared" si="7"/>
        <v>-2.7786348738526284E-2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650</v>
      </c>
      <c r="C63" s="361">
        <f>C62*C60</f>
        <v>-45256048.601043217</v>
      </c>
      <c r="D63" s="361">
        <f>LN_IB19*LN_IB17</f>
        <v>-47288069.579591163</v>
      </c>
      <c r="E63" s="361">
        <f t="shared" si="6"/>
        <v>-2032020.9785479456</v>
      </c>
      <c r="F63" s="362">
        <f t="shared" si="7"/>
        <v>4.4900539074043344E-2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651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641</v>
      </c>
      <c r="C66" s="361">
        <f>C42+C56</f>
        <v>416222085</v>
      </c>
      <c r="D66" s="361">
        <f>LN_IB1+LN_IB13</f>
        <v>435228054</v>
      </c>
      <c r="E66" s="361">
        <f>D66-C66</f>
        <v>19005969</v>
      </c>
      <c r="F66" s="362">
        <f>IF(C66=0,0,E66/C66)</f>
        <v>4.5663047889445849E-2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642</v>
      </c>
      <c r="C67" s="361">
        <f>C43+C57</f>
        <v>183105943</v>
      </c>
      <c r="D67" s="361">
        <f>LN_IB2+LN_IB14</f>
        <v>188050908</v>
      </c>
      <c r="E67" s="361">
        <f>D67-C67</f>
        <v>4944965</v>
      </c>
      <c r="F67" s="362">
        <f>IF(C67=0,0,E67/C67)</f>
        <v>2.7006032240034939E-2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643</v>
      </c>
      <c r="C68" s="361">
        <f>C66-C67</f>
        <v>233116142</v>
      </c>
      <c r="D68" s="361">
        <f>LN_IB21-LN_IB22</f>
        <v>247177146</v>
      </c>
      <c r="E68" s="361">
        <f>D68-C68</f>
        <v>14061004</v>
      </c>
      <c r="F68" s="362">
        <f>IF(C68=0,0,E68/C68)</f>
        <v>6.0317590533906486E-2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652</v>
      </c>
      <c r="C70" s="353">
        <f>C50+C63</f>
        <v>-76817471.451271966</v>
      </c>
      <c r="D70" s="353">
        <f>LN_IB9+LN_IB20</f>
        <v>-77160374.0358641</v>
      </c>
      <c r="E70" s="361">
        <f>D70-C70</f>
        <v>-342902.58459213376</v>
      </c>
      <c r="F70" s="362">
        <f>IF(C70=0,0,E70/C70)</f>
        <v>4.4638619068534295E-3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653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654</v>
      </c>
      <c r="C73" s="400">
        <v>377720253</v>
      </c>
      <c r="D73" s="400">
        <v>396628859</v>
      </c>
      <c r="E73" s="400">
        <f>D73-C73</f>
        <v>18908606</v>
      </c>
      <c r="F73" s="401">
        <f>IF(C73=0,0,E73/C73)</f>
        <v>5.005981503459387E-2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655</v>
      </c>
      <c r="C74" s="400">
        <v>184841366</v>
      </c>
      <c r="D74" s="400">
        <v>187614053</v>
      </c>
      <c r="E74" s="400">
        <f>D74-C74</f>
        <v>2772687</v>
      </c>
      <c r="F74" s="401">
        <f>IF(C74=0,0,E74/C74)</f>
        <v>1.5000359822054117E-2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656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657</v>
      </c>
      <c r="C76" s="353">
        <f>C73-C74</f>
        <v>192878887</v>
      </c>
      <c r="D76" s="353">
        <f>LN_IB32-LN_IB33</f>
        <v>209014806</v>
      </c>
      <c r="E76" s="400">
        <f>D76-C76</f>
        <v>16135919</v>
      </c>
      <c r="F76" s="401">
        <f>IF(C76=0,0,E76/C76)</f>
        <v>8.3658295892178186E-2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658</v>
      </c>
      <c r="C77" s="366">
        <f>IF(C73=0,0,C76/C73)</f>
        <v>0.51063951553585352</v>
      </c>
      <c r="D77" s="366">
        <f>IF(LN_IB1=0,0,LN_IB34/LN_IB32)</f>
        <v>0.5269783104713518</v>
      </c>
      <c r="E77" s="405">
        <f>D77-C77</f>
        <v>1.633879493549828E-2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659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660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625</v>
      </c>
      <c r="C83" s="361">
        <v>6310560</v>
      </c>
      <c r="D83" s="361">
        <v>6206111</v>
      </c>
      <c r="E83" s="361">
        <f t="shared" ref="E83:E95" si="8">D83-C83</f>
        <v>-104449</v>
      </c>
      <c r="F83" s="362">
        <f t="shared" ref="F83:F95" si="9">IF(C83=0,0,E83/C83)</f>
        <v>-1.6551462944651506E-2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626</v>
      </c>
      <c r="C84" s="361">
        <v>4381062</v>
      </c>
      <c r="D84" s="361">
        <v>4126794</v>
      </c>
      <c r="E84" s="361">
        <f t="shared" si="8"/>
        <v>-254268</v>
      </c>
      <c r="F84" s="362">
        <f t="shared" si="9"/>
        <v>-5.8037982571349137E-2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627</v>
      </c>
      <c r="C85" s="366">
        <f>IF(C83=0,0,C84/C83)</f>
        <v>0.69424298319008138</v>
      </c>
      <c r="D85" s="366">
        <f>IF(LN_IC1=0,0,LN_IC2/LN_IC1)</f>
        <v>0.66495652430322305</v>
      </c>
      <c r="E85" s="367">
        <f t="shared" si="8"/>
        <v>-2.9286458886858324E-2</v>
      </c>
      <c r="F85" s="362">
        <f t="shared" si="9"/>
        <v>-4.2184738767233304E-2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201</v>
      </c>
      <c r="D86" s="369">
        <v>182</v>
      </c>
      <c r="E86" s="369">
        <f t="shared" si="8"/>
        <v>-19</v>
      </c>
      <c r="F86" s="362">
        <f t="shared" si="9"/>
        <v>-9.4527363184079602E-2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628</v>
      </c>
      <c r="C87" s="372">
        <v>1.08</v>
      </c>
      <c r="D87" s="372">
        <v>1.03321</v>
      </c>
      <c r="E87" s="373">
        <f t="shared" si="8"/>
        <v>-4.6790000000000109E-2</v>
      </c>
      <c r="F87" s="362">
        <f t="shared" si="9"/>
        <v>-4.3324074074074174E-2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629</v>
      </c>
      <c r="C88" s="376">
        <f>C86*C87</f>
        <v>217.08</v>
      </c>
      <c r="D88" s="376">
        <f>LN_IC4*LN_IC5</f>
        <v>188.04422</v>
      </c>
      <c r="E88" s="376">
        <f t="shared" si="8"/>
        <v>-29.035780000000017</v>
      </c>
      <c r="F88" s="362">
        <f t="shared" si="9"/>
        <v>-0.13375612677353979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630</v>
      </c>
      <c r="C89" s="378">
        <f>IF(C88=0,0,C84/C88)</f>
        <v>20181.785516860142</v>
      </c>
      <c r="D89" s="378">
        <f>IF(LN_IC6=0,0,LN_IC2/LN_IC6)</f>
        <v>21945.869966117545</v>
      </c>
      <c r="E89" s="378">
        <f t="shared" si="8"/>
        <v>1764.0844492574033</v>
      </c>
      <c r="F89" s="362">
        <f t="shared" si="9"/>
        <v>8.7409731303687815E-2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661</v>
      </c>
      <c r="C90" s="378">
        <f>C48-C89</f>
        <v>-6852.9145843597325</v>
      </c>
      <c r="D90" s="378">
        <f>LN_IB7-LN_IC7</f>
        <v>-8917.2791373346499</v>
      </c>
      <c r="E90" s="378">
        <f t="shared" si="8"/>
        <v>-2064.3645529749174</v>
      </c>
      <c r="F90" s="362">
        <f t="shared" si="9"/>
        <v>0.30123891485330556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662</v>
      </c>
      <c r="C91" s="378">
        <f>C21-C89</f>
        <v>-13214.621986874135</v>
      </c>
      <c r="D91" s="378">
        <f>LN_IA7-LN_IC7</f>
        <v>-15004.038176421594</v>
      </c>
      <c r="E91" s="378">
        <f t="shared" si="8"/>
        <v>-1789.416189547459</v>
      </c>
      <c r="F91" s="362">
        <f t="shared" si="9"/>
        <v>0.13541183329533424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647</v>
      </c>
      <c r="C92" s="353">
        <f>C91*C88</f>
        <v>-2868630.1409106376</v>
      </c>
      <c r="D92" s="353">
        <f>LN_IC9*LN_IC6</f>
        <v>-2821422.655735421</v>
      </c>
      <c r="E92" s="353">
        <f t="shared" si="8"/>
        <v>47207.48517521657</v>
      </c>
      <c r="F92" s="362">
        <f t="shared" si="9"/>
        <v>-1.6456455819093746E-2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867</v>
      </c>
      <c r="D93" s="369">
        <v>759</v>
      </c>
      <c r="E93" s="369">
        <f t="shared" si="8"/>
        <v>-108</v>
      </c>
      <c r="F93" s="362">
        <f t="shared" si="9"/>
        <v>-0.1245674740484429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631</v>
      </c>
      <c r="C94" s="411">
        <f>IF(C93=0,0,C84/C93)</f>
        <v>5053.1280276816606</v>
      </c>
      <c r="D94" s="411">
        <f>IF(LN_IC11=0,0,LN_IC2/LN_IC11)</f>
        <v>5437.146245059289</v>
      </c>
      <c r="E94" s="411">
        <f t="shared" si="8"/>
        <v>384.01821737762839</v>
      </c>
      <c r="F94" s="362">
        <f t="shared" si="9"/>
        <v>7.5996138485692241E-2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632</v>
      </c>
      <c r="C95" s="379">
        <f>IF(C86=0,0,C93/C86)</f>
        <v>4.3134328358208958</v>
      </c>
      <c r="D95" s="379">
        <f>IF(LN_IC4=0,0,LN_IC11/LN_IC4)</f>
        <v>4.1703296703296706</v>
      </c>
      <c r="E95" s="379">
        <f t="shared" si="8"/>
        <v>-0.14310316549122515</v>
      </c>
      <c r="F95" s="362">
        <f t="shared" si="9"/>
        <v>-3.3176166394159462E-2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663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634</v>
      </c>
      <c r="C98" s="361">
        <v>13906189</v>
      </c>
      <c r="D98" s="361">
        <v>13838417</v>
      </c>
      <c r="E98" s="361">
        <f t="shared" ref="E98:E106" si="10">D98-C98</f>
        <v>-67772</v>
      </c>
      <c r="F98" s="362">
        <f t="shared" ref="F98:F106" si="11">IF(C98=0,0,E98/C98)</f>
        <v>-4.8735135125806215E-3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635</v>
      </c>
      <c r="C99" s="361">
        <v>3756191</v>
      </c>
      <c r="D99" s="361">
        <v>3652693</v>
      </c>
      <c r="E99" s="361">
        <f t="shared" si="10"/>
        <v>-103498</v>
      </c>
      <c r="F99" s="362">
        <f t="shared" si="11"/>
        <v>-2.7553976887756772E-2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636</v>
      </c>
      <c r="C100" s="366">
        <f>IF(C98=0,0,C99/C98)</f>
        <v>0.27010930169293684</v>
      </c>
      <c r="D100" s="366">
        <f>IF(LN_IC14=0,0,LN_IC15/LN_IC14)</f>
        <v>0.26395309521313021</v>
      </c>
      <c r="E100" s="367">
        <f t="shared" si="10"/>
        <v>-6.1562064798066363E-3</v>
      </c>
      <c r="F100" s="362">
        <f t="shared" si="11"/>
        <v>-2.2791538244784616E-2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637</v>
      </c>
      <c r="C101" s="366">
        <f>IF(C83=0,0,C98/C83)</f>
        <v>2.2036378704900992</v>
      </c>
      <c r="D101" s="366">
        <f>IF(LN_IC1=0,0,LN_IC14/LN_IC1)</f>
        <v>2.2298049454803501</v>
      </c>
      <c r="E101" s="367">
        <f t="shared" si="10"/>
        <v>2.6167074990250949E-2</v>
      </c>
      <c r="F101" s="362">
        <f t="shared" si="11"/>
        <v>1.187448960678429E-2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638</v>
      </c>
      <c r="C102" s="376">
        <f>C101*C86</f>
        <v>442.93121196850996</v>
      </c>
      <c r="D102" s="376">
        <f>LN_IC17*LN_IC4</f>
        <v>405.82450007742375</v>
      </c>
      <c r="E102" s="376">
        <f t="shared" si="10"/>
        <v>-37.106711891086206</v>
      </c>
      <c r="F102" s="362">
        <f t="shared" si="11"/>
        <v>-8.377533776898137E-2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639</v>
      </c>
      <c r="C103" s="378">
        <f>IF(C102=0,0,C99/C102)</f>
        <v>8480.3032581660682</v>
      </c>
      <c r="D103" s="378">
        <f>IF(LN_IC18=0,0,LN_IC15/LN_IC18)</f>
        <v>9000.6714708035961</v>
      </c>
      <c r="E103" s="378">
        <f t="shared" si="10"/>
        <v>520.3682126375279</v>
      </c>
      <c r="F103" s="362">
        <f t="shared" si="11"/>
        <v>6.136198161739579E-2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664</v>
      </c>
      <c r="C104" s="378">
        <f>C61-C103</f>
        <v>5270.9267044671433</v>
      </c>
      <c r="D104" s="378">
        <f>LN_IB18-LN_IC19</f>
        <v>4573.87357755013</v>
      </c>
      <c r="E104" s="378">
        <f t="shared" si="10"/>
        <v>-697.05312691701329</v>
      </c>
      <c r="F104" s="362">
        <f t="shared" si="11"/>
        <v>-0.13224489088915928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665</v>
      </c>
      <c r="C105" s="378">
        <f>C32-C103</f>
        <v>-49.041403686747799</v>
      </c>
      <c r="D105" s="378">
        <f>LN_IA16-LN_IC19</f>
        <v>-598.27204147275916</v>
      </c>
      <c r="E105" s="378">
        <f t="shared" si="10"/>
        <v>-549.23063778601136</v>
      </c>
      <c r="F105" s="362">
        <f t="shared" si="11"/>
        <v>11.19932539643899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650</v>
      </c>
      <c r="C106" s="361">
        <f>C105*C102</f>
        <v>-21721.968371608156</v>
      </c>
      <c r="D106" s="361">
        <f>LN_IC21*LN_IC18</f>
        <v>-242793.4521409822</v>
      </c>
      <c r="E106" s="361">
        <f t="shared" si="10"/>
        <v>-221071.48376937406</v>
      </c>
      <c r="F106" s="362">
        <f t="shared" si="11"/>
        <v>10.1773227907986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666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641</v>
      </c>
      <c r="C109" s="361">
        <f>C83+C98</f>
        <v>20216749</v>
      </c>
      <c r="D109" s="361">
        <f>LN_IC1+LN_IC14</f>
        <v>20044528</v>
      </c>
      <c r="E109" s="361">
        <f>D109-C109</f>
        <v>-172221</v>
      </c>
      <c r="F109" s="362">
        <f>IF(C109=0,0,E109/C109)</f>
        <v>-8.5187287036110511E-3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642</v>
      </c>
      <c r="C110" s="361">
        <f>C84+C99</f>
        <v>8137253</v>
      </c>
      <c r="D110" s="361">
        <f>LN_IC2+LN_IC15</f>
        <v>7779487</v>
      </c>
      <c r="E110" s="361">
        <f>D110-C110</f>
        <v>-357766</v>
      </c>
      <c r="F110" s="362">
        <f>IF(C110=0,0,E110/C110)</f>
        <v>-4.3966434372877429E-2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643</v>
      </c>
      <c r="C111" s="361">
        <f>C109-C110</f>
        <v>12079496</v>
      </c>
      <c r="D111" s="361">
        <f>LN_IC23-LN_IC24</f>
        <v>12265041</v>
      </c>
      <c r="E111" s="361">
        <f>D111-C111</f>
        <v>185545</v>
      </c>
      <c r="F111" s="362">
        <f>IF(C111=0,0,E111/C111)</f>
        <v>1.5360326291759192E-2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652</v>
      </c>
      <c r="C113" s="361">
        <f>C92+C106</f>
        <v>-2890352.1092822459</v>
      </c>
      <c r="D113" s="361">
        <f>LN_IC10+LN_IC22</f>
        <v>-3064216.1078764033</v>
      </c>
      <c r="E113" s="361">
        <f>D113-C113</f>
        <v>-173863.9985941574</v>
      </c>
      <c r="F113" s="362">
        <f>IF(C113=0,0,E113/C113)</f>
        <v>6.0153224251052455E-2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667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668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625</v>
      </c>
      <c r="C118" s="361">
        <v>55732451</v>
      </c>
      <c r="D118" s="361">
        <v>63620043</v>
      </c>
      <c r="E118" s="361">
        <f t="shared" ref="E118:E130" si="12">D118-C118</f>
        <v>7887592</v>
      </c>
      <c r="F118" s="362">
        <f t="shared" ref="F118:F130" si="13">IF(C118=0,0,E118/C118)</f>
        <v>0.14152602045081419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626</v>
      </c>
      <c r="C119" s="361">
        <v>12421651</v>
      </c>
      <c r="D119" s="361">
        <v>11088384</v>
      </c>
      <c r="E119" s="361">
        <f t="shared" si="12"/>
        <v>-1333267</v>
      </c>
      <c r="F119" s="362">
        <f t="shared" si="13"/>
        <v>-0.10733412168801072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627</v>
      </c>
      <c r="C120" s="366">
        <f>IF(C118=0,0,C119/C118)</f>
        <v>0.22288004164754929</v>
      </c>
      <c r="D120" s="366">
        <f>IF(LN_ID1=0,0,LN_1D2/LN_ID1)</f>
        <v>0.17429073413232368</v>
      </c>
      <c r="E120" s="367">
        <f t="shared" si="12"/>
        <v>-4.858930751522561E-2</v>
      </c>
      <c r="F120" s="362">
        <f t="shared" si="13"/>
        <v>-0.21800654359201069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2028</v>
      </c>
      <c r="D121" s="369">
        <v>2138</v>
      </c>
      <c r="E121" s="369">
        <f t="shared" si="12"/>
        <v>110</v>
      </c>
      <c r="F121" s="362">
        <f t="shared" si="13"/>
        <v>5.4240631163708086E-2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628</v>
      </c>
      <c r="C122" s="372">
        <v>0.96599999999999997</v>
      </c>
      <c r="D122" s="372">
        <v>0.95591000000000004</v>
      </c>
      <c r="E122" s="373">
        <f t="shared" si="12"/>
        <v>-1.0089999999999932E-2</v>
      </c>
      <c r="F122" s="362">
        <f t="shared" si="13"/>
        <v>-1.0445134575569288E-2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629</v>
      </c>
      <c r="C123" s="376">
        <f>C121*C122</f>
        <v>1959.048</v>
      </c>
      <c r="D123" s="376">
        <f>LN_ID4*LN_ID5</f>
        <v>2043.73558</v>
      </c>
      <c r="E123" s="376">
        <f t="shared" si="12"/>
        <v>84.687580000000025</v>
      </c>
      <c r="F123" s="362">
        <f t="shared" si="13"/>
        <v>4.322894589616999E-2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630</v>
      </c>
      <c r="C124" s="378">
        <f>IF(C123=0,0,C119/C123)</f>
        <v>6340.656788399263</v>
      </c>
      <c r="D124" s="378">
        <f>IF(LN_ID6=0,0,LN_1D2/LN_ID6)</f>
        <v>5425.5472716289451</v>
      </c>
      <c r="E124" s="378">
        <f t="shared" si="12"/>
        <v>-915.1095167703179</v>
      </c>
      <c r="F124" s="362">
        <f t="shared" si="13"/>
        <v>-0.14432408933481208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669</v>
      </c>
      <c r="C125" s="378">
        <f>C48-C124</f>
        <v>6988.2141441011463</v>
      </c>
      <c r="D125" s="378">
        <f>LN_IB7-LN_ID7</f>
        <v>7603.0435571539501</v>
      </c>
      <c r="E125" s="378">
        <f t="shared" si="12"/>
        <v>614.82941305280383</v>
      </c>
      <c r="F125" s="362">
        <f t="shared" si="13"/>
        <v>8.7980906190716884E-2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670</v>
      </c>
      <c r="C126" s="378">
        <f>C21-C124</f>
        <v>626.50674158674246</v>
      </c>
      <c r="D126" s="378">
        <f>LN_IA7-LN_ID7</f>
        <v>1516.2845180670056</v>
      </c>
      <c r="E126" s="378">
        <f t="shared" si="12"/>
        <v>889.77777648026313</v>
      </c>
      <c r="F126" s="362">
        <f t="shared" si="13"/>
        <v>1.4202205936790702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647</v>
      </c>
      <c r="C127" s="391">
        <f>C126*C123</f>
        <v>1227356.7790920245</v>
      </c>
      <c r="D127" s="391">
        <f>LN_ID9*LN_ID6</f>
        <v>3098884.6189766922</v>
      </c>
      <c r="E127" s="391">
        <f t="shared" si="12"/>
        <v>1871527.8398846677</v>
      </c>
      <c r="F127" s="362">
        <f t="shared" si="13"/>
        <v>1.5248441787800193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8717</v>
      </c>
      <c r="D128" s="369">
        <v>9097</v>
      </c>
      <c r="E128" s="369">
        <f t="shared" si="12"/>
        <v>380</v>
      </c>
      <c r="F128" s="362">
        <f t="shared" si="13"/>
        <v>4.359297923597568E-2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631</v>
      </c>
      <c r="C129" s="378">
        <f>IF(C128=0,0,C119/C128)</f>
        <v>1424.9915108408857</v>
      </c>
      <c r="D129" s="378">
        <f>IF(LN_ID11=0,0,LN_1D2/LN_ID11)</f>
        <v>1218.9055732659119</v>
      </c>
      <c r="E129" s="378">
        <f t="shared" si="12"/>
        <v>-206.08593757497374</v>
      </c>
      <c r="F129" s="362">
        <f t="shared" si="13"/>
        <v>-0.14462257213964924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632</v>
      </c>
      <c r="C130" s="379">
        <f>IF(C121=0,0,C128/C121)</f>
        <v>4.2983234714003942</v>
      </c>
      <c r="D130" s="379">
        <f>IF(LN_ID4=0,0,LN_ID11/LN_ID4)</f>
        <v>4.2549111318989707</v>
      </c>
      <c r="E130" s="379">
        <f t="shared" si="12"/>
        <v>-4.3412339501423425E-2</v>
      </c>
      <c r="F130" s="362">
        <f t="shared" si="13"/>
        <v>-1.009983073406983E-2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671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634</v>
      </c>
      <c r="C133" s="361">
        <v>81366364</v>
      </c>
      <c r="D133" s="361">
        <v>95948897</v>
      </c>
      <c r="E133" s="361">
        <f t="shared" ref="E133:E141" si="14">D133-C133</f>
        <v>14582533</v>
      </c>
      <c r="F133" s="362">
        <f t="shared" ref="F133:F141" si="15">IF(C133=0,0,E133/C133)</f>
        <v>0.17922065437261028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635</v>
      </c>
      <c r="C134" s="361">
        <v>19850395</v>
      </c>
      <c r="D134" s="361">
        <v>19994411</v>
      </c>
      <c r="E134" s="361">
        <f t="shared" si="14"/>
        <v>144016</v>
      </c>
      <c r="F134" s="362">
        <f t="shared" si="15"/>
        <v>7.2550697353881369E-3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636</v>
      </c>
      <c r="C135" s="366">
        <f>IF(C133=0,0,C134/C133)</f>
        <v>0.24396315656921821</v>
      </c>
      <c r="D135" s="366">
        <f>IF(LN_ID14=0,0,LN_ID15/LN_ID14)</f>
        <v>0.20838604324966861</v>
      </c>
      <c r="E135" s="367">
        <f t="shared" si="14"/>
        <v>-3.5577113319549603E-2</v>
      </c>
      <c r="F135" s="362">
        <f t="shared" si="15"/>
        <v>-0.14582986144244087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637</v>
      </c>
      <c r="C136" s="366">
        <f>IF(C118=0,0,C133/C118)</f>
        <v>1.4599459119427567</v>
      </c>
      <c r="D136" s="366">
        <f>IF(LN_ID1=0,0,LN_ID14/LN_ID1)</f>
        <v>1.5081551736769496</v>
      </c>
      <c r="E136" s="367">
        <f t="shared" si="14"/>
        <v>4.8209261734192932E-2</v>
      </c>
      <c r="F136" s="362">
        <f t="shared" si="15"/>
        <v>3.3021265609792794E-2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638</v>
      </c>
      <c r="C137" s="376">
        <f>C136*C121</f>
        <v>2960.7703094199105</v>
      </c>
      <c r="D137" s="376">
        <f>LN_ID17*LN_ID4</f>
        <v>3224.4357613213183</v>
      </c>
      <c r="E137" s="376">
        <f t="shared" si="14"/>
        <v>263.66545190140778</v>
      </c>
      <c r="F137" s="362">
        <f t="shared" si="15"/>
        <v>8.9052991062000514E-2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639</v>
      </c>
      <c r="C138" s="378">
        <f>IF(C137=0,0,C134/C137)</f>
        <v>6704.4697580371212</v>
      </c>
      <c r="D138" s="378">
        <f>IF(LN_ID18=0,0,LN_ID15/LN_ID18)</f>
        <v>6200.9022601233755</v>
      </c>
      <c r="E138" s="378">
        <f t="shared" si="14"/>
        <v>-503.56749791374568</v>
      </c>
      <c r="F138" s="362">
        <f t="shared" si="15"/>
        <v>-7.5109220577821795E-2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672</v>
      </c>
      <c r="C139" s="378">
        <f>C61-C138</f>
        <v>7046.7602045960903</v>
      </c>
      <c r="D139" s="378">
        <f>LN_IB18-LN_ID19</f>
        <v>7373.6427882303506</v>
      </c>
      <c r="E139" s="378">
        <f t="shared" si="14"/>
        <v>326.8825836342603</v>
      </c>
      <c r="F139" s="362">
        <f t="shared" si="15"/>
        <v>4.6387641149057197E-2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673</v>
      </c>
      <c r="C140" s="378">
        <f>C32-C138</f>
        <v>1726.7920964421992</v>
      </c>
      <c r="D140" s="378">
        <f>LN_IA16-LN_ID19</f>
        <v>2201.4971692074614</v>
      </c>
      <c r="E140" s="378">
        <f t="shared" si="14"/>
        <v>474.70507276526223</v>
      </c>
      <c r="F140" s="362">
        <f t="shared" si="15"/>
        <v>0.2749057479144838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650</v>
      </c>
      <c r="C141" s="353">
        <f>C140*C137</f>
        <v>5112634.7696870258</v>
      </c>
      <c r="D141" s="353">
        <f>LN_ID21*LN_ID18</f>
        <v>7098586.2008401882</v>
      </c>
      <c r="E141" s="353">
        <f t="shared" si="14"/>
        <v>1985951.4311531624</v>
      </c>
      <c r="F141" s="362">
        <f t="shared" si="15"/>
        <v>0.38843991808840556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674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641</v>
      </c>
      <c r="C144" s="361">
        <f>C118+C133</f>
        <v>137098815</v>
      </c>
      <c r="D144" s="361">
        <f>LN_ID1+LN_ID14</f>
        <v>159568940</v>
      </c>
      <c r="E144" s="361">
        <f>D144-C144</f>
        <v>22470125</v>
      </c>
      <c r="F144" s="362">
        <f>IF(C144=0,0,E144/C144)</f>
        <v>0.1638972955382583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642</v>
      </c>
      <c r="C145" s="361">
        <f>C119+C134</f>
        <v>32272046</v>
      </c>
      <c r="D145" s="361">
        <f>LN_1D2+LN_ID15</f>
        <v>31082795</v>
      </c>
      <c r="E145" s="361">
        <f>D145-C145</f>
        <v>-1189251</v>
      </c>
      <c r="F145" s="362">
        <f>IF(C145=0,0,E145/C145)</f>
        <v>-3.6850808901301144E-2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643</v>
      </c>
      <c r="C146" s="361">
        <f>C144-C145</f>
        <v>104826769</v>
      </c>
      <c r="D146" s="361">
        <f>LN_ID23-LN_ID24</f>
        <v>128486145</v>
      </c>
      <c r="E146" s="361">
        <f>D146-C146</f>
        <v>23659376</v>
      </c>
      <c r="F146" s="362">
        <f>IF(C146=0,0,E146/C146)</f>
        <v>0.22569975422976168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652</v>
      </c>
      <c r="C148" s="361">
        <f>C127+C141</f>
        <v>6339991.5487790499</v>
      </c>
      <c r="D148" s="361">
        <f>LN_ID10+LN_ID22</f>
        <v>10197470.81981688</v>
      </c>
      <c r="E148" s="361">
        <f>D148-C148</f>
        <v>3857479.27103783</v>
      </c>
      <c r="F148" s="415">
        <f>IF(C148=0,0,E148/C148)</f>
        <v>0.60843602729733925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675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676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625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626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627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628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629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630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677</v>
      </c>
      <c r="C160" s="378">
        <f>C48-C159</f>
        <v>13328.870932500409</v>
      </c>
      <c r="D160" s="378">
        <f>LN_IB7-LN_IE7</f>
        <v>13028.590828782895</v>
      </c>
      <c r="E160" s="378">
        <f t="shared" si="16"/>
        <v>-300.28010371751407</v>
      </c>
      <c r="F160" s="362">
        <f t="shared" si="17"/>
        <v>-2.2528547634543226E-2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678</v>
      </c>
      <c r="C161" s="378">
        <f>C21-C159</f>
        <v>6967.1635299860054</v>
      </c>
      <c r="D161" s="378">
        <f>LN_IA7-LN_IE7</f>
        <v>6941.8317896959506</v>
      </c>
      <c r="E161" s="378">
        <f t="shared" si="16"/>
        <v>-25.331740290054768</v>
      </c>
      <c r="F161" s="362">
        <f t="shared" si="17"/>
        <v>-3.6358756588717031E-3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647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631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632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679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634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635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636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637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638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639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680</v>
      </c>
      <c r="C174" s="378">
        <f>C61-C173</f>
        <v>13751.229962633211</v>
      </c>
      <c r="D174" s="378">
        <f>LN_IB18-LN_IE19</f>
        <v>13574.545048353726</v>
      </c>
      <c r="E174" s="378">
        <f t="shared" si="18"/>
        <v>-176.68491427948538</v>
      </c>
      <c r="F174" s="362">
        <f t="shared" si="19"/>
        <v>-1.2848662611242677E-2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681</v>
      </c>
      <c r="C175" s="378">
        <f>C32-C173</f>
        <v>8431.2618544793204</v>
      </c>
      <c r="D175" s="378">
        <f>LN_IA16-LN_IE19</f>
        <v>8402.3994293308369</v>
      </c>
      <c r="E175" s="378">
        <f t="shared" si="18"/>
        <v>-28.862425148483453</v>
      </c>
      <c r="F175" s="362">
        <f t="shared" si="19"/>
        <v>-3.4232628100797939E-3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650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682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641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642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643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683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684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685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625</v>
      </c>
      <c r="C188" s="361">
        <f>C118+C153</f>
        <v>55732451</v>
      </c>
      <c r="D188" s="361">
        <f>LN_ID1+LN_IE1</f>
        <v>63620043</v>
      </c>
      <c r="E188" s="361">
        <f t="shared" ref="E188:E200" si="20">D188-C188</f>
        <v>7887592</v>
      </c>
      <c r="F188" s="362">
        <f t="shared" ref="F188:F200" si="21">IF(C188=0,0,E188/C188)</f>
        <v>0.14152602045081419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626</v>
      </c>
      <c r="C189" s="361">
        <f>C119+C154</f>
        <v>12421651</v>
      </c>
      <c r="D189" s="361">
        <f>LN_1D2+LN_IE2</f>
        <v>11088384</v>
      </c>
      <c r="E189" s="361">
        <f t="shared" si="20"/>
        <v>-1333267</v>
      </c>
      <c r="F189" s="362">
        <f t="shared" si="21"/>
        <v>-0.10733412168801072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627</v>
      </c>
      <c r="C190" s="366">
        <f>IF(C188=0,0,C189/C188)</f>
        <v>0.22288004164754929</v>
      </c>
      <c r="D190" s="366">
        <f>IF(LN_IF1=0,0,LN_IF2/LN_IF1)</f>
        <v>0.17429073413232368</v>
      </c>
      <c r="E190" s="367">
        <f t="shared" si="20"/>
        <v>-4.858930751522561E-2</v>
      </c>
      <c r="F190" s="362">
        <f t="shared" si="21"/>
        <v>-0.21800654359201069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2028</v>
      </c>
      <c r="D191" s="369">
        <f>LN_ID4+LN_IE4</f>
        <v>2138</v>
      </c>
      <c r="E191" s="369">
        <f t="shared" si="20"/>
        <v>110</v>
      </c>
      <c r="F191" s="362">
        <f t="shared" si="21"/>
        <v>5.4240631163708086E-2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628</v>
      </c>
      <c r="C192" s="372">
        <f>IF((C121+C156)=0,0,(C123+C158)/(C121+C156))</f>
        <v>0.96599999999999997</v>
      </c>
      <c r="D192" s="372">
        <f>IF((LN_ID4+LN_IE4)=0,0,(LN_ID6+LN_IE6)/(LN_ID4+LN_IE4))</f>
        <v>0.95591000000000004</v>
      </c>
      <c r="E192" s="373">
        <f t="shared" si="20"/>
        <v>-1.0089999999999932E-2</v>
      </c>
      <c r="F192" s="362">
        <f t="shared" si="21"/>
        <v>-1.0445134575569288E-2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629</v>
      </c>
      <c r="C193" s="376">
        <f>C123+C158</f>
        <v>1959.048</v>
      </c>
      <c r="D193" s="376">
        <f>LN_IF4*LN_IF5</f>
        <v>2043.73558</v>
      </c>
      <c r="E193" s="376">
        <f t="shared" si="20"/>
        <v>84.687580000000025</v>
      </c>
      <c r="F193" s="362">
        <f t="shared" si="21"/>
        <v>4.322894589616999E-2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630</v>
      </c>
      <c r="C194" s="378">
        <f>IF(C193=0,0,C189/C193)</f>
        <v>6340.656788399263</v>
      </c>
      <c r="D194" s="378">
        <f>IF(LN_IF6=0,0,LN_IF2/LN_IF6)</f>
        <v>5425.5472716289451</v>
      </c>
      <c r="E194" s="378">
        <f t="shared" si="20"/>
        <v>-915.1095167703179</v>
      </c>
      <c r="F194" s="362">
        <f t="shared" si="21"/>
        <v>-0.14432408933481208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686</v>
      </c>
      <c r="C195" s="378">
        <f>C48-C194</f>
        <v>6988.2141441011463</v>
      </c>
      <c r="D195" s="378">
        <f>LN_IB7-LN_IF7</f>
        <v>7603.0435571539501</v>
      </c>
      <c r="E195" s="378">
        <f t="shared" si="20"/>
        <v>614.82941305280383</v>
      </c>
      <c r="F195" s="362">
        <f t="shared" si="21"/>
        <v>8.7980906190716884E-2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687</v>
      </c>
      <c r="C196" s="378">
        <f>C21-C194</f>
        <v>626.50674158674246</v>
      </c>
      <c r="D196" s="378">
        <f>LN_IA7-LN_IF7</f>
        <v>1516.2845180670056</v>
      </c>
      <c r="E196" s="378">
        <f t="shared" si="20"/>
        <v>889.77777648026313</v>
      </c>
      <c r="F196" s="362">
        <f t="shared" si="21"/>
        <v>1.4202205936790702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647</v>
      </c>
      <c r="C197" s="391">
        <f>C127+C162</f>
        <v>1227356.7790920245</v>
      </c>
      <c r="D197" s="391">
        <f>LN_IF9*LN_IF6</f>
        <v>3098884.6189766922</v>
      </c>
      <c r="E197" s="391">
        <f t="shared" si="20"/>
        <v>1871527.8398846677</v>
      </c>
      <c r="F197" s="362">
        <f t="shared" si="21"/>
        <v>1.5248441787800193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8717</v>
      </c>
      <c r="D198" s="369">
        <f>LN_ID11+LN_IE11</f>
        <v>9097</v>
      </c>
      <c r="E198" s="369">
        <f t="shared" si="20"/>
        <v>380</v>
      </c>
      <c r="F198" s="362">
        <f t="shared" si="21"/>
        <v>4.359297923597568E-2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631</v>
      </c>
      <c r="C199" s="432">
        <f>IF(C198=0,0,C189/C198)</f>
        <v>1424.9915108408857</v>
      </c>
      <c r="D199" s="432">
        <f>IF(LN_IF11=0,0,LN_IF2/LN_IF11)</f>
        <v>1218.9055732659119</v>
      </c>
      <c r="E199" s="432">
        <f t="shared" si="20"/>
        <v>-206.08593757497374</v>
      </c>
      <c r="F199" s="362">
        <f t="shared" si="21"/>
        <v>-0.14462257213964924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632</v>
      </c>
      <c r="C200" s="379">
        <f>IF(C191=0,0,C198/C191)</f>
        <v>4.2983234714003942</v>
      </c>
      <c r="D200" s="379">
        <f>IF(LN_IF4=0,0,LN_IF11/LN_IF4)</f>
        <v>4.2549111318989707</v>
      </c>
      <c r="E200" s="379">
        <f t="shared" si="20"/>
        <v>-4.3412339501423425E-2</v>
      </c>
      <c r="F200" s="362">
        <f t="shared" si="21"/>
        <v>-1.009983073406983E-2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688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634</v>
      </c>
      <c r="C203" s="361">
        <f>C133+C168</f>
        <v>81366364</v>
      </c>
      <c r="D203" s="361">
        <f>LN_ID14+LN_IE14</f>
        <v>95948897</v>
      </c>
      <c r="E203" s="361">
        <f t="shared" ref="E203:E211" si="22">D203-C203</f>
        <v>14582533</v>
      </c>
      <c r="F203" s="362">
        <f t="shared" ref="F203:F211" si="23">IF(C203=0,0,E203/C203)</f>
        <v>0.17922065437261028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635</v>
      </c>
      <c r="C204" s="361">
        <f>C134+C169</f>
        <v>19850395</v>
      </c>
      <c r="D204" s="361">
        <f>LN_ID15+LN_IE15</f>
        <v>19994411</v>
      </c>
      <c r="E204" s="361">
        <f t="shared" si="22"/>
        <v>144016</v>
      </c>
      <c r="F204" s="362">
        <f t="shared" si="23"/>
        <v>7.2550697353881369E-3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636</v>
      </c>
      <c r="C205" s="366">
        <f>IF(C203=0,0,C204/C203)</f>
        <v>0.24396315656921821</v>
      </c>
      <c r="D205" s="366">
        <f>IF(LN_IF14=0,0,LN_IF15/LN_IF14)</f>
        <v>0.20838604324966861</v>
      </c>
      <c r="E205" s="367">
        <f t="shared" si="22"/>
        <v>-3.5577113319549603E-2</v>
      </c>
      <c r="F205" s="362">
        <f t="shared" si="23"/>
        <v>-0.14582986144244087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637</v>
      </c>
      <c r="C206" s="366">
        <f>IF(C188=0,0,C203/C188)</f>
        <v>1.4599459119427567</v>
      </c>
      <c r="D206" s="366">
        <f>IF(LN_IF1=0,0,LN_IF14/LN_IF1)</f>
        <v>1.5081551736769496</v>
      </c>
      <c r="E206" s="367">
        <f t="shared" si="22"/>
        <v>4.8209261734192932E-2</v>
      </c>
      <c r="F206" s="362">
        <f t="shared" si="23"/>
        <v>3.3021265609792794E-2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638</v>
      </c>
      <c r="C207" s="376">
        <f>C137+C172</f>
        <v>2960.7703094199105</v>
      </c>
      <c r="D207" s="376">
        <f>LN_ID18+LN_IE18</f>
        <v>3224.4357613213183</v>
      </c>
      <c r="E207" s="376">
        <f t="shared" si="22"/>
        <v>263.66545190140778</v>
      </c>
      <c r="F207" s="362">
        <f t="shared" si="23"/>
        <v>8.9052991062000514E-2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639</v>
      </c>
      <c r="C208" s="378">
        <f>IF(C207=0,0,C204/C207)</f>
        <v>6704.4697580371212</v>
      </c>
      <c r="D208" s="378">
        <f>IF(LN_IF18=0,0,LN_IF15/LN_IF18)</f>
        <v>6200.9022601233755</v>
      </c>
      <c r="E208" s="378">
        <f t="shared" si="22"/>
        <v>-503.56749791374568</v>
      </c>
      <c r="F208" s="362">
        <f t="shared" si="23"/>
        <v>-7.5109220577821795E-2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689</v>
      </c>
      <c r="C209" s="378">
        <f>C61-C208</f>
        <v>7046.7602045960903</v>
      </c>
      <c r="D209" s="378">
        <f>LN_IB18-LN_IF19</f>
        <v>7373.6427882303506</v>
      </c>
      <c r="E209" s="378">
        <f t="shared" si="22"/>
        <v>326.8825836342603</v>
      </c>
      <c r="F209" s="362">
        <f t="shared" si="23"/>
        <v>4.6387641149057197E-2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690</v>
      </c>
      <c r="C210" s="378">
        <f>C32-C208</f>
        <v>1726.7920964421992</v>
      </c>
      <c r="D210" s="378">
        <f>LN_IA16-LN_IF19</f>
        <v>2201.4971692074614</v>
      </c>
      <c r="E210" s="378">
        <f t="shared" si="22"/>
        <v>474.70507276526223</v>
      </c>
      <c r="F210" s="362">
        <f t="shared" si="23"/>
        <v>0.2749057479144838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650</v>
      </c>
      <c r="C211" s="391">
        <f>C141+C176</f>
        <v>5112634.7696870258</v>
      </c>
      <c r="D211" s="353">
        <f>LN_IF21*LN_IF18</f>
        <v>7098586.2008401882</v>
      </c>
      <c r="E211" s="353">
        <f t="shared" si="22"/>
        <v>1985951.4311531624</v>
      </c>
      <c r="F211" s="362">
        <f t="shared" si="23"/>
        <v>0.38843991808840556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691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641</v>
      </c>
      <c r="C214" s="361">
        <f>C188+C203</f>
        <v>137098815</v>
      </c>
      <c r="D214" s="361">
        <f>LN_IF1+LN_IF14</f>
        <v>159568940</v>
      </c>
      <c r="E214" s="361">
        <f>D214-C214</f>
        <v>22470125</v>
      </c>
      <c r="F214" s="362">
        <f>IF(C214=0,0,E214/C214)</f>
        <v>0.1638972955382583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642</v>
      </c>
      <c r="C215" s="361">
        <f>C189+C204</f>
        <v>32272046</v>
      </c>
      <c r="D215" s="361">
        <f>LN_IF2+LN_IF15</f>
        <v>31082795</v>
      </c>
      <c r="E215" s="361">
        <f>D215-C215</f>
        <v>-1189251</v>
      </c>
      <c r="F215" s="362">
        <f>IF(C215=0,0,E215/C215)</f>
        <v>-3.6850808901301144E-2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643</v>
      </c>
      <c r="C216" s="361">
        <f>C214-C215</f>
        <v>104826769</v>
      </c>
      <c r="D216" s="361">
        <f>LN_IF23-LN_IF24</f>
        <v>128486145</v>
      </c>
      <c r="E216" s="361">
        <f>D216-C216</f>
        <v>23659376</v>
      </c>
      <c r="F216" s="362">
        <f>IF(C216=0,0,E216/C216)</f>
        <v>0.22569975422976168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692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693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625</v>
      </c>
      <c r="C221" s="361">
        <v>1167799</v>
      </c>
      <c r="D221" s="361">
        <v>1339754</v>
      </c>
      <c r="E221" s="361">
        <f t="shared" ref="E221:E230" si="24">D221-C221</f>
        <v>171955</v>
      </c>
      <c r="F221" s="362">
        <f t="shared" ref="F221:F230" si="25">IF(C221=0,0,E221/C221)</f>
        <v>0.14724708618520824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626</v>
      </c>
      <c r="C222" s="361">
        <v>222060</v>
      </c>
      <c r="D222" s="361">
        <v>338550</v>
      </c>
      <c r="E222" s="361">
        <f t="shared" si="24"/>
        <v>116490</v>
      </c>
      <c r="F222" s="362">
        <f t="shared" si="25"/>
        <v>0.52458794920291818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627</v>
      </c>
      <c r="C223" s="366">
        <f>IF(C221=0,0,C222/C221)</f>
        <v>0.19015258618991795</v>
      </c>
      <c r="D223" s="366">
        <f>IF(LN_IG1=0,0,LN_IG2/LN_IG1)</f>
        <v>0.2526956441257126</v>
      </c>
      <c r="E223" s="367">
        <f t="shared" si="24"/>
        <v>6.2543057935794649E-2</v>
      </c>
      <c r="F223" s="362">
        <f t="shared" si="25"/>
        <v>0.32890984650258065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48</v>
      </c>
      <c r="D224" s="369">
        <v>62</v>
      </c>
      <c r="E224" s="369">
        <f t="shared" si="24"/>
        <v>14</v>
      </c>
      <c r="F224" s="362">
        <f t="shared" si="25"/>
        <v>0.29166666666666669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628</v>
      </c>
      <c r="C225" s="372">
        <v>0.876</v>
      </c>
      <c r="D225" s="372">
        <v>0.79674999999999996</v>
      </c>
      <c r="E225" s="373">
        <f t="shared" si="24"/>
        <v>-7.9250000000000043E-2</v>
      </c>
      <c r="F225" s="362">
        <f t="shared" si="25"/>
        <v>-9.0468036529680412E-2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629</v>
      </c>
      <c r="C226" s="376">
        <f>C224*C225</f>
        <v>42.048000000000002</v>
      </c>
      <c r="D226" s="376">
        <f>LN_IG3*LN_IG4</f>
        <v>49.398499999999999</v>
      </c>
      <c r="E226" s="376">
        <f t="shared" si="24"/>
        <v>7.3504999999999967</v>
      </c>
      <c r="F226" s="362">
        <f t="shared" si="25"/>
        <v>0.17481211948249611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630</v>
      </c>
      <c r="C227" s="378">
        <f>IF(C226=0,0,C222/C226)</f>
        <v>5281.1073059360724</v>
      </c>
      <c r="D227" s="378">
        <f>IF(LN_IG5=0,0,LN_IG2/LN_IG5)</f>
        <v>6853.4469670131684</v>
      </c>
      <c r="E227" s="378">
        <f t="shared" si="24"/>
        <v>1572.339661077096</v>
      </c>
      <c r="F227" s="362">
        <f t="shared" si="25"/>
        <v>0.29772916359979168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163</v>
      </c>
      <c r="D228" s="369">
        <v>163</v>
      </c>
      <c r="E228" s="369">
        <f t="shared" si="24"/>
        <v>0</v>
      </c>
      <c r="F228" s="362">
        <f t="shared" si="25"/>
        <v>0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631</v>
      </c>
      <c r="C229" s="378">
        <f>IF(C228=0,0,C222/C228)</f>
        <v>1362.3312883435583</v>
      </c>
      <c r="D229" s="378">
        <f>IF(LN_IG6=0,0,LN_IG2/LN_IG6)</f>
        <v>2076.9938650306749</v>
      </c>
      <c r="E229" s="378">
        <f t="shared" si="24"/>
        <v>714.6625766871166</v>
      </c>
      <c r="F229" s="362">
        <f t="shared" si="25"/>
        <v>0.52458794920291818</v>
      </c>
      <c r="Q229" s="330"/>
      <c r="U229" s="375"/>
    </row>
    <row r="230" spans="1:21" ht="11.25" customHeight="1" x14ac:dyDescent="0.2">
      <c r="A230" s="364">
        <v>10</v>
      </c>
      <c r="B230" s="360" t="s">
        <v>632</v>
      </c>
      <c r="C230" s="379">
        <f>IF(C224=0,0,C228/C224)</f>
        <v>3.3958333333333335</v>
      </c>
      <c r="D230" s="379">
        <f>IF(LN_IG3=0,0,LN_IG6/LN_IG3)</f>
        <v>2.629032258064516</v>
      </c>
      <c r="E230" s="379">
        <f t="shared" si="24"/>
        <v>-0.76680107526881747</v>
      </c>
      <c r="F230" s="362">
        <f t="shared" si="25"/>
        <v>-0.2258064516129033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694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634</v>
      </c>
      <c r="C233" s="361">
        <v>2219940</v>
      </c>
      <c r="D233" s="361">
        <v>2626269</v>
      </c>
      <c r="E233" s="361">
        <f>D233-C233</f>
        <v>406329</v>
      </c>
      <c r="F233" s="362">
        <f>IF(C233=0,0,E233/C233)</f>
        <v>0.18303602800075677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635</v>
      </c>
      <c r="C234" s="361">
        <v>564855</v>
      </c>
      <c r="D234" s="361">
        <v>840268</v>
      </c>
      <c r="E234" s="361">
        <f>D234-C234</f>
        <v>275413</v>
      </c>
      <c r="F234" s="362">
        <f>IF(C234=0,0,E234/C234)</f>
        <v>0.48758176877251685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695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641</v>
      </c>
      <c r="C237" s="361">
        <f>C221+C233</f>
        <v>3387739</v>
      </c>
      <c r="D237" s="361">
        <f>LN_IG1+LN_IG9</f>
        <v>3966023</v>
      </c>
      <c r="E237" s="361">
        <f>D237-C237</f>
        <v>578284</v>
      </c>
      <c r="F237" s="362">
        <f>IF(C237=0,0,E237/C237)</f>
        <v>0.17069910049150777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642</v>
      </c>
      <c r="C238" s="361">
        <f>C222+C234</f>
        <v>786915</v>
      </c>
      <c r="D238" s="361">
        <f>LN_IG2+LN_IG10</f>
        <v>1178818</v>
      </c>
      <c r="E238" s="361">
        <f>D238-C238</f>
        <v>391903</v>
      </c>
      <c r="F238" s="362">
        <f>IF(C238=0,0,E238/C238)</f>
        <v>0.49802456427949654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643</v>
      </c>
      <c r="C239" s="361">
        <f>C237-C238</f>
        <v>2600824</v>
      </c>
      <c r="D239" s="361">
        <f>LN_IG13-LN_IG14</f>
        <v>2787205</v>
      </c>
      <c r="E239" s="361">
        <f>D239-C239</f>
        <v>186381</v>
      </c>
      <c r="F239" s="362">
        <f>IF(C239=0,0,E239/C239)</f>
        <v>7.1662288567008001E-2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696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697</v>
      </c>
      <c r="C243" s="361">
        <v>9543630</v>
      </c>
      <c r="D243" s="361">
        <v>11871399</v>
      </c>
      <c r="E243" s="353">
        <f>D243-C243</f>
        <v>2327769</v>
      </c>
      <c r="F243" s="415">
        <f>IF(C243=0,0,E243/C243)</f>
        <v>0.24390813558363011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698</v>
      </c>
      <c r="C244" s="361">
        <v>328515648</v>
      </c>
      <c r="D244" s="361">
        <v>334537291</v>
      </c>
      <c r="E244" s="353">
        <f>D244-C244</f>
        <v>6021643</v>
      </c>
      <c r="F244" s="415">
        <f>IF(C244=0,0,E244/C244)</f>
        <v>1.8329851368297682E-2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699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700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701</v>
      </c>
      <c r="C248" s="353">
        <v>6856094</v>
      </c>
      <c r="D248" s="353">
        <v>7509399</v>
      </c>
      <c r="E248" s="353">
        <f>D248-C248</f>
        <v>653305</v>
      </c>
      <c r="F248" s="362">
        <f>IF(C248=0,0,E248/C248)</f>
        <v>9.5288220960797795E-2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702</v>
      </c>
      <c r="C249" s="353">
        <v>13570742</v>
      </c>
      <c r="D249" s="353">
        <v>12199395</v>
      </c>
      <c r="E249" s="353">
        <f>D249-C249</f>
        <v>-1371347</v>
      </c>
      <c r="F249" s="362">
        <f>IF(C249=0,0,E249/C249)</f>
        <v>-0.10105173320662938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703</v>
      </c>
      <c r="C250" s="353">
        <f>C248+C249</f>
        <v>20426836</v>
      </c>
      <c r="D250" s="353">
        <f>LN_IH4+LN_IH5</f>
        <v>19708794</v>
      </c>
      <c r="E250" s="353">
        <f>D250-C250</f>
        <v>-718042</v>
      </c>
      <c r="F250" s="362">
        <f>IF(C250=0,0,E250/C250)</f>
        <v>-3.5151895281285851E-2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704</v>
      </c>
      <c r="C251" s="353">
        <f>C250*C313</f>
        <v>6594775.1711328039</v>
      </c>
      <c r="D251" s="353">
        <f>LN_IH6*LN_III10</f>
        <v>6004919.3644543281</v>
      </c>
      <c r="E251" s="353">
        <f>D251-C251</f>
        <v>-589855.80667847581</v>
      </c>
      <c r="F251" s="362">
        <f>IF(C251=0,0,E251/C251)</f>
        <v>-8.9442898563159748E-2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705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641</v>
      </c>
      <c r="C254" s="353">
        <f>C188+C203</f>
        <v>137098815</v>
      </c>
      <c r="D254" s="353">
        <f>LN_IF23</f>
        <v>159568940</v>
      </c>
      <c r="E254" s="353">
        <f>D254-C254</f>
        <v>22470125</v>
      </c>
      <c r="F254" s="362">
        <f>IF(C254=0,0,E254/C254)</f>
        <v>0.1638972955382583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642</v>
      </c>
      <c r="C255" s="353">
        <f>C189+C204</f>
        <v>32272046</v>
      </c>
      <c r="D255" s="353">
        <f>LN_IF24</f>
        <v>31082795</v>
      </c>
      <c r="E255" s="353">
        <f>D255-C255</f>
        <v>-1189251</v>
      </c>
      <c r="F255" s="362">
        <f>IF(C255=0,0,E255/C255)</f>
        <v>-3.6850808901301144E-2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706</v>
      </c>
      <c r="C256" s="353">
        <f>C254*C313</f>
        <v>44262158.914563648</v>
      </c>
      <c r="D256" s="353">
        <f>LN_IH8*LN_III10</f>
        <v>48617820.946905769</v>
      </c>
      <c r="E256" s="353">
        <f>D256-C256</f>
        <v>4355662.032342121</v>
      </c>
      <c r="F256" s="362">
        <f>IF(C256=0,0,E256/C256)</f>
        <v>9.8406000501457022E-2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707</v>
      </c>
      <c r="C257" s="353">
        <f>C256-C255</f>
        <v>11990112.914563648</v>
      </c>
      <c r="D257" s="353">
        <f>LN_IH10-LN_IH9</f>
        <v>17535025.946905769</v>
      </c>
      <c r="E257" s="353">
        <f>D257-C257</f>
        <v>5544913.032342121</v>
      </c>
      <c r="F257" s="362">
        <f>IF(C257=0,0,E257/C257)</f>
        <v>0.4624571154460988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708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709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710</v>
      </c>
      <c r="C261" s="361">
        <f>C15+C42+C188+C221</f>
        <v>473660251</v>
      </c>
      <c r="D261" s="361">
        <f>LN_IA1+LN_IB1+LN_IF1+LN_IG1</f>
        <v>506827583</v>
      </c>
      <c r="E261" s="361">
        <f t="shared" ref="E261:E274" si="26">D261-C261</f>
        <v>33167332</v>
      </c>
      <c r="F261" s="415">
        <f t="shared" ref="F261:F274" si="27">IF(C261=0,0,E261/C261)</f>
        <v>7.0023464983554218E-2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711</v>
      </c>
      <c r="C262" s="361">
        <f>C16+C43+C189+C222</f>
        <v>147399165</v>
      </c>
      <c r="D262" s="361">
        <f>+LN_IA2+LN_IB2+LN_IF2+LN_IG2</f>
        <v>147913660</v>
      </c>
      <c r="E262" s="361">
        <f t="shared" si="26"/>
        <v>514495</v>
      </c>
      <c r="F262" s="415">
        <f t="shared" si="27"/>
        <v>3.4904878870921693E-3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712</v>
      </c>
      <c r="C263" s="366">
        <f>IF(C261=0,0,C262/C261)</f>
        <v>0.31119175545933664</v>
      </c>
      <c r="D263" s="366">
        <f>IF(LN_IIA1=0,0,LN_IIA2/LN_IIA1)</f>
        <v>0.29184216676699698</v>
      </c>
      <c r="E263" s="367">
        <f t="shared" si="26"/>
        <v>-1.9349588692339659E-2</v>
      </c>
      <c r="F263" s="371">
        <f t="shared" si="27"/>
        <v>-6.2178988848141464E-2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713</v>
      </c>
      <c r="C264" s="369">
        <f>C18+C45+C191+C224</f>
        <v>13855</v>
      </c>
      <c r="D264" s="369">
        <f>LN_IA4+LN_IB4+LN_IF4+LN_IG3</f>
        <v>14158</v>
      </c>
      <c r="E264" s="369">
        <f t="shared" si="26"/>
        <v>303</v>
      </c>
      <c r="F264" s="415">
        <f t="shared" si="27"/>
        <v>2.1869361241429085E-2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714</v>
      </c>
      <c r="C265" s="439">
        <f>IF(C264=0,0,C266/C264)</f>
        <v>1.21346661854926</v>
      </c>
      <c r="D265" s="439">
        <f>IF(LN_IIA4=0,0,LN_IIA6/LN_IIA4)</f>
        <v>1.2326168173470831</v>
      </c>
      <c r="E265" s="439">
        <f t="shared" si="26"/>
        <v>1.9150198797823093E-2</v>
      </c>
      <c r="F265" s="415">
        <f t="shared" si="27"/>
        <v>1.578139728369108E-2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715</v>
      </c>
      <c r="C266" s="376">
        <f>C20+C47+C193+C226</f>
        <v>16812.579999999998</v>
      </c>
      <c r="D266" s="376">
        <f>LN_IA6+LN_IB6+LN_IF6+LN_IG5</f>
        <v>17451.388900000002</v>
      </c>
      <c r="E266" s="376">
        <f t="shared" si="26"/>
        <v>638.80890000000363</v>
      </c>
      <c r="F266" s="415">
        <f t="shared" si="27"/>
        <v>3.7995887603211626E-2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716</v>
      </c>
      <c r="C267" s="361">
        <f>C27+C56+C203+C233</f>
        <v>560012120</v>
      </c>
      <c r="D267" s="361">
        <f>LN_IA11+LN_IB13+LN_IF14+LN_IG9</f>
        <v>612322696</v>
      </c>
      <c r="E267" s="361">
        <f t="shared" si="26"/>
        <v>52310576</v>
      </c>
      <c r="F267" s="415">
        <f t="shared" si="27"/>
        <v>9.3409721203891086E-2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637</v>
      </c>
      <c r="C268" s="366">
        <f>IF(C261=0,0,C267/C261)</f>
        <v>1.1823076114529187</v>
      </c>
      <c r="D268" s="366">
        <f>IF(LN_IIA1=0,0,LN_IIA7/LN_IIA1)</f>
        <v>1.2081479314435812</v>
      </c>
      <c r="E268" s="367">
        <f t="shared" si="26"/>
        <v>2.5840319990662497E-2</v>
      </c>
      <c r="F268" s="371">
        <f t="shared" si="27"/>
        <v>2.1855834928532471E-2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717</v>
      </c>
      <c r="C269" s="361">
        <f>C28+C57+C204+C234</f>
        <v>183150320</v>
      </c>
      <c r="D269" s="361">
        <f>LN_IA12+LN_IB14+LN_IF15+LN_IG10</f>
        <v>191463972</v>
      </c>
      <c r="E269" s="361">
        <f t="shared" si="26"/>
        <v>8313652</v>
      </c>
      <c r="F269" s="415">
        <f t="shared" si="27"/>
        <v>4.5392506002719518E-2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636</v>
      </c>
      <c r="C270" s="366">
        <f>IF(C267=0,0,C269/C267)</f>
        <v>0.32704706462424421</v>
      </c>
      <c r="D270" s="366">
        <f>IF(LN_IIA7=0,0,LN_IIA9/LN_IIA7)</f>
        <v>0.31268475470652812</v>
      </c>
      <c r="E270" s="367">
        <f t="shared" si="26"/>
        <v>-1.4362309917716087E-2</v>
      </c>
      <c r="F270" s="371">
        <f t="shared" si="27"/>
        <v>-4.3915116419764984E-2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718</v>
      </c>
      <c r="C271" s="353">
        <f>C261+C267</f>
        <v>1033672371</v>
      </c>
      <c r="D271" s="353">
        <f>LN_IIA1+LN_IIA7</f>
        <v>1119150279</v>
      </c>
      <c r="E271" s="353">
        <f t="shared" si="26"/>
        <v>85477908</v>
      </c>
      <c r="F271" s="415">
        <f t="shared" si="27"/>
        <v>8.2693424336481566E-2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719</v>
      </c>
      <c r="C272" s="353">
        <f>C262+C269</f>
        <v>330549485</v>
      </c>
      <c r="D272" s="353">
        <f>LN_IIA2+LN_IIA9</f>
        <v>339377632</v>
      </c>
      <c r="E272" s="353">
        <f t="shared" si="26"/>
        <v>8828147</v>
      </c>
      <c r="F272" s="415">
        <f t="shared" si="27"/>
        <v>2.6707489802926178E-2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720</v>
      </c>
      <c r="C273" s="366">
        <f>IF(C271=0,0,C272/C271)</f>
        <v>0.31978167770917426</v>
      </c>
      <c r="D273" s="366">
        <f>IF(LN_IIA11=0,0,LN_IIA12/LN_IIA11)</f>
        <v>0.30324580922523275</v>
      </c>
      <c r="E273" s="367">
        <f t="shared" si="26"/>
        <v>-1.6535868483941507E-2</v>
      </c>
      <c r="F273" s="371">
        <f t="shared" si="27"/>
        <v>-5.1709868440242744E-2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59935</v>
      </c>
      <c r="D274" s="421">
        <f>LN_IA8+LN_IB10+LN_IF11+LN_IG6</f>
        <v>59473</v>
      </c>
      <c r="E274" s="442">
        <f t="shared" si="26"/>
        <v>-462</v>
      </c>
      <c r="F274" s="371">
        <f t="shared" si="27"/>
        <v>-7.7083507132727118E-3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721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722</v>
      </c>
      <c r="C277" s="361">
        <f>C15+C188+C221</f>
        <v>331640653</v>
      </c>
      <c r="D277" s="361">
        <f>LN_IA1+LN_IF1+LN_IG1</f>
        <v>364969226</v>
      </c>
      <c r="E277" s="361">
        <f t="shared" ref="E277:E291" si="28">D277-C277</f>
        <v>33328573</v>
      </c>
      <c r="F277" s="415">
        <f t="shared" ref="F277:F291" si="29">IF(C277=0,0,E277/C277)</f>
        <v>0.10049604202172403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723</v>
      </c>
      <c r="C278" s="361">
        <f>C16+C189+C222</f>
        <v>81272557</v>
      </c>
      <c r="D278" s="361">
        <f>LN_IA2+LN_IF2+LN_IG2</f>
        <v>83972566</v>
      </c>
      <c r="E278" s="361">
        <f t="shared" si="28"/>
        <v>2700009</v>
      </c>
      <c r="F278" s="415">
        <f t="shared" si="29"/>
        <v>3.3221656850294497E-2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724</v>
      </c>
      <c r="C279" s="366">
        <f>IF(C277=0,0,C278/C277)</f>
        <v>0.24506210642396728</v>
      </c>
      <c r="D279" s="366">
        <f>IF(D277=0,0,LN_IIB2/D277)</f>
        <v>0.23008122334127973</v>
      </c>
      <c r="E279" s="367">
        <f t="shared" si="28"/>
        <v>-1.4980883082687552E-2</v>
      </c>
      <c r="F279" s="371">
        <f t="shared" si="29"/>
        <v>-6.1130965130814729E-2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725</v>
      </c>
      <c r="C280" s="369">
        <f>C18+C191+C224</f>
        <v>9449</v>
      </c>
      <c r="D280" s="369">
        <f>LN_IA4+LN_IF4+LN_IG3</f>
        <v>9737</v>
      </c>
      <c r="E280" s="369">
        <f t="shared" si="28"/>
        <v>288</v>
      </c>
      <c r="F280" s="415">
        <f t="shared" si="29"/>
        <v>3.0479415811196953E-2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726</v>
      </c>
      <c r="C281" s="439">
        <f>IF(C280=0,0,C282/C280)</f>
        <v>1.2542516668430526</v>
      </c>
      <c r="D281" s="439">
        <f>IF(LN_IIB4=0,0,LN_IIB6/LN_IIB4)</f>
        <v>1.2882445106295575</v>
      </c>
      <c r="E281" s="439">
        <f t="shared" si="28"/>
        <v>3.3992843786504912E-2</v>
      </c>
      <c r="F281" s="415">
        <f t="shared" si="29"/>
        <v>2.7102091777214687E-2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727</v>
      </c>
      <c r="C282" s="376">
        <f>C20+C193+C226</f>
        <v>11851.424000000003</v>
      </c>
      <c r="D282" s="376">
        <f>LN_IA6+LN_IF6+LN_IG5</f>
        <v>12543.6368</v>
      </c>
      <c r="E282" s="376">
        <f t="shared" si="28"/>
        <v>692.21279999999751</v>
      </c>
      <c r="F282" s="415">
        <f t="shared" si="29"/>
        <v>5.8407563513042597E-2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728</v>
      </c>
      <c r="C283" s="361">
        <f>C27+C203+C233</f>
        <v>285809633</v>
      </c>
      <c r="D283" s="361">
        <f>LN_IA11+LN_IF14+LN_IG9</f>
        <v>318952999</v>
      </c>
      <c r="E283" s="361">
        <f t="shared" si="28"/>
        <v>33143366</v>
      </c>
      <c r="F283" s="415">
        <f t="shared" si="29"/>
        <v>0.11596308232200138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729</v>
      </c>
      <c r="C284" s="366">
        <f>IF(C277=0,0,C283/C277)</f>
        <v>0.86180518104335058</v>
      </c>
      <c r="D284" s="366">
        <f>IF(D277=0,0,LN_IIB7/D277)</f>
        <v>0.87391751489754377</v>
      </c>
      <c r="E284" s="367">
        <f t="shared" si="28"/>
        <v>1.2112333854193191E-2</v>
      </c>
      <c r="F284" s="371">
        <f t="shared" si="29"/>
        <v>1.4054607840172541E-2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730</v>
      </c>
      <c r="C285" s="361">
        <f>C28+C204+C234</f>
        <v>66170985</v>
      </c>
      <c r="D285" s="361">
        <f>LN_IA12+LN_IF15+LN_IG10</f>
        <v>67354158</v>
      </c>
      <c r="E285" s="361">
        <f t="shared" si="28"/>
        <v>1183173</v>
      </c>
      <c r="F285" s="415">
        <f t="shared" si="29"/>
        <v>1.7880540844299055E-2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731</v>
      </c>
      <c r="C286" s="366">
        <f>IF(C283=0,0,C285/C283)</f>
        <v>0.23152118529188973</v>
      </c>
      <c r="D286" s="366">
        <f>IF(LN_IIB7=0,0,LN_IIB9/LN_IIB7)</f>
        <v>0.21117267500594969</v>
      </c>
      <c r="E286" s="367">
        <f t="shared" si="28"/>
        <v>-2.0348510285940036E-2</v>
      </c>
      <c r="F286" s="371">
        <f t="shared" si="29"/>
        <v>-8.7890489418001663E-2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732</v>
      </c>
      <c r="C287" s="353">
        <f>C277+C283</f>
        <v>617450286</v>
      </c>
      <c r="D287" s="353">
        <f>D277+LN_IIB7</f>
        <v>683922225</v>
      </c>
      <c r="E287" s="353">
        <f t="shared" si="28"/>
        <v>66471939</v>
      </c>
      <c r="F287" s="415">
        <f t="shared" si="29"/>
        <v>0.10765553196294091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733</v>
      </c>
      <c r="C288" s="353">
        <f>C278+C285</f>
        <v>147443542</v>
      </c>
      <c r="D288" s="353">
        <f>LN_IIB2+LN_IIB9</f>
        <v>151326724</v>
      </c>
      <c r="E288" s="353">
        <f t="shared" si="28"/>
        <v>3883182</v>
      </c>
      <c r="F288" s="415">
        <f t="shared" si="29"/>
        <v>2.6336738437821847E-2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734</v>
      </c>
      <c r="C289" s="366">
        <f>IF(C287=0,0,C288/C287)</f>
        <v>0.23879419176429048</v>
      </c>
      <c r="D289" s="366">
        <f>IF(LN_IIB11=0,0,LN_IIB12/LN_IIB11)</f>
        <v>0.22126305955329936</v>
      </c>
      <c r="E289" s="367">
        <f t="shared" si="28"/>
        <v>-1.7531132210991118E-2</v>
      </c>
      <c r="F289" s="371">
        <f t="shared" si="29"/>
        <v>-7.3415237118898552E-2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44074</v>
      </c>
      <c r="D290" s="421">
        <f>LN_IA8+LN_IF11+LN_IG6</f>
        <v>44109</v>
      </c>
      <c r="E290" s="442">
        <f t="shared" si="28"/>
        <v>35</v>
      </c>
      <c r="F290" s="371">
        <f t="shared" si="29"/>
        <v>7.9411898171257431E-4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735</v>
      </c>
      <c r="C291" s="361">
        <f>C287-C288</f>
        <v>470006744</v>
      </c>
      <c r="D291" s="429">
        <f>LN_IIB11-LN_IIB12</f>
        <v>532595501</v>
      </c>
      <c r="E291" s="353">
        <f t="shared" si="28"/>
        <v>62588757</v>
      </c>
      <c r="F291" s="415">
        <f t="shared" si="29"/>
        <v>0.13316565729958973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632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623</v>
      </c>
      <c r="C294" s="379">
        <f>IF(C18=0,0,C22/C18)</f>
        <v>4.7733622677336225</v>
      </c>
      <c r="D294" s="379">
        <f>IF(LN_IA4=0,0,LN_IA8/LN_IA4)</f>
        <v>4.6237229666976249</v>
      </c>
      <c r="E294" s="379">
        <f t="shared" ref="E294:E300" si="30">D294-C294</f>
        <v>-0.14963930103599754</v>
      </c>
      <c r="F294" s="415">
        <f t="shared" ref="F294:F300" si="31">IF(C294=0,0,E294/C294)</f>
        <v>-3.1348825553742396E-2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644</v>
      </c>
      <c r="C295" s="379">
        <f>IF(C45=0,0,C51/C45)</f>
        <v>3.5998638220608261</v>
      </c>
      <c r="D295" s="379">
        <f>IF(LN_IB4=0,0,(LN_IB10)/(LN_IB4))</f>
        <v>3.4752318479981903</v>
      </c>
      <c r="E295" s="379">
        <f t="shared" si="30"/>
        <v>-0.12463197406263582</v>
      </c>
      <c r="F295" s="415">
        <f t="shared" si="31"/>
        <v>-3.4621302422292E-2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659</v>
      </c>
      <c r="C296" s="379">
        <f>IF(C86=0,0,C93/C86)</f>
        <v>4.3134328358208958</v>
      </c>
      <c r="D296" s="379">
        <f>IF(LN_IC4=0,0,LN_IC11/LN_IC4)</f>
        <v>4.1703296703296706</v>
      </c>
      <c r="E296" s="379">
        <f t="shared" si="30"/>
        <v>-0.14310316549122515</v>
      </c>
      <c r="F296" s="415">
        <f t="shared" si="31"/>
        <v>-3.3176166394159462E-2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4.2983234714003942</v>
      </c>
      <c r="D297" s="379">
        <f>IF(LN_ID4=0,0,LN_ID11/LN_ID4)</f>
        <v>4.2549111318989707</v>
      </c>
      <c r="E297" s="379">
        <f t="shared" si="30"/>
        <v>-4.3412339501423425E-2</v>
      </c>
      <c r="F297" s="415">
        <f t="shared" si="31"/>
        <v>-1.009983073406983E-2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736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3.3958333333333335</v>
      </c>
      <c r="D299" s="379">
        <f>IF(LN_IG3=0,0,LN_IG6/LN_IG3)</f>
        <v>2.629032258064516</v>
      </c>
      <c r="E299" s="379">
        <f t="shared" si="30"/>
        <v>-0.76680107526881747</v>
      </c>
      <c r="F299" s="415">
        <f t="shared" si="31"/>
        <v>-0.2258064516129033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737</v>
      </c>
      <c r="C300" s="379">
        <f>IF(C264=0,0,C274/C264)</f>
        <v>4.3258751353302056</v>
      </c>
      <c r="D300" s="379">
        <f>IF(LN_IIA4=0,0,LN_IIA14/LN_IIA4)</f>
        <v>4.2006639355841218</v>
      </c>
      <c r="E300" s="379">
        <f t="shared" si="30"/>
        <v>-0.12521119974608386</v>
      </c>
      <c r="F300" s="415">
        <f t="shared" si="31"/>
        <v>-2.8944709643480303E-2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738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732</v>
      </c>
      <c r="C304" s="353">
        <f>C35+C66+C214+C221+C233</f>
        <v>1033672371</v>
      </c>
      <c r="D304" s="353">
        <f>LN_IIA11</f>
        <v>1119150279</v>
      </c>
      <c r="E304" s="353">
        <f t="shared" ref="E304:E316" si="32">D304-C304</f>
        <v>85477908</v>
      </c>
      <c r="F304" s="362">
        <f>IF(C304=0,0,E304/C304)</f>
        <v>8.2693424336481566E-2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735</v>
      </c>
      <c r="C305" s="353">
        <f>C291</f>
        <v>470006744</v>
      </c>
      <c r="D305" s="353">
        <f>LN_IIB14</f>
        <v>532595501</v>
      </c>
      <c r="E305" s="353">
        <f t="shared" si="32"/>
        <v>62588757</v>
      </c>
      <c r="F305" s="362">
        <f>IF(C305=0,0,E305/C305)</f>
        <v>0.13316565729958973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739</v>
      </c>
      <c r="C306" s="353">
        <f>C250</f>
        <v>20426836</v>
      </c>
      <c r="D306" s="353">
        <f>LN_IH6</f>
        <v>19708794</v>
      </c>
      <c r="E306" s="353">
        <f t="shared" si="32"/>
        <v>-718042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740</v>
      </c>
      <c r="C307" s="353">
        <f>C73-C74</f>
        <v>192878887</v>
      </c>
      <c r="D307" s="353">
        <f>LN_IB32-LN_IB33</f>
        <v>209014806</v>
      </c>
      <c r="E307" s="353">
        <f t="shared" si="32"/>
        <v>16135919</v>
      </c>
      <c r="F307" s="362">
        <f t="shared" ref="F307:F316" si="33">IF(C307=0,0,E307/C307)</f>
        <v>8.3658295892178186E-2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741</v>
      </c>
      <c r="C308" s="353">
        <v>16640238</v>
      </c>
      <c r="D308" s="353">
        <v>16845972</v>
      </c>
      <c r="E308" s="353">
        <f t="shared" si="32"/>
        <v>205734</v>
      </c>
      <c r="F308" s="362">
        <f t="shared" si="33"/>
        <v>1.2363645279592756E-2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742</v>
      </c>
      <c r="C309" s="353">
        <f>C305+C307+C308+C306</f>
        <v>699952705</v>
      </c>
      <c r="D309" s="353">
        <f>LN_III2+LN_III3+LN_III4+LN_III5</f>
        <v>778165073</v>
      </c>
      <c r="E309" s="353">
        <f t="shared" si="32"/>
        <v>78212368</v>
      </c>
      <c r="F309" s="362">
        <f t="shared" si="33"/>
        <v>0.11173950388548037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743</v>
      </c>
      <c r="C310" s="353">
        <f>C304-C309</f>
        <v>333719666</v>
      </c>
      <c r="D310" s="353">
        <f>LN_III1-LN_III6</f>
        <v>340985206</v>
      </c>
      <c r="E310" s="353">
        <f t="shared" si="32"/>
        <v>7265540</v>
      </c>
      <c r="F310" s="362">
        <f t="shared" si="33"/>
        <v>2.1771387006002816E-2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744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745</v>
      </c>
      <c r="C312" s="353">
        <f>C310+C311</f>
        <v>333719666</v>
      </c>
      <c r="D312" s="353">
        <f>LN_III7+LN_III8</f>
        <v>340985206</v>
      </c>
      <c r="E312" s="353">
        <f t="shared" si="32"/>
        <v>7265540</v>
      </c>
      <c r="F312" s="362">
        <f t="shared" si="33"/>
        <v>2.1771387006002816E-2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746</v>
      </c>
      <c r="C313" s="448">
        <f>IF(C304=0,0,C312/C304)</f>
        <v>0.32284858854953374</v>
      </c>
      <c r="D313" s="448">
        <f>IF(LN_III1=0,0,LN_III9/LN_III1)</f>
        <v>0.30468223293897778</v>
      </c>
      <c r="E313" s="448">
        <f t="shared" si="32"/>
        <v>-1.8166355610555962E-2</v>
      </c>
      <c r="F313" s="362">
        <f t="shared" si="33"/>
        <v>-5.6268964012425128E-2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704</v>
      </c>
      <c r="C314" s="353">
        <f>C306*C313</f>
        <v>6594775.1711328039</v>
      </c>
      <c r="D314" s="353">
        <f>D313*LN_III5</f>
        <v>6004919.3644543281</v>
      </c>
      <c r="E314" s="353">
        <f t="shared" si="32"/>
        <v>-589855.80667847581</v>
      </c>
      <c r="F314" s="362">
        <f t="shared" si="33"/>
        <v>-8.9442898563159748E-2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707</v>
      </c>
      <c r="C315" s="353">
        <f>(C214*C313)-C215</f>
        <v>11990112.914563648</v>
      </c>
      <c r="D315" s="353">
        <f>D313*LN_IH8-LN_IH9</f>
        <v>17535025.946905769</v>
      </c>
      <c r="E315" s="353">
        <f t="shared" si="32"/>
        <v>5544913.032342121</v>
      </c>
      <c r="F315" s="362">
        <f t="shared" si="33"/>
        <v>0.4624571154460988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747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748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749</v>
      </c>
      <c r="C318" s="353">
        <f>C314+C315+C316</f>
        <v>18584888.085696451</v>
      </c>
      <c r="D318" s="353">
        <f>D314+D315+D316</f>
        <v>23539945.311360098</v>
      </c>
      <c r="E318" s="353">
        <f>D318-C318</f>
        <v>4955057.2256636471</v>
      </c>
      <c r="F318" s="362">
        <f>IF(C318=0,0,E318/C318)</f>
        <v>0.26661754447029595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750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5112634.7696870258</v>
      </c>
      <c r="D322" s="353">
        <f>LN_ID22</f>
        <v>7098586.2008401882</v>
      </c>
      <c r="E322" s="353">
        <f>LN_IV2-C322</f>
        <v>1985951.4311531624</v>
      </c>
      <c r="F322" s="362">
        <f>IF(C322=0,0,E322/C322)</f>
        <v>0.38843991808840556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736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751</v>
      </c>
      <c r="C324" s="353">
        <f>C92+C106</f>
        <v>-2890352.1092822459</v>
      </c>
      <c r="D324" s="353">
        <f>LN_IC10+LN_IC22</f>
        <v>-3064216.1078764033</v>
      </c>
      <c r="E324" s="353">
        <f>LN_IV1-C324</f>
        <v>-173863.9985941574</v>
      </c>
      <c r="F324" s="362">
        <f>IF(C324=0,0,E324/C324)</f>
        <v>6.0153224251052455E-2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752</v>
      </c>
      <c r="C325" s="429">
        <f>C324+C322+C323</f>
        <v>2222282.6604047799</v>
      </c>
      <c r="D325" s="429">
        <f>LN_IV1+LN_IV2+LN_IV3</f>
        <v>4034370.0929637849</v>
      </c>
      <c r="E325" s="353">
        <f>LN_IV4-C325</f>
        <v>1812087.432559005</v>
      </c>
      <c r="F325" s="362">
        <f>IF(C325=0,0,E325/C325)</f>
        <v>0.81541716760231597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753</v>
      </c>
      <c r="B327" s="446" t="s">
        <v>754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755</v>
      </c>
      <c r="C329" s="431">
        <v>23580041</v>
      </c>
      <c r="D329" s="431">
        <v>23313424</v>
      </c>
      <c r="E329" s="431">
        <f t="shared" ref="E329:E335" si="34">D329-C329</f>
        <v>-266617</v>
      </c>
      <c r="F329" s="462">
        <f t="shared" ref="F329:F335" si="35">IF(C329=0,0,E329/C329)</f>
        <v>-1.1306892977836637E-2</v>
      </c>
    </row>
    <row r="330" spans="1:22" s="333" customFormat="1" ht="11.25" customHeight="1" x14ac:dyDescent="0.2">
      <c r="A330" s="364">
        <v>2</v>
      </c>
      <c r="B330" s="360" t="s">
        <v>756</v>
      </c>
      <c r="C330" s="429">
        <v>5563767</v>
      </c>
      <c r="D330" s="429">
        <v>8457989</v>
      </c>
      <c r="E330" s="431">
        <f t="shared" si="34"/>
        <v>2894222</v>
      </c>
      <c r="F330" s="463">
        <f t="shared" si="35"/>
        <v>0.52019108636289046</v>
      </c>
    </row>
    <row r="331" spans="1:22" s="333" customFormat="1" ht="11.25" customHeight="1" x14ac:dyDescent="0.2">
      <c r="A331" s="339">
        <v>3</v>
      </c>
      <c r="B331" s="360" t="s">
        <v>757</v>
      </c>
      <c r="C331" s="429">
        <v>336113214</v>
      </c>
      <c r="D331" s="429">
        <v>347835624</v>
      </c>
      <c r="E331" s="431">
        <f t="shared" si="34"/>
        <v>11722410</v>
      </c>
      <c r="F331" s="462">
        <f t="shared" si="35"/>
        <v>3.4876373530497377E-2</v>
      </c>
    </row>
    <row r="332" spans="1:22" s="333" customFormat="1" ht="11.25" customHeight="1" x14ac:dyDescent="0.2">
      <c r="A332" s="364">
        <v>4</v>
      </c>
      <c r="B332" s="360" t="s">
        <v>758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759</v>
      </c>
      <c r="C333" s="429">
        <v>1033672371</v>
      </c>
      <c r="D333" s="429">
        <v>1119150279</v>
      </c>
      <c r="E333" s="431">
        <f t="shared" si="34"/>
        <v>85477908</v>
      </c>
      <c r="F333" s="462">
        <f t="shared" si="35"/>
        <v>8.2693424336481566E-2</v>
      </c>
    </row>
    <row r="334" spans="1:22" s="333" customFormat="1" ht="11.25" customHeight="1" x14ac:dyDescent="0.2">
      <c r="A334" s="339">
        <v>6</v>
      </c>
      <c r="B334" s="360" t="s">
        <v>760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761</v>
      </c>
      <c r="C335" s="429">
        <v>20426836</v>
      </c>
      <c r="D335" s="429">
        <v>19708794</v>
      </c>
      <c r="E335" s="429">
        <f t="shared" si="34"/>
        <v>-718042</v>
      </c>
      <c r="F335" s="462">
        <f t="shared" si="35"/>
        <v>-3.5151895281285851E-2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FILING&amp;RMIDDLESEX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614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762</v>
      </c>
      <c r="B5" s="710"/>
      <c r="C5" s="710"/>
      <c r="D5" s="710"/>
      <c r="E5" s="710"/>
    </row>
    <row r="6" spans="1:5" s="338" customFormat="1" ht="15.75" customHeight="1" x14ac:dyDescent="0.25">
      <c r="A6" s="710" t="s">
        <v>763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764</v>
      </c>
      <c r="D9" s="494" t="s">
        <v>765</v>
      </c>
      <c r="E9" s="495" t="s">
        <v>766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767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768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644</v>
      </c>
      <c r="C14" s="513">
        <v>142019598</v>
      </c>
      <c r="D14" s="513">
        <v>141858357</v>
      </c>
      <c r="E14" s="514">
        <f t="shared" ref="E14:E22" si="0">D14-C14</f>
        <v>-161241</v>
      </c>
    </row>
    <row r="15" spans="1:5" s="506" customFormat="1" x14ac:dyDescent="0.2">
      <c r="A15" s="512">
        <v>2</v>
      </c>
      <c r="B15" s="511" t="s">
        <v>623</v>
      </c>
      <c r="C15" s="513">
        <v>274740403</v>
      </c>
      <c r="D15" s="515">
        <v>300009429</v>
      </c>
      <c r="E15" s="514">
        <f t="shared" si="0"/>
        <v>25269026</v>
      </c>
    </row>
    <row r="16" spans="1:5" s="506" customFormat="1" x14ac:dyDescent="0.2">
      <c r="A16" s="512">
        <v>3</v>
      </c>
      <c r="B16" s="511" t="s">
        <v>769</v>
      </c>
      <c r="C16" s="513">
        <v>55732451</v>
      </c>
      <c r="D16" s="515">
        <v>63620043</v>
      </c>
      <c r="E16" s="514">
        <f t="shared" si="0"/>
        <v>7887592</v>
      </c>
    </row>
    <row r="17" spans="1:5" s="506" customFormat="1" x14ac:dyDescent="0.2">
      <c r="A17" s="512">
        <v>4</v>
      </c>
      <c r="B17" s="511" t="s">
        <v>114</v>
      </c>
      <c r="C17" s="513">
        <v>55732451</v>
      </c>
      <c r="D17" s="515">
        <v>63620043</v>
      </c>
      <c r="E17" s="514">
        <f t="shared" si="0"/>
        <v>7887592</v>
      </c>
    </row>
    <row r="18" spans="1:5" s="506" customFormat="1" x14ac:dyDescent="0.2">
      <c r="A18" s="512">
        <v>5</v>
      </c>
      <c r="B18" s="511" t="s">
        <v>736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1167799</v>
      </c>
      <c r="D19" s="515">
        <v>1339754</v>
      </c>
      <c r="E19" s="514">
        <f t="shared" si="0"/>
        <v>171955</v>
      </c>
    </row>
    <row r="20" spans="1:5" s="506" customFormat="1" x14ac:dyDescent="0.2">
      <c r="A20" s="512">
        <v>7</v>
      </c>
      <c r="B20" s="511" t="s">
        <v>751</v>
      </c>
      <c r="C20" s="513">
        <v>6310560</v>
      </c>
      <c r="D20" s="515">
        <v>6206111</v>
      </c>
      <c r="E20" s="514">
        <f t="shared" si="0"/>
        <v>-104449</v>
      </c>
    </row>
    <row r="21" spans="1:5" s="506" customFormat="1" x14ac:dyDescent="0.2">
      <c r="A21" s="512"/>
      <c r="B21" s="516" t="s">
        <v>770</v>
      </c>
      <c r="C21" s="517">
        <f>SUM(C15+C16+C19)</f>
        <v>331640653</v>
      </c>
      <c r="D21" s="517">
        <f>SUM(D15+D16+D19)</f>
        <v>364969226</v>
      </c>
      <c r="E21" s="517">
        <f t="shared" si="0"/>
        <v>33328573</v>
      </c>
    </row>
    <row r="22" spans="1:5" s="506" customFormat="1" x14ac:dyDescent="0.2">
      <c r="A22" s="512"/>
      <c r="B22" s="516" t="s">
        <v>710</v>
      </c>
      <c r="C22" s="517">
        <f>SUM(C14+C21)</f>
        <v>473660251</v>
      </c>
      <c r="D22" s="517">
        <f>SUM(D14+D21)</f>
        <v>506827583</v>
      </c>
      <c r="E22" s="517">
        <f t="shared" si="0"/>
        <v>33167332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771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644</v>
      </c>
      <c r="C25" s="513">
        <v>274202487</v>
      </c>
      <c r="D25" s="513">
        <v>293369697</v>
      </c>
      <c r="E25" s="514">
        <f t="shared" ref="E25:E33" si="1">D25-C25</f>
        <v>19167210</v>
      </c>
    </row>
    <row r="26" spans="1:5" s="506" customFormat="1" x14ac:dyDescent="0.2">
      <c r="A26" s="512">
        <v>2</v>
      </c>
      <c r="B26" s="511" t="s">
        <v>623</v>
      </c>
      <c r="C26" s="513">
        <v>202223329</v>
      </c>
      <c r="D26" s="515">
        <v>220377833</v>
      </c>
      <c r="E26" s="514">
        <f t="shared" si="1"/>
        <v>18154504</v>
      </c>
    </row>
    <row r="27" spans="1:5" s="506" customFormat="1" x14ac:dyDescent="0.2">
      <c r="A27" s="512">
        <v>3</v>
      </c>
      <c r="B27" s="511" t="s">
        <v>769</v>
      </c>
      <c r="C27" s="513">
        <v>81366364</v>
      </c>
      <c r="D27" s="515">
        <v>95948897</v>
      </c>
      <c r="E27" s="514">
        <f t="shared" si="1"/>
        <v>14582533</v>
      </c>
    </row>
    <row r="28" spans="1:5" s="506" customFormat="1" x14ac:dyDescent="0.2">
      <c r="A28" s="512">
        <v>4</v>
      </c>
      <c r="B28" s="511" t="s">
        <v>114</v>
      </c>
      <c r="C28" s="513">
        <v>81366364</v>
      </c>
      <c r="D28" s="515">
        <v>95948897</v>
      </c>
      <c r="E28" s="514">
        <f t="shared" si="1"/>
        <v>14582533</v>
      </c>
    </row>
    <row r="29" spans="1:5" s="506" customFormat="1" x14ac:dyDescent="0.2">
      <c r="A29" s="512">
        <v>5</v>
      </c>
      <c r="B29" s="511" t="s">
        <v>736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2219940</v>
      </c>
      <c r="D30" s="515">
        <v>2626269</v>
      </c>
      <c r="E30" s="514">
        <f t="shared" si="1"/>
        <v>406329</v>
      </c>
    </row>
    <row r="31" spans="1:5" s="506" customFormat="1" x14ac:dyDescent="0.2">
      <c r="A31" s="512">
        <v>7</v>
      </c>
      <c r="B31" s="511" t="s">
        <v>751</v>
      </c>
      <c r="C31" s="514">
        <v>13906189</v>
      </c>
      <c r="D31" s="518">
        <v>13838417</v>
      </c>
      <c r="E31" s="514">
        <f t="shared" si="1"/>
        <v>-67772</v>
      </c>
    </row>
    <row r="32" spans="1:5" s="506" customFormat="1" x14ac:dyDescent="0.2">
      <c r="A32" s="512"/>
      <c r="B32" s="516" t="s">
        <v>772</v>
      </c>
      <c r="C32" s="517">
        <f>SUM(C26+C27+C30)</f>
        <v>285809633</v>
      </c>
      <c r="D32" s="517">
        <f>SUM(D26+D27+D30)</f>
        <v>318952999</v>
      </c>
      <c r="E32" s="517">
        <f t="shared" si="1"/>
        <v>33143366</v>
      </c>
    </row>
    <row r="33" spans="1:5" s="506" customFormat="1" x14ac:dyDescent="0.2">
      <c r="A33" s="512"/>
      <c r="B33" s="516" t="s">
        <v>716</v>
      </c>
      <c r="C33" s="517">
        <f>SUM(C25+C32)</f>
        <v>560012120</v>
      </c>
      <c r="D33" s="517">
        <f>SUM(D25+D32)</f>
        <v>612322696</v>
      </c>
      <c r="E33" s="517">
        <f t="shared" si="1"/>
        <v>52310576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641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773</v>
      </c>
      <c r="C36" s="514">
        <f t="shared" ref="C36:D42" si="2">C14+C25</f>
        <v>416222085</v>
      </c>
      <c r="D36" s="514">
        <f t="shared" si="2"/>
        <v>435228054</v>
      </c>
      <c r="E36" s="514">
        <f t="shared" ref="E36:E44" si="3">D36-C36</f>
        <v>19005969</v>
      </c>
    </row>
    <row r="37" spans="1:5" s="506" customFormat="1" x14ac:dyDescent="0.2">
      <c r="A37" s="512">
        <v>2</v>
      </c>
      <c r="B37" s="511" t="s">
        <v>774</v>
      </c>
      <c r="C37" s="514">
        <f t="shared" si="2"/>
        <v>476963732</v>
      </c>
      <c r="D37" s="514">
        <f t="shared" si="2"/>
        <v>520387262</v>
      </c>
      <c r="E37" s="514">
        <f t="shared" si="3"/>
        <v>43423530</v>
      </c>
    </row>
    <row r="38" spans="1:5" s="506" customFormat="1" x14ac:dyDescent="0.2">
      <c r="A38" s="512">
        <v>3</v>
      </c>
      <c r="B38" s="511" t="s">
        <v>775</v>
      </c>
      <c r="C38" s="514">
        <f t="shared" si="2"/>
        <v>137098815</v>
      </c>
      <c r="D38" s="514">
        <f t="shared" si="2"/>
        <v>159568940</v>
      </c>
      <c r="E38" s="514">
        <f t="shared" si="3"/>
        <v>22470125</v>
      </c>
    </row>
    <row r="39" spans="1:5" s="506" customFormat="1" x14ac:dyDescent="0.2">
      <c r="A39" s="512">
        <v>4</v>
      </c>
      <c r="B39" s="511" t="s">
        <v>776</v>
      </c>
      <c r="C39" s="514">
        <f t="shared" si="2"/>
        <v>137098815</v>
      </c>
      <c r="D39" s="514">
        <f t="shared" si="2"/>
        <v>159568940</v>
      </c>
      <c r="E39" s="514">
        <f t="shared" si="3"/>
        <v>22470125</v>
      </c>
    </row>
    <row r="40" spans="1:5" s="506" customFormat="1" x14ac:dyDescent="0.2">
      <c r="A40" s="512">
        <v>5</v>
      </c>
      <c r="B40" s="511" t="s">
        <v>777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778</v>
      </c>
      <c r="C41" s="514">
        <f t="shared" si="2"/>
        <v>3387739</v>
      </c>
      <c r="D41" s="514">
        <f t="shared" si="2"/>
        <v>3966023</v>
      </c>
      <c r="E41" s="514">
        <f t="shared" si="3"/>
        <v>578284</v>
      </c>
    </row>
    <row r="42" spans="1:5" s="506" customFormat="1" x14ac:dyDescent="0.2">
      <c r="A42" s="512">
        <v>7</v>
      </c>
      <c r="B42" s="511" t="s">
        <v>779</v>
      </c>
      <c r="C42" s="514">
        <f t="shared" si="2"/>
        <v>20216749</v>
      </c>
      <c r="D42" s="514">
        <f t="shared" si="2"/>
        <v>20044528</v>
      </c>
      <c r="E42" s="514">
        <f t="shared" si="3"/>
        <v>-172221</v>
      </c>
    </row>
    <row r="43" spans="1:5" s="506" customFormat="1" x14ac:dyDescent="0.2">
      <c r="A43" s="512"/>
      <c r="B43" s="516" t="s">
        <v>780</v>
      </c>
      <c r="C43" s="517">
        <f>SUM(C37+C38+C41)</f>
        <v>617450286</v>
      </c>
      <c r="D43" s="517">
        <f>SUM(D37+D38+D41)</f>
        <v>683922225</v>
      </c>
      <c r="E43" s="517">
        <f t="shared" si="3"/>
        <v>66471939</v>
      </c>
    </row>
    <row r="44" spans="1:5" s="506" customFormat="1" x14ac:dyDescent="0.2">
      <c r="A44" s="512"/>
      <c r="B44" s="516" t="s">
        <v>718</v>
      </c>
      <c r="C44" s="517">
        <f>SUM(C36+C43)</f>
        <v>1033672371</v>
      </c>
      <c r="D44" s="517">
        <f>SUM(D36+D43)</f>
        <v>1119150279</v>
      </c>
      <c r="E44" s="517">
        <f t="shared" si="3"/>
        <v>85477908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781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644</v>
      </c>
      <c r="C47" s="513">
        <v>66126608</v>
      </c>
      <c r="D47" s="513">
        <v>63941094</v>
      </c>
      <c r="E47" s="514">
        <f t="shared" ref="E47:E55" si="4">D47-C47</f>
        <v>-2185514</v>
      </c>
    </row>
    <row r="48" spans="1:5" s="506" customFormat="1" x14ac:dyDescent="0.2">
      <c r="A48" s="512">
        <v>2</v>
      </c>
      <c r="B48" s="511" t="s">
        <v>623</v>
      </c>
      <c r="C48" s="513">
        <v>68628846</v>
      </c>
      <c r="D48" s="515">
        <v>72545632</v>
      </c>
      <c r="E48" s="514">
        <f t="shared" si="4"/>
        <v>3916786</v>
      </c>
    </row>
    <row r="49" spans="1:5" s="506" customFormat="1" x14ac:dyDescent="0.2">
      <c r="A49" s="512">
        <v>3</v>
      </c>
      <c r="B49" s="511" t="s">
        <v>769</v>
      </c>
      <c r="C49" s="513">
        <v>12421651</v>
      </c>
      <c r="D49" s="515">
        <v>11088384</v>
      </c>
      <c r="E49" s="514">
        <f t="shared" si="4"/>
        <v>-1333267</v>
      </c>
    </row>
    <row r="50" spans="1:5" s="506" customFormat="1" x14ac:dyDescent="0.2">
      <c r="A50" s="512">
        <v>4</v>
      </c>
      <c r="B50" s="511" t="s">
        <v>114</v>
      </c>
      <c r="C50" s="513">
        <v>12421651</v>
      </c>
      <c r="D50" s="515">
        <v>11088384</v>
      </c>
      <c r="E50" s="514">
        <f t="shared" si="4"/>
        <v>-1333267</v>
      </c>
    </row>
    <row r="51" spans="1:5" s="506" customFormat="1" x14ac:dyDescent="0.2">
      <c r="A51" s="512">
        <v>5</v>
      </c>
      <c r="B51" s="511" t="s">
        <v>736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222060</v>
      </c>
      <c r="D52" s="515">
        <v>338550</v>
      </c>
      <c r="E52" s="514">
        <f t="shared" si="4"/>
        <v>116490</v>
      </c>
    </row>
    <row r="53" spans="1:5" s="506" customFormat="1" x14ac:dyDescent="0.2">
      <c r="A53" s="512">
        <v>7</v>
      </c>
      <c r="B53" s="511" t="s">
        <v>751</v>
      </c>
      <c r="C53" s="513">
        <v>4381062</v>
      </c>
      <c r="D53" s="515">
        <v>4126794</v>
      </c>
      <c r="E53" s="514">
        <f t="shared" si="4"/>
        <v>-254268</v>
      </c>
    </row>
    <row r="54" spans="1:5" s="506" customFormat="1" x14ac:dyDescent="0.2">
      <c r="A54" s="512"/>
      <c r="B54" s="516" t="s">
        <v>782</v>
      </c>
      <c r="C54" s="517">
        <f>SUM(C48+C49+C52)</f>
        <v>81272557</v>
      </c>
      <c r="D54" s="517">
        <f>SUM(D48+D49+D52)</f>
        <v>83972566</v>
      </c>
      <c r="E54" s="517">
        <f t="shared" si="4"/>
        <v>2700009</v>
      </c>
    </row>
    <row r="55" spans="1:5" s="506" customFormat="1" x14ac:dyDescent="0.2">
      <c r="A55" s="512"/>
      <c r="B55" s="516" t="s">
        <v>711</v>
      </c>
      <c r="C55" s="517">
        <f>SUM(C47+C54)</f>
        <v>147399165</v>
      </c>
      <c r="D55" s="517">
        <f>SUM(D47+D54)</f>
        <v>147913660</v>
      </c>
      <c r="E55" s="517">
        <f t="shared" si="4"/>
        <v>514495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783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644</v>
      </c>
      <c r="C58" s="513">
        <v>116979335</v>
      </c>
      <c r="D58" s="513">
        <v>124109814</v>
      </c>
      <c r="E58" s="514">
        <f t="shared" ref="E58:E66" si="5">D58-C58</f>
        <v>7130479</v>
      </c>
    </row>
    <row r="59" spans="1:5" s="506" customFormat="1" x14ac:dyDescent="0.2">
      <c r="A59" s="512">
        <v>2</v>
      </c>
      <c r="B59" s="511" t="s">
        <v>623</v>
      </c>
      <c r="C59" s="513">
        <v>45755735</v>
      </c>
      <c r="D59" s="515">
        <v>46519479</v>
      </c>
      <c r="E59" s="514">
        <f t="shared" si="5"/>
        <v>763744</v>
      </c>
    </row>
    <row r="60" spans="1:5" s="506" customFormat="1" x14ac:dyDescent="0.2">
      <c r="A60" s="512">
        <v>3</v>
      </c>
      <c r="B60" s="511" t="s">
        <v>769</v>
      </c>
      <c r="C60" s="513">
        <f>C61+C62</f>
        <v>19850395</v>
      </c>
      <c r="D60" s="515">
        <f>D61+D62</f>
        <v>19994411</v>
      </c>
      <c r="E60" s="514">
        <f t="shared" si="5"/>
        <v>144016</v>
      </c>
    </row>
    <row r="61" spans="1:5" s="506" customFormat="1" x14ac:dyDescent="0.2">
      <c r="A61" s="512">
        <v>4</v>
      </c>
      <c r="B61" s="511" t="s">
        <v>114</v>
      </c>
      <c r="C61" s="513">
        <v>19850395</v>
      </c>
      <c r="D61" s="515">
        <v>19994411</v>
      </c>
      <c r="E61" s="514">
        <f t="shared" si="5"/>
        <v>144016</v>
      </c>
    </row>
    <row r="62" spans="1:5" s="506" customFormat="1" x14ac:dyDescent="0.2">
      <c r="A62" s="512">
        <v>5</v>
      </c>
      <c r="B62" s="511" t="s">
        <v>736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564855</v>
      </c>
      <c r="D63" s="515">
        <v>840268</v>
      </c>
      <c r="E63" s="514">
        <f t="shared" si="5"/>
        <v>275413</v>
      </c>
    </row>
    <row r="64" spans="1:5" s="506" customFormat="1" x14ac:dyDescent="0.2">
      <c r="A64" s="512">
        <v>7</v>
      </c>
      <c r="B64" s="511" t="s">
        <v>751</v>
      </c>
      <c r="C64" s="513">
        <v>3756191</v>
      </c>
      <c r="D64" s="515">
        <v>3652693</v>
      </c>
      <c r="E64" s="514">
        <f t="shared" si="5"/>
        <v>-103498</v>
      </c>
    </row>
    <row r="65" spans="1:5" s="506" customFormat="1" x14ac:dyDescent="0.2">
      <c r="A65" s="512"/>
      <c r="B65" s="516" t="s">
        <v>784</v>
      </c>
      <c r="C65" s="517">
        <f>SUM(C59+C60+C63)</f>
        <v>66170985</v>
      </c>
      <c r="D65" s="517">
        <f>SUM(D59+D60+D63)</f>
        <v>67354158</v>
      </c>
      <c r="E65" s="517">
        <f t="shared" si="5"/>
        <v>1183173</v>
      </c>
    </row>
    <row r="66" spans="1:5" s="506" customFormat="1" x14ac:dyDescent="0.2">
      <c r="A66" s="512"/>
      <c r="B66" s="516" t="s">
        <v>717</v>
      </c>
      <c r="C66" s="517">
        <f>SUM(C58+C65)</f>
        <v>183150320</v>
      </c>
      <c r="D66" s="517">
        <f>SUM(D58+D65)</f>
        <v>191463972</v>
      </c>
      <c r="E66" s="517">
        <f t="shared" si="5"/>
        <v>8313652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642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773</v>
      </c>
      <c r="C69" s="514">
        <f t="shared" ref="C69:D75" si="6">C47+C58</f>
        <v>183105943</v>
      </c>
      <c r="D69" s="514">
        <f t="shared" si="6"/>
        <v>188050908</v>
      </c>
      <c r="E69" s="514">
        <f t="shared" ref="E69:E77" si="7">D69-C69</f>
        <v>4944965</v>
      </c>
    </row>
    <row r="70" spans="1:5" s="506" customFormat="1" x14ac:dyDescent="0.2">
      <c r="A70" s="512">
        <v>2</v>
      </c>
      <c r="B70" s="511" t="s">
        <v>774</v>
      </c>
      <c r="C70" s="514">
        <f t="shared" si="6"/>
        <v>114384581</v>
      </c>
      <c r="D70" s="514">
        <f t="shared" si="6"/>
        <v>119065111</v>
      </c>
      <c r="E70" s="514">
        <f t="shared" si="7"/>
        <v>4680530</v>
      </c>
    </row>
    <row r="71" spans="1:5" s="506" customFormat="1" x14ac:dyDescent="0.2">
      <c r="A71" s="512">
        <v>3</v>
      </c>
      <c r="B71" s="511" t="s">
        <v>775</v>
      </c>
      <c r="C71" s="514">
        <f t="shared" si="6"/>
        <v>32272046</v>
      </c>
      <c r="D71" s="514">
        <f t="shared" si="6"/>
        <v>31082795</v>
      </c>
      <c r="E71" s="514">
        <f t="shared" si="7"/>
        <v>-1189251</v>
      </c>
    </row>
    <row r="72" spans="1:5" s="506" customFormat="1" x14ac:dyDescent="0.2">
      <c r="A72" s="512">
        <v>4</v>
      </c>
      <c r="B72" s="511" t="s">
        <v>776</v>
      </c>
      <c r="C72" s="514">
        <f t="shared" si="6"/>
        <v>32272046</v>
      </c>
      <c r="D72" s="514">
        <f t="shared" si="6"/>
        <v>31082795</v>
      </c>
      <c r="E72" s="514">
        <f t="shared" si="7"/>
        <v>-1189251</v>
      </c>
    </row>
    <row r="73" spans="1:5" s="506" customFormat="1" x14ac:dyDescent="0.2">
      <c r="A73" s="512">
        <v>5</v>
      </c>
      <c r="B73" s="511" t="s">
        <v>777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778</v>
      </c>
      <c r="C74" s="514">
        <f t="shared" si="6"/>
        <v>786915</v>
      </c>
      <c r="D74" s="514">
        <f t="shared" si="6"/>
        <v>1178818</v>
      </c>
      <c r="E74" s="514">
        <f t="shared" si="7"/>
        <v>391903</v>
      </c>
    </row>
    <row r="75" spans="1:5" s="506" customFormat="1" x14ac:dyDescent="0.2">
      <c r="A75" s="512">
        <v>7</v>
      </c>
      <c r="B75" s="511" t="s">
        <v>779</v>
      </c>
      <c r="C75" s="514">
        <f t="shared" si="6"/>
        <v>8137253</v>
      </c>
      <c r="D75" s="514">
        <f t="shared" si="6"/>
        <v>7779487</v>
      </c>
      <c r="E75" s="514">
        <f t="shared" si="7"/>
        <v>-357766</v>
      </c>
    </row>
    <row r="76" spans="1:5" s="506" customFormat="1" x14ac:dyDescent="0.2">
      <c r="A76" s="512"/>
      <c r="B76" s="516" t="s">
        <v>785</v>
      </c>
      <c r="C76" s="517">
        <f>SUM(C70+C71+C74)</f>
        <v>147443542</v>
      </c>
      <c r="D76" s="517">
        <f>SUM(D70+D71+D74)</f>
        <v>151326724</v>
      </c>
      <c r="E76" s="517">
        <f t="shared" si="7"/>
        <v>3883182</v>
      </c>
    </row>
    <row r="77" spans="1:5" s="506" customFormat="1" x14ac:dyDescent="0.2">
      <c r="A77" s="512"/>
      <c r="B77" s="516" t="s">
        <v>719</v>
      </c>
      <c r="C77" s="517">
        <f>SUM(C69+C76)</f>
        <v>330549485</v>
      </c>
      <c r="D77" s="517">
        <f>SUM(D69+D76)</f>
        <v>339377632</v>
      </c>
      <c r="E77" s="517">
        <f t="shared" si="7"/>
        <v>8828147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786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787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644</v>
      </c>
      <c r="C83" s="523">
        <f t="shared" ref="C83:D89" si="8">IF(C$44=0,0,C14/C$44)</f>
        <v>0.13739324178956894</v>
      </c>
      <c r="D83" s="523">
        <f t="shared" si="8"/>
        <v>0.12675541405105614</v>
      </c>
      <c r="E83" s="523">
        <f t="shared" ref="E83:E91" si="9">D83-C83</f>
        <v>-1.0637827738512795E-2</v>
      </c>
    </row>
    <row r="84" spans="1:5" s="506" customFormat="1" x14ac:dyDescent="0.2">
      <c r="A84" s="512">
        <v>2</v>
      </c>
      <c r="B84" s="511" t="s">
        <v>623</v>
      </c>
      <c r="C84" s="523">
        <f t="shared" si="8"/>
        <v>0.26579060320071185</v>
      </c>
      <c r="D84" s="523">
        <f t="shared" si="8"/>
        <v>0.26806894000693898</v>
      </c>
      <c r="E84" s="523">
        <f t="shared" si="9"/>
        <v>2.2783368062271325E-3</v>
      </c>
    </row>
    <row r="85" spans="1:5" s="506" customFormat="1" x14ac:dyDescent="0.2">
      <c r="A85" s="512">
        <v>3</v>
      </c>
      <c r="B85" s="511" t="s">
        <v>769</v>
      </c>
      <c r="C85" s="523">
        <f t="shared" si="8"/>
        <v>5.3916939799873977E-2</v>
      </c>
      <c r="D85" s="523">
        <f t="shared" si="8"/>
        <v>5.6846738274368959E-2</v>
      </c>
      <c r="E85" s="523">
        <f t="shared" si="9"/>
        <v>2.9297984744949823E-3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5.3916939799873977E-2</v>
      </c>
      <c r="D86" s="523">
        <f t="shared" si="8"/>
        <v>5.6846738274368959E-2</v>
      </c>
      <c r="E86" s="523">
        <f t="shared" si="9"/>
        <v>2.9297984744949823E-3</v>
      </c>
    </row>
    <row r="87" spans="1:5" s="506" customFormat="1" x14ac:dyDescent="0.2">
      <c r="A87" s="512">
        <v>5</v>
      </c>
      <c r="B87" s="511" t="s">
        <v>736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1.1297573900231489E-3</v>
      </c>
      <c r="D88" s="523">
        <f t="shared" si="8"/>
        <v>1.1971171567746175E-3</v>
      </c>
      <c r="E88" s="523">
        <f t="shared" si="9"/>
        <v>6.7359766751468649E-5</v>
      </c>
    </row>
    <row r="89" spans="1:5" s="506" customFormat="1" x14ac:dyDescent="0.2">
      <c r="A89" s="512">
        <v>7</v>
      </c>
      <c r="B89" s="511" t="s">
        <v>751</v>
      </c>
      <c r="C89" s="523">
        <f t="shared" si="8"/>
        <v>6.1049904950976003E-3</v>
      </c>
      <c r="D89" s="523">
        <f t="shared" si="8"/>
        <v>5.5453776998969058E-3</v>
      </c>
      <c r="E89" s="523">
        <f t="shared" si="9"/>
        <v>-5.5961279520069449E-4</v>
      </c>
    </row>
    <row r="90" spans="1:5" s="506" customFormat="1" x14ac:dyDescent="0.2">
      <c r="A90" s="512"/>
      <c r="B90" s="516" t="s">
        <v>788</v>
      </c>
      <c r="C90" s="524">
        <f>SUM(C84+C85+C88)</f>
        <v>0.32083730039060898</v>
      </c>
      <c r="D90" s="524">
        <f>SUM(D84+D85+D88)</f>
        <v>0.32611279543808258</v>
      </c>
      <c r="E90" s="525">
        <f t="shared" si="9"/>
        <v>5.2754950474735995E-3</v>
      </c>
    </row>
    <row r="91" spans="1:5" s="506" customFormat="1" x14ac:dyDescent="0.2">
      <c r="A91" s="512"/>
      <c r="B91" s="516" t="s">
        <v>789</v>
      </c>
      <c r="C91" s="524">
        <f>SUM(C83+C90)</f>
        <v>0.45823054218017789</v>
      </c>
      <c r="D91" s="524">
        <f>SUM(D83+D90)</f>
        <v>0.45286820948913875</v>
      </c>
      <c r="E91" s="525">
        <f t="shared" si="9"/>
        <v>-5.36233269103914E-3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790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644</v>
      </c>
      <c r="C95" s="523">
        <f t="shared" ref="C95:D101" si="10">IF(C$44=0,0,C25/C$44)</f>
        <v>0.26527021007123347</v>
      </c>
      <c r="D95" s="523">
        <f t="shared" si="10"/>
        <v>0.26213610674532117</v>
      </c>
      <c r="E95" s="523">
        <f t="shared" ref="E95:E103" si="11">D95-C95</f>
        <v>-3.1341033259122963E-3</v>
      </c>
    </row>
    <row r="96" spans="1:5" s="506" customFormat="1" x14ac:dyDescent="0.2">
      <c r="A96" s="512">
        <v>2</v>
      </c>
      <c r="B96" s="511" t="s">
        <v>623</v>
      </c>
      <c r="C96" s="523">
        <f t="shared" si="10"/>
        <v>0.19563580750868304</v>
      </c>
      <c r="D96" s="523">
        <f t="shared" si="10"/>
        <v>0.19691531792934486</v>
      </c>
      <c r="E96" s="523">
        <f t="shared" si="11"/>
        <v>1.2795104206618224E-3</v>
      </c>
    </row>
    <row r="97" spans="1:5" s="506" customFormat="1" x14ac:dyDescent="0.2">
      <c r="A97" s="512">
        <v>3</v>
      </c>
      <c r="B97" s="511" t="s">
        <v>769</v>
      </c>
      <c r="C97" s="523">
        <f t="shared" si="10"/>
        <v>7.8715815845289722E-2</v>
      </c>
      <c r="D97" s="523">
        <f t="shared" si="10"/>
        <v>8.5733702435149009E-2</v>
      </c>
      <c r="E97" s="523">
        <f t="shared" si="11"/>
        <v>7.0178865898592874E-3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7.8715815845289722E-2</v>
      </c>
      <c r="D98" s="523">
        <f t="shared" si="10"/>
        <v>8.5733702435149009E-2</v>
      </c>
      <c r="E98" s="523">
        <f t="shared" si="11"/>
        <v>7.0178865898592874E-3</v>
      </c>
    </row>
    <row r="99" spans="1:5" s="506" customFormat="1" x14ac:dyDescent="0.2">
      <c r="A99" s="512">
        <v>5</v>
      </c>
      <c r="B99" s="511" t="s">
        <v>736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2.1476243946158447E-3</v>
      </c>
      <c r="D100" s="523">
        <f t="shared" si="10"/>
        <v>2.3466634010462502E-3</v>
      </c>
      <c r="E100" s="523">
        <f t="shared" si="11"/>
        <v>1.990390064304055E-4</v>
      </c>
    </row>
    <row r="101" spans="1:5" s="506" customFormat="1" x14ac:dyDescent="0.2">
      <c r="A101" s="512">
        <v>7</v>
      </c>
      <c r="B101" s="511" t="s">
        <v>751</v>
      </c>
      <c r="C101" s="523">
        <f t="shared" si="10"/>
        <v>1.3453188253979171E-2</v>
      </c>
      <c r="D101" s="523">
        <f t="shared" si="10"/>
        <v>1.2365110619786568E-2</v>
      </c>
      <c r="E101" s="523">
        <f t="shared" si="11"/>
        <v>-1.0880776341926027E-3</v>
      </c>
    </row>
    <row r="102" spans="1:5" s="506" customFormat="1" x14ac:dyDescent="0.2">
      <c r="A102" s="512"/>
      <c r="B102" s="516" t="s">
        <v>791</v>
      </c>
      <c r="C102" s="524">
        <f>SUM(C96+C97+C100)</f>
        <v>0.27649924774858864</v>
      </c>
      <c r="D102" s="524">
        <f>SUM(D96+D97+D100)</f>
        <v>0.28499568376554008</v>
      </c>
      <c r="E102" s="525">
        <f t="shared" si="11"/>
        <v>8.4964360169514364E-3</v>
      </c>
    </row>
    <row r="103" spans="1:5" s="506" customFormat="1" x14ac:dyDescent="0.2">
      <c r="A103" s="512"/>
      <c r="B103" s="516" t="s">
        <v>792</v>
      </c>
      <c r="C103" s="524">
        <f>SUM(C95+C102)</f>
        <v>0.54176945781982211</v>
      </c>
      <c r="D103" s="524">
        <f>SUM(D95+D102)</f>
        <v>0.54713179051086125</v>
      </c>
      <c r="E103" s="525">
        <f t="shared" si="11"/>
        <v>5.36233269103914E-3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793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794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644</v>
      </c>
      <c r="C109" s="523">
        <f t="shared" ref="C109:D115" si="12">IF(C$77=0,0,C47/C$77)</f>
        <v>0.20005055521414591</v>
      </c>
      <c r="D109" s="523">
        <f t="shared" si="12"/>
        <v>0.188406918933302</v>
      </c>
      <c r="E109" s="523">
        <f t="shared" ref="E109:E117" si="13">D109-C109</f>
        <v>-1.1643636280843916E-2</v>
      </c>
    </row>
    <row r="110" spans="1:5" s="506" customFormat="1" x14ac:dyDescent="0.2">
      <c r="A110" s="512">
        <v>2</v>
      </c>
      <c r="B110" s="511" t="s">
        <v>623</v>
      </c>
      <c r="C110" s="523">
        <f t="shared" si="12"/>
        <v>0.20762048986402143</v>
      </c>
      <c r="D110" s="523">
        <f t="shared" si="12"/>
        <v>0.21376079375791035</v>
      </c>
      <c r="E110" s="523">
        <f t="shared" si="13"/>
        <v>6.1403038938889209E-3</v>
      </c>
    </row>
    <row r="111" spans="1:5" s="506" customFormat="1" x14ac:dyDescent="0.2">
      <c r="A111" s="512">
        <v>3</v>
      </c>
      <c r="B111" s="511" t="s">
        <v>769</v>
      </c>
      <c r="C111" s="523">
        <f t="shared" si="12"/>
        <v>3.7578793989045241E-2</v>
      </c>
      <c r="D111" s="523">
        <f t="shared" si="12"/>
        <v>3.2672701305193855E-2</v>
      </c>
      <c r="E111" s="523">
        <f t="shared" si="13"/>
        <v>-4.906092683851386E-3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3.7578793989045241E-2</v>
      </c>
      <c r="D112" s="523">
        <f t="shared" si="12"/>
        <v>3.2672701305193855E-2</v>
      </c>
      <c r="E112" s="523">
        <f t="shared" si="13"/>
        <v>-4.906092683851386E-3</v>
      </c>
    </row>
    <row r="113" spans="1:5" s="506" customFormat="1" x14ac:dyDescent="0.2">
      <c r="A113" s="512">
        <v>5</v>
      </c>
      <c r="B113" s="511" t="s">
        <v>736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6.7179048849523994E-4</v>
      </c>
      <c r="D114" s="523">
        <f t="shared" si="12"/>
        <v>9.9756132425368564E-4</v>
      </c>
      <c r="E114" s="523">
        <f t="shared" si="13"/>
        <v>3.2577083575844571E-4</v>
      </c>
    </row>
    <row r="115" spans="1:5" s="506" customFormat="1" x14ac:dyDescent="0.2">
      <c r="A115" s="512">
        <v>7</v>
      </c>
      <c r="B115" s="511" t="s">
        <v>751</v>
      </c>
      <c r="C115" s="523">
        <f t="shared" si="12"/>
        <v>1.3253876344717343E-2</v>
      </c>
      <c r="D115" s="523">
        <f t="shared" si="12"/>
        <v>1.2159888015247864E-2</v>
      </c>
      <c r="E115" s="523">
        <f t="shared" si="13"/>
        <v>-1.0939883294694783E-3</v>
      </c>
    </row>
    <row r="116" spans="1:5" s="506" customFormat="1" x14ac:dyDescent="0.2">
      <c r="A116" s="512"/>
      <c r="B116" s="516" t="s">
        <v>788</v>
      </c>
      <c r="C116" s="524">
        <f>SUM(C110+C111+C114)</f>
        <v>0.24587107434156191</v>
      </c>
      <c r="D116" s="524">
        <f>SUM(D110+D111+D114)</f>
        <v>0.24743105638735788</v>
      </c>
      <c r="E116" s="525">
        <f t="shared" si="13"/>
        <v>1.5599820457959657E-3</v>
      </c>
    </row>
    <row r="117" spans="1:5" s="506" customFormat="1" x14ac:dyDescent="0.2">
      <c r="A117" s="512"/>
      <c r="B117" s="516" t="s">
        <v>789</v>
      </c>
      <c r="C117" s="524">
        <f>SUM(C109+C116)</f>
        <v>0.4459216295557078</v>
      </c>
      <c r="D117" s="524">
        <f>SUM(D109+D116)</f>
        <v>0.43583797532065988</v>
      </c>
      <c r="E117" s="525">
        <f t="shared" si="13"/>
        <v>-1.0083654235047923E-2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795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644</v>
      </c>
      <c r="C121" s="523">
        <f t="shared" ref="C121:D127" si="14">IF(C$77=0,0,C58/C$77)</f>
        <v>0.35389356301674468</v>
      </c>
      <c r="D121" s="523">
        <f t="shared" si="14"/>
        <v>0.36569827324388898</v>
      </c>
      <c r="E121" s="523">
        <f t="shared" ref="E121:E129" si="15">D121-C121</f>
        <v>1.1804710227144299E-2</v>
      </c>
    </row>
    <row r="122" spans="1:5" s="506" customFormat="1" x14ac:dyDescent="0.2">
      <c r="A122" s="512">
        <v>2</v>
      </c>
      <c r="B122" s="511" t="s">
        <v>623</v>
      </c>
      <c r="C122" s="523">
        <f t="shared" si="14"/>
        <v>0.13842325302669886</v>
      </c>
      <c r="D122" s="523">
        <f t="shared" si="14"/>
        <v>0.13707290821099252</v>
      </c>
      <c r="E122" s="523">
        <f t="shared" si="15"/>
        <v>-1.3503448157063391E-3</v>
      </c>
    </row>
    <row r="123" spans="1:5" s="506" customFormat="1" x14ac:dyDescent="0.2">
      <c r="A123" s="512">
        <v>3</v>
      </c>
      <c r="B123" s="511" t="s">
        <v>769</v>
      </c>
      <c r="C123" s="523">
        <f t="shared" si="14"/>
        <v>6.0052717976553496E-2</v>
      </c>
      <c r="D123" s="523">
        <f t="shared" si="14"/>
        <v>5.8914934617729904E-2</v>
      </c>
      <c r="E123" s="523">
        <f t="shared" si="15"/>
        <v>-1.1377833588235922E-3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6.0052717976553496E-2</v>
      </c>
      <c r="D124" s="523">
        <f t="shared" si="14"/>
        <v>5.8914934617729904E-2</v>
      </c>
      <c r="E124" s="523">
        <f t="shared" si="15"/>
        <v>-1.1377833588235922E-3</v>
      </c>
    </row>
    <row r="125" spans="1:5" s="506" customFormat="1" x14ac:dyDescent="0.2">
      <c r="A125" s="512">
        <v>5</v>
      </c>
      <c r="B125" s="511" t="s">
        <v>736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1.7088364242951399E-3</v>
      </c>
      <c r="D126" s="523">
        <f t="shared" si="14"/>
        <v>2.475908606728684E-3</v>
      </c>
      <c r="E126" s="523">
        <f t="shared" si="15"/>
        <v>7.6707218243354412E-4</v>
      </c>
    </row>
    <row r="127" spans="1:5" s="506" customFormat="1" x14ac:dyDescent="0.2">
      <c r="A127" s="512">
        <v>7</v>
      </c>
      <c r="B127" s="511" t="s">
        <v>751</v>
      </c>
      <c r="C127" s="523">
        <f t="shared" si="14"/>
        <v>1.1363475577643087E-2</v>
      </c>
      <c r="D127" s="523">
        <f t="shared" si="14"/>
        <v>1.0762916160603065E-2</v>
      </c>
      <c r="E127" s="523">
        <f t="shared" si="15"/>
        <v>-6.0055941704002282E-4</v>
      </c>
    </row>
    <row r="128" spans="1:5" s="506" customFormat="1" x14ac:dyDescent="0.2">
      <c r="A128" s="512"/>
      <c r="B128" s="516" t="s">
        <v>791</v>
      </c>
      <c r="C128" s="524">
        <f>SUM(C122+C123+C126)</f>
        <v>0.20018480742754752</v>
      </c>
      <c r="D128" s="524">
        <f>SUM(D122+D123+D126)</f>
        <v>0.19846375143545111</v>
      </c>
      <c r="E128" s="525">
        <f t="shared" si="15"/>
        <v>-1.7210559920964041E-3</v>
      </c>
    </row>
    <row r="129" spans="1:5" s="506" customFormat="1" x14ac:dyDescent="0.2">
      <c r="A129" s="512"/>
      <c r="B129" s="516" t="s">
        <v>792</v>
      </c>
      <c r="C129" s="524">
        <f>SUM(C121+C128)</f>
        <v>0.5540783704442922</v>
      </c>
      <c r="D129" s="524">
        <f>SUM(D121+D128)</f>
        <v>0.56416202467934007</v>
      </c>
      <c r="E129" s="525">
        <f t="shared" si="15"/>
        <v>1.0083654235047868E-2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796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797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798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644</v>
      </c>
      <c r="C137" s="530">
        <v>4406</v>
      </c>
      <c r="D137" s="530">
        <v>4421</v>
      </c>
      <c r="E137" s="531">
        <f t="shared" ref="E137:E145" si="16">D137-C137</f>
        <v>15</v>
      </c>
    </row>
    <row r="138" spans="1:5" s="506" customFormat="1" x14ac:dyDescent="0.2">
      <c r="A138" s="512">
        <v>2</v>
      </c>
      <c r="B138" s="511" t="s">
        <v>623</v>
      </c>
      <c r="C138" s="530">
        <v>7373</v>
      </c>
      <c r="D138" s="530">
        <v>7537</v>
      </c>
      <c r="E138" s="531">
        <f t="shared" si="16"/>
        <v>164</v>
      </c>
    </row>
    <row r="139" spans="1:5" s="506" customFormat="1" x14ac:dyDescent="0.2">
      <c r="A139" s="512">
        <v>3</v>
      </c>
      <c r="B139" s="511" t="s">
        <v>769</v>
      </c>
      <c r="C139" s="530">
        <f>C140+C141</f>
        <v>2028</v>
      </c>
      <c r="D139" s="530">
        <f>D140+D141</f>
        <v>2138</v>
      </c>
      <c r="E139" s="531">
        <f t="shared" si="16"/>
        <v>110</v>
      </c>
    </row>
    <row r="140" spans="1:5" s="506" customFormat="1" x14ac:dyDescent="0.2">
      <c r="A140" s="512">
        <v>4</v>
      </c>
      <c r="B140" s="511" t="s">
        <v>114</v>
      </c>
      <c r="C140" s="530">
        <v>2028</v>
      </c>
      <c r="D140" s="530">
        <v>2138</v>
      </c>
      <c r="E140" s="531">
        <f t="shared" si="16"/>
        <v>110</v>
      </c>
    </row>
    <row r="141" spans="1:5" s="506" customFormat="1" x14ac:dyDescent="0.2">
      <c r="A141" s="512">
        <v>5</v>
      </c>
      <c r="B141" s="511" t="s">
        <v>736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48</v>
      </c>
      <c r="D142" s="530">
        <v>62</v>
      </c>
      <c r="E142" s="531">
        <f t="shared" si="16"/>
        <v>14</v>
      </c>
    </row>
    <row r="143" spans="1:5" s="506" customFormat="1" x14ac:dyDescent="0.2">
      <c r="A143" s="512">
        <v>7</v>
      </c>
      <c r="B143" s="511" t="s">
        <v>751</v>
      </c>
      <c r="C143" s="530">
        <v>201</v>
      </c>
      <c r="D143" s="530">
        <v>182</v>
      </c>
      <c r="E143" s="531">
        <f t="shared" si="16"/>
        <v>-19</v>
      </c>
    </row>
    <row r="144" spans="1:5" s="506" customFormat="1" x14ac:dyDescent="0.2">
      <c r="A144" s="512"/>
      <c r="B144" s="516" t="s">
        <v>799</v>
      </c>
      <c r="C144" s="532">
        <f>SUM(C138+C139+C142)</f>
        <v>9449</v>
      </c>
      <c r="D144" s="532">
        <f>SUM(D138+D139+D142)</f>
        <v>9737</v>
      </c>
      <c r="E144" s="533">
        <f t="shared" si="16"/>
        <v>288</v>
      </c>
    </row>
    <row r="145" spans="1:5" s="506" customFormat="1" x14ac:dyDescent="0.2">
      <c r="A145" s="512"/>
      <c r="B145" s="516" t="s">
        <v>713</v>
      </c>
      <c r="C145" s="532">
        <f>SUM(C137+C144)</f>
        <v>13855</v>
      </c>
      <c r="D145" s="532">
        <f>SUM(D137+D144)</f>
        <v>14158</v>
      </c>
      <c r="E145" s="533">
        <f t="shared" si="16"/>
        <v>303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644</v>
      </c>
      <c r="C149" s="534">
        <v>15861</v>
      </c>
      <c r="D149" s="534">
        <v>15364</v>
      </c>
      <c r="E149" s="531">
        <f t="shared" ref="E149:E157" si="17">D149-C149</f>
        <v>-497</v>
      </c>
    </row>
    <row r="150" spans="1:5" s="506" customFormat="1" x14ac:dyDescent="0.2">
      <c r="A150" s="512">
        <v>2</v>
      </c>
      <c r="B150" s="511" t="s">
        <v>623</v>
      </c>
      <c r="C150" s="534">
        <v>35194</v>
      </c>
      <c r="D150" s="534">
        <v>34849</v>
      </c>
      <c r="E150" s="531">
        <f t="shared" si="17"/>
        <v>-345</v>
      </c>
    </row>
    <row r="151" spans="1:5" s="506" customFormat="1" x14ac:dyDescent="0.2">
      <c r="A151" s="512">
        <v>3</v>
      </c>
      <c r="B151" s="511" t="s">
        <v>769</v>
      </c>
      <c r="C151" s="534">
        <f>C152+C153</f>
        <v>8717</v>
      </c>
      <c r="D151" s="534">
        <f>D152+D153</f>
        <v>9097</v>
      </c>
      <c r="E151" s="531">
        <f t="shared" si="17"/>
        <v>380</v>
      </c>
    </row>
    <row r="152" spans="1:5" s="506" customFormat="1" x14ac:dyDescent="0.2">
      <c r="A152" s="512">
        <v>4</v>
      </c>
      <c r="B152" s="511" t="s">
        <v>114</v>
      </c>
      <c r="C152" s="534">
        <v>8717</v>
      </c>
      <c r="D152" s="534">
        <v>9097</v>
      </c>
      <c r="E152" s="531">
        <f t="shared" si="17"/>
        <v>380</v>
      </c>
    </row>
    <row r="153" spans="1:5" s="506" customFormat="1" x14ac:dyDescent="0.2">
      <c r="A153" s="512">
        <v>5</v>
      </c>
      <c r="B153" s="511" t="s">
        <v>736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163</v>
      </c>
      <c r="D154" s="534">
        <v>163</v>
      </c>
      <c r="E154" s="531">
        <f t="shared" si="17"/>
        <v>0</v>
      </c>
    </row>
    <row r="155" spans="1:5" s="506" customFormat="1" x14ac:dyDescent="0.2">
      <c r="A155" s="512">
        <v>7</v>
      </c>
      <c r="B155" s="511" t="s">
        <v>751</v>
      </c>
      <c r="C155" s="534">
        <v>867</v>
      </c>
      <c r="D155" s="534">
        <v>759</v>
      </c>
      <c r="E155" s="531">
        <f t="shared" si="17"/>
        <v>-108</v>
      </c>
    </row>
    <row r="156" spans="1:5" s="506" customFormat="1" x14ac:dyDescent="0.2">
      <c r="A156" s="512"/>
      <c r="B156" s="516" t="s">
        <v>800</v>
      </c>
      <c r="C156" s="532">
        <f>SUM(C150+C151+C154)</f>
        <v>44074</v>
      </c>
      <c r="D156" s="532">
        <f>SUM(D150+D151+D154)</f>
        <v>44109</v>
      </c>
      <c r="E156" s="533">
        <f t="shared" si="17"/>
        <v>35</v>
      </c>
    </row>
    <row r="157" spans="1:5" s="506" customFormat="1" x14ac:dyDescent="0.2">
      <c r="A157" s="512"/>
      <c r="B157" s="516" t="s">
        <v>801</v>
      </c>
      <c r="C157" s="532">
        <f>SUM(C149+C156)</f>
        <v>59935</v>
      </c>
      <c r="D157" s="532">
        <f>SUM(D149+D156)</f>
        <v>59473</v>
      </c>
      <c r="E157" s="533">
        <f t="shared" si="17"/>
        <v>-462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802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644</v>
      </c>
      <c r="C161" s="536">
        <f t="shared" ref="C161:D169" si="18">IF(C137=0,0,C149/C137)</f>
        <v>3.5998638220608261</v>
      </c>
      <c r="D161" s="536">
        <f t="shared" si="18"/>
        <v>3.4752318479981903</v>
      </c>
      <c r="E161" s="537">
        <f t="shared" ref="E161:E169" si="19">D161-C161</f>
        <v>-0.12463197406263582</v>
      </c>
    </row>
    <row r="162" spans="1:5" s="506" customFormat="1" x14ac:dyDescent="0.2">
      <c r="A162" s="512">
        <v>2</v>
      </c>
      <c r="B162" s="511" t="s">
        <v>623</v>
      </c>
      <c r="C162" s="536">
        <f t="shared" si="18"/>
        <v>4.7733622677336225</v>
      </c>
      <c r="D162" s="536">
        <f t="shared" si="18"/>
        <v>4.6237229666976249</v>
      </c>
      <c r="E162" s="537">
        <f t="shared" si="19"/>
        <v>-0.14963930103599754</v>
      </c>
    </row>
    <row r="163" spans="1:5" s="506" customFormat="1" x14ac:dyDescent="0.2">
      <c r="A163" s="512">
        <v>3</v>
      </c>
      <c r="B163" s="511" t="s">
        <v>769</v>
      </c>
      <c r="C163" s="536">
        <f t="shared" si="18"/>
        <v>4.2983234714003942</v>
      </c>
      <c r="D163" s="536">
        <f t="shared" si="18"/>
        <v>4.2549111318989707</v>
      </c>
      <c r="E163" s="537">
        <f t="shared" si="19"/>
        <v>-4.3412339501423425E-2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4.2983234714003942</v>
      </c>
      <c r="D164" s="536">
        <f t="shared" si="18"/>
        <v>4.2549111318989707</v>
      </c>
      <c r="E164" s="537">
        <f t="shared" si="19"/>
        <v>-4.3412339501423425E-2</v>
      </c>
    </row>
    <row r="165" spans="1:5" s="506" customFormat="1" x14ac:dyDescent="0.2">
      <c r="A165" s="512">
        <v>5</v>
      </c>
      <c r="B165" s="511" t="s">
        <v>736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3.3958333333333335</v>
      </c>
      <c r="D166" s="536">
        <f t="shared" si="18"/>
        <v>2.629032258064516</v>
      </c>
      <c r="E166" s="537">
        <f t="shared" si="19"/>
        <v>-0.76680107526881747</v>
      </c>
    </row>
    <row r="167" spans="1:5" s="506" customFormat="1" x14ac:dyDescent="0.2">
      <c r="A167" s="512">
        <v>7</v>
      </c>
      <c r="B167" s="511" t="s">
        <v>751</v>
      </c>
      <c r="C167" s="536">
        <f t="shared" si="18"/>
        <v>4.3134328358208958</v>
      </c>
      <c r="D167" s="536">
        <f t="shared" si="18"/>
        <v>4.1703296703296706</v>
      </c>
      <c r="E167" s="537">
        <f t="shared" si="19"/>
        <v>-0.14310316549122515</v>
      </c>
    </row>
    <row r="168" spans="1:5" s="506" customFormat="1" x14ac:dyDescent="0.2">
      <c r="A168" s="512"/>
      <c r="B168" s="516" t="s">
        <v>803</v>
      </c>
      <c r="C168" s="538">
        <f t="shared" si="18"/>
        <v>4.6644089321621331</v>
      </c>
      <c r="D168" s="538">
        <f t="shared" si="18"/>
        <v>4.5300400534045391</v>
      </c>
      <c r="E168" s="539">
        <f t="shared" si="19"/>
        <v>-0.13436887875759407</v>
      </c>
    </row>
    <row r="169" spans="1:5" s="506" customFormat="1" x14ac:dyDescent="0.2">
      <c r="A169" s="512"/>
      <c r="B169" s="516" t="s">
        <v>737</v>
      </c>
      <c r="C169" s="538">
        <f t="shared" si="18"/>
        <v>4.3258751353302056</v>
      </c>
      <c r="D169" s="538">
        <f t="shared" si="18"/>
        <v>4.2006639355841218</v>
      </c>
      <c r="E169" s="539">
        <f t="shared" si="19"/>
        <v>-0.12521119974608386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804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644</v>
      </c>
      <c r="C173" s="541">
        <f t="shared" ref="C173:D181" si="20">IF(C137=0,0,C203/C137)</f>
        <v>1.1259999999999999</v>
      </c>
      <c r="D173" s="541">
        <f t="shared" si="20"/>
        <v>1.1101000000000001</v>
      </c>
      <c r="E173" s="542">
        <f t="shared" ref="E173:E181" si="21">D173-C173</f>
        <v>-1.5899999999999803E-2</v>
      </c>
    </row>
    <row r="174" spans="1:5" s="506" customFormat="1" x14ac:dyDescent="0.2">
      <c r="A174" s="512">
        <v>2</v>
      </c>
      <c r="B174" s="511" t="s">
        <v>623</v>
      </c>
      <c r="C174" s="541">
        <f t="shared" si="20"/>
        <v>1.3360000000000001</v>
      </c>
      <c r="D174" s="541">
        <f t="shared" si="20"/>
        <v>1.38656</v>
      </c>
      <c r="E174" s="542">
        <f t="shared" si="21"/>
        <v>5.0559999999999938E-2</v>
      </c>
    </row>
    <row r="175" spans="1:5" s="506" customFormat="1" x14ac:dyDescent="0.2">
      <c r="A175" s="512">
        <v>0</v>
      </c>
      <c r="B175" s="511" t="s">
        <v>769</v>
      </c>
      <c r="C175" s="541">
        <f t="shared" si="20"/>
        <v>0.96599999999999997</v>
      </c>
      <c r="D175" s="541">
        <f t="shared" si="20"/>
        <v>0.95591000000000004</v>
      </c>
      <c r="E175" s="542">
        <f t="shared" si="21"/>
        <v>-1.0089999999999932E-2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0.96599999999999997</v>
      </c>
      <c r="D176" s="541">
        <f t="shared" si="20"/>
        <v>0.95591000000000004</v>
      </c>
      <c r="E176" s="542">
        <f t="shared" si="21"/>
        <v>-1.0089999999999932E-2</v>
      </c>
    </row>
    <row r="177" spans="1:5" s="506" customFormat="1" x14ac:dyDescent="0.2">
      <c r="A177" s="512">
        <v>5</v>
      </c>
      <c r="B177" s="511" t="s">
        <v>736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0.876</v>
      </c>
      <c r="D178" s="541">
        <f t="shared" si="20"/>
        <v>0.79674999999999996</v>
      </c>
      <c r="E178" s="542">
        <f t="shared" si="21"/>
        <v>-7.9250000000000043E-2</v>
      </c>
    </row>
    <row r="179" spans="1:5" s="506" customFormat="1" x14ac:dyDescent="0.2">
      <c r="A179" s="512">
        <v>7</v>
      </c>
      <c r="B179" s="511" t="s">
        <v>751</v>
      </c>
      <c r="C179" s="541">
        <f t="shared" si="20"/>
        <v>1.08</v>
      </c>
      <c r="D179" s="541">
        <f t="shared" si="20"/>
        <v>1.03321</v>
      </c>
      <c r="E179" s="542">
        <f t="shared" si="21"/>
        <v>-4.6790000000000109E-2</v>
      </c>
    </row>
    <row r="180" spans="1:5" s="506" customFormat="1" x14ac:dyDescent="0.2">
      <c r="A180" s="512"/>
      <c r="B180" s="516" t="s">
        <v>805</v>
      </c>
      <c r="C180" s="543">
        <f t="shared" si="20"/>
        <v>1.2542516668430526</v>
      </c>
      <c r="D180" s="543">
        <f t="shared" si="20"/>
        <v>1.2882445106295575</v>
      </c>
      <c r="E180" s="544">
        <f t="shared" si="21"/>
        <v>3.3992843786504912E-2</v>
      </c>
    </row>
    <row r="181" spans="1:5" s="506" customFormat="1" x14ac:dyDescent="0.2">
      <c r="A181" s="512"/>
      <c r="B181" s="516" t="s">
        <v>714</v>
      </c>
      <c r="C181" s="543">
        <f t="shared" si="20"/>
        <v>1.2134666185492604</v>
      </c>
      <c r="D181" s="543">
        <f t="shared" si="20"/>
        <v>1.2326168173470831</v>
      </c>
      <c r="E181" s="544">
        <f t="shared" si="21"/>
        <v>1.9150198797822648E-2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806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807</v>
      </c>
      <c r="C185" s="513">
        <v>377720253</v>
      </c>
      <c r="D185" s="513">
        <v>396628859</v>
      </c>
      <c r="E185" s="514">
        <f>D185-C185</f>
        <v>18908606</v>
      </c>
    </row>
    <row r="186" spans="1:5" s="506" customFormat="1" ht="25.5" x14ac:dyDescent="0.2">
      <c r="A186" s="512">
        <v>2</v>
      </c>
      <c r="B186" s="511" t="s">
        <v>808</v>
      </c>
      <c r="C186" s="513">
        <v>184841366</v>
      </c>
      <c r="D186" s="513">
        <v>187614053</v>
      </c>
      <c r="E186" s="514">
        <f>D186-C186</f>
        <v>2772687</v>
      </c>
    </row>
    <row r="187" spans="1:5" s="506" customFormat="1" x14ac:dyDescent="0.2">
      <c r="A187" s="512"/>
      <c r="B187" s="511" t="s">
        <v>656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740</v>
      </c>
      <c r="C188" s="546">
        <f>+C185-C186</f>
        <v>192878887</v>
      </c>
      <c r="D188" s="546">
        <f>+D185-D186</f>
        <v>209014806</v>
      </c>
      <c r="E188" s="514">
        <f t="shared" ref="E188:E197" si="22">D188-C188</f>
        <v>16135919</v>
      </c>
    </row>
    <row r="189" spans="1:5" s="506" customFormat="1" x14ac:dyDescent="0.2">
      <c r="A189" s="512">
        <v>4</v>
      </c>
      <c r="B189" s="511" t="s">
        <v>658</v>
      </c>
      <c r="C189" s="547">
        <f>IF(C185=0,0,+C188/C185)</f>
        <v>0.51063951553585352</v>
      </c>
      <c r="D189" s="547">
        <f>IF(D185=0,0,+D188/D185)</f>
        <v>0.5269783104713518</v>
      </c>
      <c r="E189" s="523">
        <f t="shared" si="22"/>
        <v>1.633879493549828E-2</v>
      </c>
    </row>
    <row r="190" spans="1:5" s="506" customFormat="1" x14ac:dyDescent="0.2">
      <c r="A190" s="512">
        <v>5</v>
      </c>
      <c r="B190" s="511" t="s">
        <v>755</v>
      </c>
      <c r="C190" s="513">
        <v>23580041</v>
      </c>
      <c r="D190" s="513">
        <v>23313424</v>
      </c>
      <c r="E190" s="546">
        <f t="shared" si="22"/>
        <v>-266617</v>
      </c>
    </row>
    <row r="191" spans="1:5" s="506" customFormat="1" x14ac:dyDescent="0.2">
      <c r="A191" s="512">
        <v>6</v>
      </c>
      <c r="B191" s="511" t="s">
        <v>741</v>
      </c>
      <c r="C191" s="513">
        <v>16640238</v>
      </c>
      <c r="D191" s="513">
        <v>16845972</v>
      </c>
      <c r="E191" s="546">
        <f t="shared" si="22"/>
        <v>205734</v>
      </c>
    </row>
    <row r="192" spans="1:5" ht="29.25" x14ac:dyDescent="0.2">
      <c r="A192" s="512">
        <v>7</v>
      </c>
      <c r="B192" s="548" t="s">
        <v>809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810</v>
      </c>
      <c r="C193" s="513">
        <v>6856094</v>
      </c>
      <c r="D193" s="513">
        <v>7509399</v>
      </c>
      <c r="E193" s="546">
        <f t="shared" si="22"/>
        <v>653305</v>
      </c>
    </row>
    <row r="194" spans="1:5" s="506" customFormat="1" x14ac:dyDescent="0.2">
      <c r="A194" s="512">
        <v>9</v>
      </c>
      <c r="B194" s="511" t="s">
        <v>811</v>
      </c>
      <c r="C194" s="513">
        <v>13570742</v>
      </c>
      <c r="D194" s="513">
        <v>12199395</v>
      </c>
      <c r="E194" s="546">
        <f t="shared" si="22"/>
        <v>-1371347</v>
      </c>
    </row>
    <row r="195" spans="1:5" s="506" customFormat="1" x14ac:dyDescent="0.2">
      <c r="A195" s="512">
        <v>10</v>
      </c>
      <c r="B195" s="511" t="s">
        <v>812</v>
      </c>
      <c r="C195" s="513">
        <f>+C193+C194</f>
        <v>20426836</v>
      </c>
      <c r="D195" s="513">
        <f>+D193+D194</f>
        <v>19708794</v>
      </c>
      <c r="E195" s="549">
        <f t="shared" si="22"/>
        <v>-718042</v>
      </c>
    </row>
    <row r="196" spans="1:5" s="506" customFormat="1" x14ac:dyDescent="0.2">
      <c r="A196" s="512">
        <v>11</v>
      </c>
      <c r="B196" s="511" t="s">
        <v>813</v>
      </c>
      <c r="C196" s="513">
        <v>377720253</v>
      </c>
      <c r="D196" s="513">
        <v>396628859</v>
      </c>
      <c r="E196" s="546">
        <f t="shared" si="22"/>
        <v>18908606</v>
      </c>
    </row>
    <row r="197" spans="1:5" s="506" customFormat="1" x14ac:dyDescent="0.2">
      <c r="A197" s="512">
        <v>12</v>
      </c>
      <c r="B197" s="511" t="s">
        <v>698</v>
      </c>
      <c r="C197" s="513">
        <v>328515648</v>
      </c>
      <c r="D197" s="513">
        <v>334537291</v>
      </c>
      <c r="E197" s="546">
        <f t="shared" si="22"/>
        <v>6021643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814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815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644</v>
      </c>
      <c r="C203" s="553">
        <v>4961.1559999999999</v>
      </c>
      <c r="D203" s="553">
        <v>4907.7521000000006</v>
      </c>
      <c r="E203" s="554">
        <f t="shared" ref="E203:E211" si="23">D203-C203</f>
        <v>-53.403899999999339</v>
      </c>
    </row>
    <row r="204" spans="1:5" s="506" customFormat="1" x14ac:dyDescent="0.2">
      <c r="A204" s="512">
        <v>2</v>
      </c>
      <c r="B204" s="511" t="s">
        <v>623</v>
      </c>
      <c r="C204" s="553">
        <v>9850.3280000000013</v>
      </c>
      <c r="D204" s="553">
        <v>10450.50272</v>
      </c>
      <c r="E204" s="554">
        <f t="shared" si="23"/>
        <v>600.17471999999907</v>
      </c>
    </row>
    <row r="205" spans="1:5" s="506" customFormat="1" x14ac:dyDescent="0.2">
      <c r="A205" s="512">
        <v>3</v>
      </c>
      <c r="B205" s="511" t="s">
        <v>769</v>
      </c>
      <c r="C205" s="553">
        <f>C206+C207</f>
        <v>1959.048</v>
      </c>
      <c r="D205" s="553">
        <f>D206+D207</f>
        <v>2043.73558</v>
      </c>
      <c r="E205" s="554">
        <f t="shared" si="23"/>
        <v>84.687580000000025</v>
      </c>
    </row>
    <row r="206" spans="1:5" s="506" customFormat="1" x14ac:dyDescent="0.2">
      <c r="A206" s="512">
        <v>4</v>
      </c>
      <c r="B206" s="511" t="s">
        <v>114</v>
      </c>
      <c r="C206" s="553">
        <v>1959.048</v>
      </c>
      <c r="D206" s="553">
        <v>2043.73558</v>
      </c>
      <c r="E206" s="554">
        <f t="shared" si="23"/>
        <v>84.687580000000025</v>
      </c>
    </row>
    <row r="207" spans="1:5" s="506" customFormat="1" x14ac:dyDescent="0.2">
      <c r="A207" s="512">
        <v>5</v>
      </c>
      <c r="B207" s="511" t="s">
        <v>736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42.048000000000002</v>
      </c>
      <c r="D208" s="553">
        <v>49.398499999999999</v>
      </c>
      <c r="E208" s="554">
        <f t="shared" si="23"/>
        <v>7.3504999999999967</v>
      </c>
    </row>
    <row r="209" spans="1:5" s="506" customFormat="1" x14ac:dyDescent="0.2">
      <c r="A209" s="512">
        <v>7</v>
      </c>
      <c r="B209" s="511" t="s">
        <v>751</v>
      </c>
      <c r="C209" s="553">
        <v>217.08</v>
      </c>
      <c r="D209" s="553">
        <v>188.04422</v>
      </c>
      <c r="E209" s="554">
        <f t="shared" si="23"/>
        <v>-29.035780000000017</v>
      </c>
    </row>
    <row r="210" spans="1:5" s="506" customFormat="1" x14ac:dyDescent="0.2">
      <c r="A210" s="512"/>
      <c r="B210" s="516" t="s">
        <v>816</v>
      </c>
      <c r="C210" s="555">
        <f>C204+C205+C208</f>
        <v>11851.424000000003</v>
      </c>
      <c r="D210" s="555">
        <f>D204+D205+D208</f>
        <v>12543.6368</v>
      </c>
      <c r="E210" s="556">
        <f t="shared" si="23"/>
        <v>692.21279999999751</v>
      </c>
    </row>
    <row r="211" spans="1:5" s="506" customFormat="1" x14ac:dyDescent="0.2">
      <c r="A211" s="512"/>
      <c r="B211" s="516" t="s">
        <v>715</v>
      </c>
      <c r="C211" s="555">
        <f>C210+C203</f>
        <v>16812.580000000002</v>
      </c>
      <c r="D211" s="555">
        <f>D210+D203</f>
        <v>17451.388900000002</v>
      </c>
      <c r="E211" s="556">
        <f t="shared" si="23"/>
        <v>638.80889999999999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817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644</v>
      </c>
      <c r="C215" s="557">
        <f>IF(C14*C137=0,0,C25/C14*C137)</f>
        <v>8506.8270487711143</v>
      </c>
      <c r="D215" s="557">
        <f>IF(D14*D137=0,0,D25/D14*D137)</f>
        <v>9142.8341471415733</v>
      </c>
      <c r="E215" s="557">
        <f t="shared" ref="E215:E223" si="24">D215-C215</f>
        <v>636.00709837045906</v>
      </c>
    </row>
    <row r="216" spans="1:5" s="506" customFormat="1" x14ac:dyDescent="0.2">
      <c r="A216" s="512">
        <v>2</v>
      </c>
      <c r="B216" s="511" t="s">
        <v>623</v>
      </c>
      <c r="C216" s="557">
        <f>IF(C15*C138=0,0,C26/C15*C138)</f>
        <v>5426.9142377177041</v>
      </c>
      <c r="D216" s="557">
        <f>IF(D15*D138=0,0,D26/D15*D138)</f>
        <v>5536.4517470582559</v>
      </c>
      <c r="E216" s="557">
        <f t="shared" si="24"/>
        <v>109.53750934055188</v>
      </c>
    </row>
    <row r="217" spans="1:5" s="506" customFormat="1" x14ac:dyDescent="0.2">
      <c r="A217" s="512">
        <v>3</v>
      </c>
      <c r="B217" s="511" t="s">
        <v>769</v>
      </c>
      <c r="C217" s="557">
        <f>C218+C219</f>
        <v>2960.7703094199105</v>
      </c>
      <c r="D217" s="557">
        <f>D218+D219</f>
        <v>3224.4357613213183</v>
      </c>
      <c r="E217" s="557">
        <f t="shared" si="24"/>
        <v>263.66545190140778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2960.7703094199105</v>
      </c>
      <c r="D218" s="557">
        <f t="shared" si="25"/>
        <v>3224.4357613213183</v>
      </c>
      <c r="E218" s="557">
        <f t="shared" si="24"/>
        <v>263.66545190140778</v>
      </c>
    </row>
    <row r="219" spans="1:5" s="506" customFormat="1" x14ac:dyDescent="0.2">
      <c r="A219" s="512">
        <v>5</v>
      </c>
      <c r="B219" s="511" t="s">
        <v>736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91.246113415065437</v>
      </c>
      <c r="D220" s="557">
        <f t="shared" si="25"/>
        <v>121.53625068482721</v>
      </c>
      <c r="E220" s="557">
        <f t="shared" si="24"/>
        <v>30.290137269761772</v>
      </c>
    </row>
    <row r="221" spans="1:5" s="506" customFormat="1" x14ac:dyDescent="0.2">
      <c r="A221" s="512">
        <v>7</v>
      </c>
      <c r="B221" s="511" t="s">
        <v>751</v>
      </c>
      <c r="C221" s="557">
        <f t="shared" si="25"/>
        <v>442.93121196850996</v>
      </c>
      <c r="D221" s="557">
        <f t="shared" si="25"/>
        <v>405.82450007742375</v>
      </c>
      <c r="E221" s="557">
        <f t="shared" si="24"/>
        <v>-37.106711891086206</v>
      </c>
    </row>
    <row r="222" spans="1:5" s="506" customFormat="1" x14ac:dyDescent="0.2">
      <c r="A222" s="512"/>
      <c r="B222" s="516" t="s">
        <v>818</v>
      </c>
      <c r="C222" s="558">
        <f>C216+C218+C219+C220</f>
        <v>8478.9306605526799</v>
      </c>
      <c r="D222" s="558">
        <f>D216+D218+D219+D220</f>
        <v>8882.4237590644007</v>
      </c>
      <c r="E222" s="558">
        <f t="shared" si="24"/>
        <v>403.49309851172075</v>
      </c>
    </row>
    <row r="223" spans="1:5" s="506" customFormat="1" x14ac:dyDescent="0.2">
      <c r="A223" s="512"/>
      <c r="B223" s="516" t="s">
        <v>819</v>
      </c>
      <c r="C223" s="558">
        <f>C215+C222</f>
        <v>16985.757709323792</v>
      </c>
      <c r="D223" s="558">
        <f>D215+D222</f>
        <v>18025.257906205974</v>
      </c>
      <c r="E223" s="558">
        <f t="shared" si="24"/>
        <v>1039.5001968821816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820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644</v>
      </c>
      <c r="C227" s="560">
        <f t="shared" ref="C227:D235" si="26">IF(C203=0,0,C47/C203)</f>
        <v>13328.870932500409</v>
      </c>
      <c r="D227" s="560">
        <f t="shared" si="26"/>
        <v>13028.590828782895</v>
      </c>
      <c r="E227" s="560">
        <f t="shared" ref="E227:E235" si="27">D227-C227</f>
        <v>-300.28010371751407</v>
      </c>
    </row>
    <row r="228" spans="1:5" s="506" customFormat="1" x14ac:dyDescent="0.2">
      <c r="A228" s="512">
        <v>2</v>
      </c>
      <c r="B228" s="511" t="s">
        <v>623</v>
      </c>
      <c r="C228" s="560">
        <f t="shared" si="26"/>
        <v>6967.1635299860054</v>
      </c>
      <c r="D228" s="560">
        <f t="shared" si="26"/>
        <v>6941.8317896959506</v>
      </c>
      <c r="E228" s="560">
        <f t="shared" si="27"/>
        <v>-25.331740290054768</v>
      </c>
    </row>
    <row r="229" spans="1:5" s="506" customFormat="1" x14ac:dyDescent="0.2">
      <c r="A229" s="512">
        <v>3</v>
      </c>
      <c r="B229" s="511" t="s">
        <v>769</v>
      </c>
      <c r="C229" s="560">
        <f t="shared" si="26"/>
        <v>6340.656788399263</v>
      </c>
      <c r="D229" s="560">
        <f t="shared" si="26"/>
        <v>5425.5472716289451</v>
      </c>
      <c r="E229" s="560">
        <f t="shared" si="27"/>
        <v>-915.1095167703179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6340.656788399263</v>
      </c>
      <c r="D230" s="560">
        <f t="shared" si="26"/>
        <v>5425.5472716289451</v>
      </c>
      <c r="E230" s="560">
        <f t="shared" si="27"/>
        <v>-915.1095167703179</v>
      </c>
    </row>
    <row r="231" spans="1:5" s="506" customFormat="1" x14ac:dyDescent="0.2">
      <c r="A231" s="512">
        <v>5</v>
      </c>
      <c r="B231" s="511" t="s">
        <v>736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5281.1073059360724</v>
      </c>
      <c r="D232" s="560">
        <f t="shared" si="26"/>
        <v>6853.4469670131684</v>
      </c>
      <c r="E232" s="560">
        <f t="shared" si="27"/>
        <v>1572.339661077096</v>
      </c>
    </row>
    <row r="233" spans="1:5" s="506" customFormat="1" x14ac:dyDescent="0.2">
      <c r="A233" s="512">
        <v>7</v>
      </c>
      <c r="B233" s="511" t="s">
        <v>751</v>
      </c>
      <c r="C233" s="560">
        <f t="shared" si="26"/>
        <v>20181.785516860142</v>
      </c>
      <c r="D233" s="560">
        <f t="shared" si="26"/>
        <v>21945.869966117545</v>
      </c>
      <c r="E233" s="560">
        <f t="shared" si="27"/>
        <v>1764.0844492574033</v>
      </c>
    </row>
    <row r="234" spans="1:5" x14ac:dyDescent="0.2">
      <c r="A234" s="512"/>
      <c r="B234" s="516" t="s">
        <v>821</v>
      </c>
      <c r="C234" s="561">
        <f t="shared" si="26"/>
        <v>6857.6195569410038</v>
      </c>
      <c r="D234" s="561">
        <f t="shared" si="26"/>
        <v>6694.435380973403</v>
      </c>
      <c r="E234" s="561">
        <f t="shared" si="27"/>
        <v>-163.18417596760082</v>
      </c>
    </row>
    <row r="235" spans="1:5" s="506" customFormat="1" x14ac:dyDescent="0.2">
      <c r="A235" s="512"/>
      <c r="B235" s="516" t="s">
        <v>822</v>
      </c>
      <c r="C235" s="561">
        <f t="shared" si="26"/>
        <v>8767.194862418497</v>
      </c>
      <c r="D235" s="561">
        <f t="shared" si="26"/>
        <v>8475.7528955188191</v>
      </c>
      <c r="E235" s="561">
        <f t="shared" si="27"/>
        <v>-291.44196689967794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823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644</v>
      </c>
      <c r="C239" s="560">
        <f t="shared" ref="C239:D247" si="28">IF(C215=0,0,C58/C215)</f>
        <v>13751.229962633211</v>
      </c>
      <c r="D239" s="560">
        <f t="shared" si="28"/>
        <v>13574.545048353726</v>
      </c>
      <c r="E239" s="562">
        <f t="shared" ref="E239:E247" si="29">D239-C239</f>
        <v>-176.68491427948538</v>
      </c>
    </row>
    <row r="240" spans="1:5" s="506" customFormat="1" x14ac:dyDescent="0.2">
      <c r="A240" s="512">
        <v>2</v>
      </c>
      <c r="B240" s="511" t="s">
        <v>623</v>
      </c>
      <c r="C240" s="560">
        <f t="shared" si="28"/>
        <v>8431.2618544793204</v>
      </c>
      <c r="D240" s="560">
        <f t="shared" si="28"/>
        <v>8402.3994293308369</v>
      </c>
      <c r="E240" s="562">
        <f t="shared" si="29"/>
        <v>-28.862425148483453</v>
      </c>
    </row>
    <row r="241" spans="1:5" x14ac:dyDescent="0.2">
      <c r="A241" s="512">
        <v>3</v>
      </c>
      <c r="B241" s="511" t="s">
        <v>769</v>
      </c>
      <c r="C241" s="560">
        <f t="shared" si="28"/>
        <v>6704.4697580371212</v>
      </c>
      <c r="D241" s="560">
        <f t="shared" si="28"/>
        <v>6200.9022601233755</v>
      </c>
      <c r="E241" s="562">
        <f t="shared" si="29"/>
        <v>-503.56749791374568</v>
      </c>
    </row>
    <row r="242" spans="1:5" x14ac:dyDescent="0.2">
      <c r="A242" s="512">
        <v>4</v>
      </c>
      <c r="B242" s="511" t="s">
        <v>114</v>
      </c>
      <c r="C242" s="560">
        <f t="shared" si="28"/>
        <v>6704.4697580371212</v>
      </c>
      <c r="D242" s="560">
        <f t="shared" si="28"/>
        <v>6200.9022601233755</v>
      </c>
      <c r="E242" s="562">
        <f t="shared" si="29"/>
        <v>-503.56749791374568</v>
      </c>
    </row>
    <row r="243" spans="1:5" x14ac:dyDescent="0.2">
      <c r="A243" s="512">
        <v>5</v>
      </c>
      <c r="B243" s="511" t="s">
        <v>736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6190.455449105606</v>
      </c>
      <c r="D244" s="560">
        <f t="shared" si="28"/>
        <v>6913.7232329061844</v>
      </c>
      <c r="E244" s="562">
        <f t="shared" si="29"/>
        <v>723.2677838005784</v>
      </c>
    </row>
    <row r="245" spans="1:5" x14ac:dyDescent="0.2">
      <c r="A245" s="512">
        <v>7</v>
      </c>
      <c r="B245" s="511" t="s">
        <v>751</v>
      </c>
      <c r="C245" s="560">
        <f t="shared" si="28"/>
        <v>8480.3032581660682</v>
      </c>
      <c r="D245" s="560">
        <f t="shared" si="28"/>
        <v>9000.6714708035961</v>
      </c>
      <c r="E245" s="562">
        <f t="shared" si="29"/>
        <v>520.3682126375279</v>
      </c>
    </row>
    <row r="246" spans="1:5" ht="25.5" x14ac:dyDescent="0.2">
      <c r="A246" s="512"/>
      <c r="B246" s="516" t="s">
        <v>824</v>
      </c>
      <c r="C246" s="561">
        <f t="shared" si="28"/>
        <v>7804.1663093028283</v>
      </c>
      <c r="D246" s="561">
        <f t="shared" si="28"/>
        <v>7582.8579931537197</v>
      </c>
      <c r="E246" s="563">
        <f t="shared" si="29"/>
        <v>-221.30831614910858</v>
      </c>
    </row>
    <row r="247" spans="1:5" x14ac:dyDescent="0.2">
      <c r="A247" s="512"/>
      <c r="B247" s="516" t="s">
        <v>825</v>
      </c>
      <c r="C247" s="561">
        <f t="shared" si="28"/>
        <v>10782.581686036028</v>
      </c>
      <c r="D247" s="561">
        <f t="shared" si="28"/>
        <v>10621.982386952714</v>
      </c>
      <c r="E247" s="563">
        <f t="shared" si="29"/>
        <v>-160.59929908331469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753</v>
      </c>
      <c r="B249" s="550" t="s">
        <v>750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5112634.7696870258</v>
      </c>
      <c r="D251" s="546">
        <f>((IF((IF(D15=0,0,D26/D15)*D138)=0,0,D59/(IF(D15=0,0,D26/D15)*D138)))-(IF((IF(D17=0,0,D28/D17)*D140)=0,0,D61/(IF(D17=0,0,D28/D17)*D140))))*(IF(D17=0,0,D28/D17)*D140)</f>
        <v>7098586.2008401882</v>
      </c>
      <c r="E251" s="546">
        <f>D251-C251</f>
        <v>1985951.4311531624</v>
      </c>
    </row>
    <row r="252" spans="1:5" x14ac:dyDescent="0.2">
      <c r="A252" s="512">
        <v>2</v>
      </c>
      <c r="B252" s="511" t="s">
        <v>736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751</v>
      </c>
      <c r="C253" s="546">
        <f>IF(C233=0,0,(C228-C233)*C209+IF(C221=0,0,(C240-C245)*C221))</f>
        <v>-2890352.1092822459</v>
      </c>
      <c r="D253" s="546">
        <f>IF(D233=0,0,(D228-D233)*D209+IF(D221=0,0,(D240-D245)*D221))</f>
        <v>-3064216.1078764033</v>
      </c>
      <c r="E253" s="546">
        <f>D253-C253</f>
        <v>-173863.9985941574</v>
      </c>
    </row>
    <row r="254" spans="1:5" ht="15" customHeight="1" x14ac:dyDescent="0.2">
      <c r="A254" s="512"/>
      <c r="B254" s="516" t="s">
        <v>752</v>
      </c>
      <c r="C254" s="564">
        <f>+C251+C252+C253</f>
        <v>2222282.6604047799</v>
      </c>
      <c r="D254" s="564">
        <f>+D251+D252+D253</f>
        <v>4034370.0929637849</v>
      </c>
      <c r="E254" s="564">
        <f>D254-C254</f>
        <v>1812087.432559005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826</v>
      </c>
      <c r="B256" s="550" t="s">
        <v>827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718</v>
      </c>
      <c r="C258" s="546">
        <f>+C44</f>
        <v>1033672371</v>
      </c>
      <c r="D258" s="549">
        <f>+D44</f>
        <v>1119150279</v>
      </c>
      <c r="E258" s="546">
        <f t="shared" ref="E258:E271" si="30">D258-C258</f>
        <v>85477908</v>
      </c>
    </row>
    <row r="259" spans="1:5" x14ac:dyDescent="0.2">
      <c r="A259" s="512">
        <v>2</v>
      </c>
      <c r="B259" s="511" t="s">
        <v>735</v>
      </c>
      <c r="C259" s="546">
        <f>+(C43-C76)</f>
        <v>470006744</v>
      </c>
      <c r="D259" s="549">
        <f>+(D43-D76)</f>
        <v>532595501</v>
      </c>
      <c r="E259" s="546">
        <f t="shared" si="30"/>
        <v>62588757</v>
      </c>
    </row>
    <row r="260" spans="1:5" x14ac:dyDescent="0.2">
      <c r="A260" s="512">
        <v>3</v>
      </c>
      <c r="B260" s="511" t="s">
        <v>739</v>
      </c>
      <c r="C260" s="546">
        <f>C195</f>
        <v>20426836</v>
      </c>
      <c r="D260" s="546">
        <f>D195</f>
        <v>19708794</v>
      </c>
      <c r="E260" s="546">
        <f t="shared" si="30"/>
        <v>-718042</v>
      </c>
    </row>
    <row r="261" spans="1:5" x14ac:dyDescent="0.2">
      <c r="A261" s="512">
        <v>4</v>
      </c>
      <c r="B261" s="511" t="s">
        <v>740</v>
      </c>
      <c r="C261" s="546">
        <f>C188</f>
        <v>192878887</v>
      </c>
      <c r="D261" s="546">
        <f>D188</f>
        <v>209014806</v>
      </c>
      <c r="E261" s="546">
        <f t="shared" si="30"/>
        <v>16135919</v>
      </c>
    </row>
    <row r="262" spans="1:5" x14ac:dyDescent="0.2">
      <c r="A262" s="512">
        <v>5</v>
      </c>
      <c r="B262" s="511" t="s">
        <v>741</v>
      </c>
      <c r="C262" s="546">
        <f>C191</f>
        <v>16640238</v>
      </c>
      <c r="D262" s="546">
        <f>D191</f>
        <v>16845972</v>
      </c>
      <c r="E262" s="546">
        <f t="shared" si="30"/>
        <v>205734</v>
      </c>
    </row>
    <row r="263" spans="1:5" x14ac:dyDescent="0.2">
      <c r="A263" s="512">
        <v>6</v>
      </c>
      <c r="B263" s="511" t="s">
        <v>742</v>
      </c>
      <c r="C263" s="546">
        <f>+C259+C260+C261+C262</f>
        <v>699952705</v>
      </c>
      <c r="D263" s="546">
        <f>+D259+D260+D261+D262</f>
        <v>778165073</v>
      </c>
      <c r="E263" s="546">
        <f t="shared" si="30"/>
        <v>78212368</v>
      </c>
    </row>
    <row r="264" spans="1:5" x14ac:dyDescent="0.2">
      <c r="A264" s="512">
        <v>7</v>
      </c>
      <c r="B264" s="511" t="s">
        <v>642</v>
      </c>
      <c r="C264" s="546">
        <f>+C258-C263</f>
        <v>333719666</v>
      </c>
      <c r="D264" s="546">
        <f>+D258-D263</f>
        <v>340985206</v>
      </c>
      <c r="E264" s="546">
        <f t="shared" si="30"/>
        <v>7265540</v>
      </c>
    </row>
    <row r="265" spans="1:5" x14ac:dyDescent="0.2">
      <c r="A265" s="512">
        <v>8</v>
      </c>
      <c r="B265" s="511" t="s">
        <v>828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829</v>
      </c>
      <c r="C266" s="546">
        <f>+C264+C265</f>
        <v>333719666</v>
      </c>
      <c r="D266" s="546">
        <f>+D264+D265</f>
        <v>340985206</v>
      </c>
      <c r="E266" s="565">
        <f t="shared" si="30"/>
        <v>7265540</v>
      </c>
    </row>
    <row r="267" spans="1:5" x14ac:dyDescent="0.2">
      <c r="A267" s="512">
        <v>10</v>
      </c>
      <c r="B267" s="511" t="s">
        <v>830</v>
      </c>
      <c r="C267" s="566">
        <f>IF(C258=0,0,C266/C258)</f>
        <v>0.32284858854953374</v>
      </c>
      <c r="D267" s="566">
        <f>IF(D258=0,0,D266/D258)</f>
        <v>0.30468223293897778</v>
      </c>
      <c r="E267" s="567">
        <f t="shared" si="30"/>
        <v>-1.8166355610555962E-2</v>
      </c>
    </row>
    <row r="268" spans="1:5" x14ac:dyDescent="0.2">
      <c r="A268" s="512">
        <v>11</v>
      </c>
      <c r="B268" s="511" t="s">
        <v>704</v>
      </c>
      <c r="C268" s="546">
        <f>+C260*C267</f>
        <v>6594775.1711328039</v>
      </c>
      <c r="D268" s="568">
        <f>+D260*D267</f>
        <v>6004919.3644543281</v>
      </c>
      <c r="E268" s="546">
        <f t="shared" si="30"/>
        <v>-589855.80667847581</v>
      </c>
    </row>
    <row r="269" spans="1:5" x14ac:dyDescent="0.2">
      <c r="A269" s="512">
        <v>12</v>
      </c>
      <c r="B269" s="511" t="s">
        <v>831</v>
      </c>
      <c r="C269" s="546">
        <f>((C17+C18+C28+C29)*C267)-(C50+C51+C61+C62)</f>
        <v>11990112.914563648</v>
      </c>
      <c r="D269" s="568">
        <f>((D17+D18+D28+D29)*D267)-(D50+D51+D61+D62)</f>
        <v>17535025.946905769</v>
      </c>
      <c r="E269" s="546">
        <f t="shared" si="30"/>
        <v>5544913.032342121</v>
      </c>
    </row>
    <row r="270" spans="1:5" s="569" customFormat="1" x14ac:dyDescent="0.2">
      <c r="A270" s="570">
        <v>13</v>
      </c>
      <c r="B270" s="571" t="s">
        <v>832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833</v>
      </c>
      <c r="C271" s="546">
        <f>+C268+C269+C270</f>
        <v>18584888.085696451</v>
      </c>
      <c r="D271" s="546">
        <f>+D268+D269+D270</f>
        <v>23539945.311360098</v>
      </c>
      <c r="E271" s="549">
        <f t="shared" si="30"/>
        <v>4955057.2256636471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834</v>
      </c>
      <c r="B273" s="550" t="s">
        <v>835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836</v>
      </c>
      <c r="C275" s="340"/>
      <c r="D275" s="340"/>
      <c r="E275" s="520"/>
    </row>
    <row r="276" spans="1:5" x14ac:dyDescent="0.2">
      <c r="A276" s="512">
        <v>1</v>
      </c>
      <c r="B276" s="511" t="s">
        <v>644</v>
      </c>
      <c r="C276" s="547">
        <f t="shared" ref="C276:D284" si="31">IF(C14=0,0,+C47/C14)</f>
        <v>0.46561607645164577</v>
      </c>
      <c r="D276" s="547">
        <f t="shared" si="31"/>
        <v>0.45073900017043056</v>
      </c>
      <c r="E276" s="574">
        <f t="shared" ref="E276:E284" si="32">D276-C276</f>
        <v>-1.4877076281215207E-2</v>
      </c>
    </row>
    <row r="277" spans="1:5" x14ac:dyDescent="0.2">
      <c r="A277" s="512">
        <v>2</v>
      </c>
      <c r="B277" s="511" t="s">
        <v>623</v>
      </c>
      <c r="C277" s="547">
        <f t="shared" si="31"/>
        <v>0.24979524398528308</v>
      </c>
      <c r="D277" s="547">
        <f t="shared" si="31"/>
        <v>0.2418111732081594</v>
      </c>
      <c r="E277" s="574">
        <f t="shared" si="32"/>
        <v>-7.9840707771236807E-3</v>
      </c>
    </row>
    <row r="278" spans="1:5" x14ac:dyDescent="0.2">
      <c r="A278" s="512">
        <v>3</v>
      </c>
      <c r="B278" s="511" t="s">
        <v>769</v>
      </c>
      <c r="C278" s="547">
        <f t="shared" si="31"/>
        <v>0.22288004164754929</v>
      </c>
      <c r="D278" s="547">
        <f t="shared" si="31"/>
        <v>0.17429073413232368</v>
      </c>
      <c r="E278" s="574">
        <f t="shared" si="32"/>
        <v>-4.858930751522561E-2</v>
      </c>
    </row>
    <row r="279" spans="1:5" x14ac:dyDescent="0.2">
      <c r="A279" s="512">
        <v>4</v>
      </c>
      <c r="B279" s="511" t="s">
        <v>114</v>
      </c>
      <c r="C279" s="547">
        <f t="shared" si="31"/>
        <v>0.22288004164754929</v>
      </c>
      <c r="D279" s="547">
        <f t="shared" si="31"/>
        <v>0.17429073413232368</v>
      </c>
      <c r="E279" s="574">
        <f t="shared" si="32"/>
        <v>-4.858930751522561E-2</v>
      </c>
    </row>
    <row r="280" spans="1:5" x14ac:dyDescent="0.2">
      <c r="A280" s="512">
        <v>5</v>
      </c>
      <c r="B280" s="511" t="s">
        <v>736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0.19015258618991795</v>
      </c>
      <c r="D281" s="547">
        <f t="shared" si="31"/>
        <v>0.2526956441257126</v>
      </c>
      <c r="E281" s="574">
        <f t="shared" si="32"/>
        <v>6.2543057935794649E-2</v>
      </c>
    </row>
    <row r="282" spans="1:5" x14ac:dyDescent="0.2">
      <c r="A282" s="512">
        <v>7</v>
      </c>
      <c r="B282" s="511" t="s">
        <v>751</v>
      </c>
      <c r="C282" s="547">
        <f t="shared" si="31"/>
        <v>0.69424298319008138</v>
      </c>
      <c r="D282" s="547">
        <f t="shared" si="31"/>
        <v>0.66495652430322305</v>
      </c>
      <c r="E282" s="574">
        <f t="shared" si="32"/>
        <v>-2.9286458886858324E-2</v>
      </c>
    </row>
    <row r="283" spans="1:5" ht="29.25" customHeight="1" x14ac:dyDescent="0.2">
      <c r="A283" s="512"/>
      <c r="B283" s="516" t="s">
        <v>837</v>
      </c>
      <c r="C283" s="575">
        <f t="shared" si="31"/>
        <v>0.24506210642396728</v>
      </c>
      <c r="D283" s="575">
        <f t="shared" si="31"/>
        <v>0.23008122334127973</v>
      </c>
      <c r="E283" s="576">
        <f t="shared" si="32"/>
        <v>-1.4980883082687552E-2</v>
      </c>
    </row>
    <row r="284" spans="1:5" x14ac:dyDescent="0.2">
      <c r="A284" s="512"/>
      <c r="B284" s="516" t="s">
        <v>838</v>
      </c>
      <c r="C284" s="575">
        <f t="shared" si="31"/>
        <v>0.31119175545933664</v>
      </c>
      <c r="D284" s="575">
        <f t="shared" si="31"/>
        <v>0.29184216676699698</v>
      </c>
      <c r="E284" s="576">
        <f t="shared" si="32"/>
        <v>-1.9349588692339659E-2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839</v>
      </c>
      <c r="C286" s="520"/>
      <c r="D286" s="520"/>
      <c r="E286" s="520"/>
    </row>
    <row r="287" spans="1:5" x14ac:dyDescent="0.2">
      <c r="A287" s="512">
        <v>1</v>
      </c>
      <c r="B287" s="511" t="s">
        <v>644</v>
      </c>
      <c r="C287" s="547">
        <f t="shared" ref="C287:D295" si="33">IF(C25=0,0,+C58/C25)</f>
        <v>0.4266166083314919</v>
      </c>
      <c r="D287" s="547">
        <f t="shared" si="33"/>
        <v>0.42304919447764233</v>
      </c>
      <c r="E287" s="574">
        <f t="shared" ref="E287:E295" si="34">D287-C287</f>
        <v>-3.5674138538495659E-3</v>
      </c>
    </row>
    <row r="288" spans="1:5" x14ac:dyDescent="0.2">
      <c r="A288" s="512">
        <v>2</v>
      </c>
      <c r="B288" s="511" t="s">
        <v>623</v>
      </c>
      <c r="C288" s="547">
        <f t="shared" si="33"/>
        <v>0.22626338526946116</v>
      </c>
      <c r="D288" s="547">
        <f t="shared" si="33"/>
        <v>0.2110896471152795</v>
      </c>
      <c r="E288" s="574">
        <f t="shared" si="34"/>
        <v>-1.517373815418166E-2</v>
      </c>
    </row>
    <row r="289" spans="1:5" x14ac:dyDescent="0.2">
      <c r="A289" s="512">
        <v>3</v>
      </c>
      <c r="B289" s="511" t="s">
        <v>769</v>
      </c>
      <c r="C289" s="547">
        <f t="shared" si="33"/>
        <v>0.24396315656921821</v>
      </c>
      <c r="D289" s="547">
        <f t="shared" si="33"/>
        <v>0.20838604324966861</v>
      </c>
      <c r="E289" s="574">
        <f t="shared" si="34"/>
        <v>-3.5577113319549603E-2</v>
      </c>
    </row>
    <row r="290" spans="1:5" x14ac:dyDescent="0.2">
      <c r="A290" s="512">
        <v>4</v>
      </c>
      <c r="B290" s="511" t="s">
        <v>114</v>
      </c>
      <c r="C290" s="547">
        <f t="shared" si="33"/>
        <v>0.24396315656921821</v>
      </c>
      <c r="D290" s="547">
        <f t="shared" si="33"/>
        <v>0.20838604324966861</v>
      </c>
      <c r="E290" s="574">
        <f t="shared" si="34"/>
        <v>-3.5577113319549603E-2</v>
      </c>
    </row>
    <row r="291" spans="1:5" x14ac:dyDescent="0.2">
      <c r="A291" s="512">
        <v>5</v>
      </c>
      <c r="B291" s="511" t="s">
        <v>736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0.25444606610989484</v>
      </c>
      <c r="D292" s="547">
        <f t="shared" si="33"/>
        <v>0.3199474235122145</v>
      </c>
      <c r="E292" s="574">
        <f t="shared" si="34"/>
        <v>6.550135740231966E-2</v>
      </c>
    </row>
    <row r="293" spans="1:5" x14ac:dyDescent="0.2">
      <c r="A293" s="512">
        <v>7</v>
      </c>
      <c r="B293" s="511" t="s">
        <v>751</v>
      </c>
      <c r="C293" s="547">
        <f t="shared" si="33"/>
        <v>0.27010930169293684</v>
      </c>
      <c r="D293" s="547">
        <f t="shared" si="33"/>
        <v>0.26395309521313021</v>
      </c>
      <c r="E293" s="574">
        <f t="shared" si="34"/>
        <v>-6.1562064798066363E-3</v>
      </c>
    </row>
    <row r="294" spans="1:5" ht="29.25" customHeight="1" x14ac:dyDescent="0.2">
      <c r="A294" s="512"/>
      <c r="B294" s="516" t="s">
        <v>840</v>
      </c>
      <c r="C294" s="575">
        <f t="shared" si="33"/>
        <v>0.23152118529188973</v>
      </c>
      <c r="D294" s="575">
        <f t="shared" si="33"/>
        <v>0.21117267500594969</v>
      </c>
      <c r="E294" s="576">
        <f t="shared" si="34"/>
        <v>-2.0348510285940036E-2</v>
      </c>
    </row>
    <row r="295" spans="1:5" x14ac:dyDescent="0.2">
      <c r="A295" s="512"/>
      <c r="B295" s="516" t="s">
        <v>841</v>
      </c>
      <c r="C295" s="575">
        <f t="shared" si="33"/>
        <v>0.32704706462424421</v>
      </c>
      <c r="D295" s="575">
        <f t="shared" si="33"/>
        <v>0.31268475470652812</v>
      </c>
      <c r="E295" s="576">
        <f t="shared" si="34"/>
        <v>-1.4362309917716087E-2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842</v>
      </c>
      <c r="B297" s="501" t="s">
        <v>843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844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642</v>
      </c>
      <c r="C301" s="514">
        <f>+C48+C47+C50+C51+C52+C59+C58+C61+C62+C63</f>
        <v>330549485</v>
      </c>
      <c r="D301" s="514">
        <f>+D48+D47+D50+D51+D52+D59+D58+D61+D62+D63</f>
        <v>339377632</v>
      </c>
      <c r="E301" s="514">
        <f>D301-C301</f>
        <v>8828147</v>
      </c>
    </row>
    <row r="302" spans="1:5" ht="25.5" x14ac:dyDescent="0.2">
      <c r="A302" s="512">
        <v>2</v>
      </c>
      <c r="B302" s="511" t="s">
        <v>845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846</v>
      </c>
      <c r="C303" s="517">
        <f>+C301+C302</f>
        <v>330549485</v>
      </c>
      <c r="D303" s="517">
        <f>+D301+D302</f>
        <v>339377632</v>
      </c>
      <c r="E303" s="517">
        <f>D303-C303</f>
        <v>8828147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847</v>
      </c>
      <c r="C305" s="513">
        <v>5563767</v>
      </c>
      <c r="D305" s="578">
        <v>8457989</v>
      </c>
      <c r="E305" s="579">
        <f>D305-C305</f>
        <v>2894222</v>
      </c>
    </row>
    <row r="306" spans="1:5" x14ac:dyDescent="0.2">
      <c r="A306" s="512">
        <v>4</v>
      </c>
      <c r="B306" s="516" t="s">
        <v>848</v>
      </c>
      <c r="C306" s="580">
        <f>+C303+C305</f>
        <v>336113252</v>
      </c>
      <c r="D306" s="580">
        <f>+D303+D305</f>
        <v>347835621</v>
      </c>
      <c r="E306" s="580">
        <f>D306-C306</f>
        <v>11722369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849</v>
      </c>
      <c r="C308" s="513">
        <v>336113214</v>
      </c>
      <c r="D308" s="513">
        <v>347835624</v>
      </c>
      <c r="E308" s="514">
        <f>D308-C308</f>
        <v>11722410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850</v>
      </c>
      <c r="C310" s="581">
        <f>C306-C308</f>
        <v>38</v>
      </c>
      <c r="D310" s="582">
        <f>D306-D308</f>
        <v>-3</v>
      </c>
      <c r="E310" s="580">
        <f>D310-C310</f>
        <v>-41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851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852</v>
      </c>
      <c r="C314" s="514">
        <f>+C14+C15+C16+C19+C25+C26+C27+C30</f>
        <v>1033672371</v>
      </c>
      <c r="D314" s="514">
        <f>+D14+D15+D16+D19+D25+D26+D27+D30</f>
        <v>1119150279</v>
      </c>
      <c r="E314" s="514">
        <f>D314-C314</f>
        <v>85477908</v>
      </c>
    </row>
    <row r="315" spans="1:5" x14ac:dyDescent="0.2">
      <c r="A315" s="512">
        <v>2</v>
      </c>
      <c r="B315" s="583" t="s">
        <v>853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854</v>
      </c>
      <c r="C316" s="581">
        <f>C314+C315</f>
        <v>1033672371</v>
      </c>
      <c r="D316" s="581">
        <f>D314+D315</f>
        <v>1119150279</v>
      </c>
      <c r="E316" s="517">
        <f>D316-C316</f>
        <v>85477908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855</v>
      </c>
      <c r="C318" s="513">
        <v>1033672371</v>
      </c>
      <c r="D318" s="513">
        <v>1119150279</v>
      </c>
      <c r="E318" s="514">
        <f>D318-C318</f>
        <v>85477908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850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856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857</v>
      </c>
      <c r="C324" s="513">
        <f>+C193+C194</f>
        <v>20426836</v>
      </c>
      <c r="D324" s="513">
        <f>+D193+D194</f>
        <v>19708794</v>
      </c>
      <c r="E324" s="514">
        <f>D324-C324</f>
        <v>-718042</v>
      </c>
    </row>
    <row r="325" spans="1:5" x14ac:dyDescent="0.2">
      <c r="A325" s="512">
        <v>2</v>
      </c>
      <c r="B325" s="511" t="s">
        <v>858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859</v>
      </c>
      <c r="C326" s="581">
        <f>C324+C325</f>
        <v>20426836</v>
      </c>
      <c r="D326" s="581">
        <f>D324+D325</f>
        <v>19708794</v>
      </c>
      <c r="E326" s="517">
        <f>D326-C326</f>
        <v>-718042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860</v>
      </c>
      <c r="C328" s="513">
        <v>20426836</v>
      </c>
      <c r="D328" s="513">
        <v>19708794</v>
      </c>
      <c r="E328" s="514">
        <f>D328-C328</f>
        <v>-718042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861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FILING&amp;RMIDDLESEX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614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862</v>
      </c>
      <c r="B5" s="696"/>
      <c r="C5" s="697"/>
      <c r="D5" s="585"/>
    </row>
    <row r="6" spans="1:58" s="338" customFormat="1" ht="15.75" customHeight="1" x14ac:dyDescent="0.25">
      <c r="A6" s="695" t="s">
        <v>863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864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865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768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644</v>
      </c>
      <c r="C14" s="513">
        <v>141858357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623</v>
      </c>
      <c r="C15" s="515">
        <v>300009429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769</v>
      </c>
      <c r="C16" s="515">
        <v>63620043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63620043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736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1339754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751</v>
      </c>
      <c r="C20" s="515">
        <v>6206111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770</v>
      </c>
      <c r="C21" s="517">
        <f>SUM(C15+C16+C19)</f>
        <v>364969226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710</v>
      </c>
      <c r="C22" s="517">
        <f>SUM(C14+C21)</f>
        <v>506827583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771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644</v>
      </c>
      <c r="C25" s="513">
        <v>293369697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623</v>
      </c>
      <c r="C26" s="515">
        <v>220377833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769</v>
      </c>
      <c r="C27" s="515">
        <v>95948897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95948897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736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2626269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751</v>
      </c>
      <c r="C31" s="518">
        <v>13838417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772</v>
      </c>
      <c r="C32" s="517">
        <f>SUM(C26+C27+C30)</f>
        <v>318952999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716</v>
      </c>
      <c r="C33" s="517">
        <f>SUM(C25+C32)</f>
        <v>612322696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641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866</v>
      </c>
      <c r="C36" s="514">
        <f>SUM(C14+C25)</f>
        <v>435228054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867</v>
      </c>
      <c r="C37" s="518">
        <f>SUM(C21+C32)</f>
        <v>683922225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641</v>
      </c>
      <c r="C38" s="517">
        <f>SUM(+C36+C37)</f>
        <v>1119150279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781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644</v>
      </c>
      <c r="C41" s="513">
        <v>63941094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623</v>
      </c>
      <c r="C42" s="515">
        <v>72545632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769</v>
      </c>
      <c r="C43" s="515">
        <v>11088384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11088384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736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338550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751</v>
      </c>
      <c r="C47" s="515">
        <v>4126794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782</v>
      </c>
      <c r="C48" s="517">
        <f>SUM(C42+C43+C46)</f>
        <v>83972566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711</v>
      </c>
      <c r="C49" s="517">
        <f>SUM(C41+C48)</f>
        <v>147913660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783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644</v>
      </c>
      <c r="C52" s="513">
        <v>124109814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623</v>
      </c>
      <c r="C53" s="515">
        <v>46519479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769</v>
      </c>
      <c r="C54" s="515">
        <v>19994411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19994411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736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840268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751</v>
      </c>
      <c r="C58" s="515">
        <v>3652693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784</v>
      </c>
      <c r="C59" s="517">
        <f>SUM(C53+C54+C57)</f>
        <v>67354158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717</v>
      </c>
      <c r="C60" s="517">
        <f>SUM(C52+C59)</f>
        <v>191463972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642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868</v>
      </c>
      <c r="C63" s="514">
        <f>SUM(C41+C52)</f>
        <v>188050908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869</v>
      </c>
      <c r="C64" s="518">
        <f>SUM(C48+C59)</f>
        <v>151326724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642</v>
      </c>
      <c r="C65" s="517">
        <f>SUM(+C63+C64)</f>
        <v>339377632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870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871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644</v>
      </c>
      <c r="C70" s="530">
        <v>4421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623</v>
      </c>
      <c r="C71" s="530">
        <v>7537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769</v>
      </c>
      <c r="C72" s="530">
        <v>2138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2138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736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62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751</v>
      </c>
      <c r="C76" s="545">
        <v>182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799</v>
      </c>
      <c r="C77" s="532">
        <f>SUM(C71+C72+C75)</f>
        <v>9737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713</v>
      </c>
      <c r="C78" s="596">
        <f>SUM(C70+C77)</f>
        <v>14158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804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644</v>
      </c>
      <c r="C81" s="541">
        <v>1.1101000000000001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623</v>
      </c>
      <c r="C82" s="541">
        <v>1.38656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769</v>
      </c>
      <c r="C83" s="541">
        <f>((C73*C84)+(C74*C85))/(C73+C74)</f>
        <v>0.95591000000000004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0.95591000000000004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736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0.79674999999999996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751</v>
      </c>
      <c r="C87" s="541">
        <v>1.03321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805</v>
      </c>
      <c r="C88" s="543">
        <f>((C71*C82)+(C73*C84)+(C74*C85)+(C75*C86))/(C71+C73+C74+C75)</f>
        <v>1.2882445106295575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714</v>
      </c>
      <c r="C89" s="543">
        <f>((C70*C81)+(C71*C82)+(C73*C84)+(C74*C85)+(C75*C86))/(C70+C71+C73+C74+C75)</f>
        <v>1.2326168173470831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806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807</v>
      </c>
      <c r="C92" s="513">
        <v>396628859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808</v>
      </c>
      <c r="C93" s="546">
        <v>187614053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656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740</v>
      </c>
      <c r="C95" s="513">
        <f>+C92-C93</f>
        <v>209014806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658</v>
      </c>
      <c r="C96" s="597">
        <f>(+C92-C93)/C92</f>
        <v>0.5269783104713518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755</v>
      </c>
      <c r="C98" s="513">
        <v>23313424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741</v>
      </c>
      <c r="C99" s="513">
        <v>16845972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872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810</v>
      </c>
      <c r="C103" s="513">
        <v>7509399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811</v>
      </c>
      <c r="C104" s="513">
        <v>12199395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812</v>
      </c>
      <c r="C105" s="578">
        <f>+C103+C104</f>
        <v>19708794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813</v>
      </c>
      <c r="C107" s="513">
        <v>11871399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698</v>
      </c>
      <c r="C108" s="513">
        <v>334537291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843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844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642</v>
      </c>
      <c r="C114" s="514">
        <f>+C65</f>
        <v>339377632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845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846</v>
      </c>
      <c r="C116" s="517">
        <f>+C114+C115</f>
        <v>339377632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847</v>
      </c>
      <c r="C118" s="578">
        <v>8457989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848</v>
      </c>
      <c r="C119" s="580">
        <f>+C116+C118</f>
        <v>347835621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849</v>
      </c>
      <c r="C121" s="513">
        <v>347835624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850</v>
      </c>
      <c r="C123" s="582">
        <f>C119-C121</f>
        <v>-3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851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852</v>
      </c>
      <c r="C127" s="514">
        <f>+C38</f>
        <v>1119150279</v>
      </c>
      <c r="D127" s="588"/>
      <c r="AR127" s="507"/>
    </row>
    <row r="128" spans="1:58" s="506" customFormat="1" x14ac:dyDescent="0.2">
      <c r="A128" s="512">
        <v>2</v>
      </c>
      <c r="B128" s="583" t="s">
        <v>853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854</v>
      </c>
      <c r="C129" s="581">
        <f>C127+C128</f>
        <v>1119150279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855</v>
      </c>
      <c r="C131" s="513">
        <v>1119150279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850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856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857</v>
      </c>
      <c r="C137" s="513">
        <f>C105</f>
        <v>19708794</v>
      </c>
      <c r="D137" s="588"/>
      <c r="AR137" s="507"/>
    </row>
    <row r="138" spans="1:44" s="506" customFormat="1" x14ac:dyDescent="0.2">
      <c r="A138" s="512">
        <v>2</v>
      </c>
      <c r="B138" s="511" t="s">
        <v>873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859</v>
      </c>
      <c r="C139" s="581">
        <f>C137+C138</f>
        <v>19708794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874</v>
      </c>
      <c r="C141" s="513">
        <v>19708794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861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FILING&amp;RMIDDLESEX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875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618</v>
      </c>
      <c r="D8" s="35" t="s">
        <v>618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620</v>
      </c>
      <c r="D9" s="607" t="s">
        <v>621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876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877</v>
      </c>
      <c r="C12" s="49">
        <v>3302</v>
      </c>
      <c r="D12" s="49">
        <v>3679</v>
      </c>
      <c r="E12" s="49">
        <f>+D12-C12</f>
        <v>377</v>
      </c>
      <c r="F12" s="70">
        <f>IF(C12=0,0,+E12/C12)</f>
        <v>0.1141732283464567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878</v>
      </c>
      <c r="C13" s="49">
        <v>1679</v>
      </c>
      <c r="D13" s="49">
        <v>2603</v>
      </c>
      <c r="E13" s="49">
        <f>+D13-C13</f>
        <v>924</v>
      </c>
      <c r="F13" s="70">
        <f>IF(C13=0,0,+E13/C13)</f>
        <v>0.55032757593805837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879</v>
      </c>
      <c r="C15" s="51">
        <v>6856094</v>
      </c>
      <c r="D15" s="51">
        <v>7509399</v>
      </c>
      <c r="E15" s="51">
        <f>+D15-C15</f>
        <v>653305</v>
      </c>
      <c r="F15" s="70">
        <f>IF(C15=0,0,+E15/C15)</f>
        <v>9.5288220960797795E-2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880</v>
      </c>
      <c r="C16" s="27">
        <f>IF(C13=0,0,+C15/+C13)</f>
        <v>4083.438951756998</v>
      </c>
      <c r="D16" s="27">
        <f>IF(D13=0,0,+D15/+D13)</f>
        <v>2884.9016519400693</v>
      </c>
      <c r="E16" s="27">
        <f>+D16-C16</f>
        <v>-1198.5372998169287</v>
      </c>
      <c r="F16" s="28">
        <f>IF(C16=0,0,+E16/C16)</f>
        <v>-0.29351174683320025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881</v>
      </c>
      <c r="C18" s="210">
        <v>0.33030999999999999</v>
      </c>
      <c r="D18" s="210">
        <v>0.31490699999999999</v>
      </c>
      <c r="E18" s="210">
        <f>+D18-C18</f>
        <v>-1.5403E-2</v>
      </c>
      <c r="F18" s="70">
        <f>IF(C18=0,0,+E18/C18)</f>
        <v>-4.6631951802851866E-2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882</v>
      </c>
      <c r="C19" s="27">
        <f>+C15*C18</f>
        <v>2264636.4091400001</v>
      </c>
      <c r="D19" s="27">
        <f>+D15*D18</f>
        <v>2364762.3108930001</v>
      </c>
      <c r="E19" s="27">
        <f>+D19-C19</f>
        <v>100125.90175299998</v>
      </c>
      <c r="F19" s="28">
        <f>IF(C19=0,0,+E19/C19)</f>
        <v>4.42127934307225E-2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883</v>
      </c>
      <c r="C20" s="27">
        <f>IF(C13=0,0,+C19/C13)</f>
        <v>1348.8007201548542</v>
      </c>
      <c r="D20" s="27">
        <f>IF(D13=0,0,+D19/D13)</f>
        <v>908.47572450749135</v>
      </c>
      <c r="E20" s="27">
        <f>+D20-C20</f>
        <v>-440.32499564736281</v>
      </c>
      <c r="F20" s="28">
        <f>IF(C20=0,0,+E20/C20)</f>
        <v>-0.3264566730041556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884</v>
      </c>
      <c r="C22" s="51">
        <v>1923667</v>
      </c>
      <c r="D22" s="51">
        <v>1121518</v>
      </c>
      <c r="E22" s="51">
        <f>+D22-C22</f>
        <v>-802149</v>
      </c>
      <c r="F22" s="70">
        <f>IF(C22=0,0,+E22/C22)</f>
        <v>-0.41698953093232871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885</v>
      </c>
      <c r="C23" s="49">
        <v>2328923</v>
      </c>
      <c r="D23" s="49">
        <v>2669833</v>
      </c>
      <c r="E23" s="49">
        <f>+D23-C23</f>
        <v>340910</v>
      </c>
      <c r="F23" s="70">
        <f>IF(C23=0,0,+E23/C23)</f>
        <v>0.14638096665282621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886</v>
      </c>
      <c r="C24" s="49">
        <v>2603504</v>
      </c>
      <c r="D24" s="49">
        <v>3718048</v>
      </c>
      <c r="E24" s="49">
        <f>+D24-C24</f>
        <v>1114544</v>
      </c>
      <c r="F24" s="70">
        <f>IF(C24=0,0,+E24/C24)</f>
        <v>0.42809383046847632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879</v>
      </c>
      <c r="C25" s="27">
        <f>+C22+C23+C24</f>
        <v>6856094</v>
      </c>
      <c r="D25" s="27">
        <f>+D22+D23+D24</f>
        <v>7509399</v>
      </c>
      <c r="E25" s="27">
        <f>+E22+E23+E24</f>
        <v>653305</v>
      </c>
      <c r="F25" s="28">
        <f>IF(C25=0,0,+E25/C25)</f>
        <v>9.5288220960797795E-2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887</v>
      </c>
      <c r="C27" s="49">
        <v>268</v>
      </c>
      <c r="D27" s="49">
        <v>137</v>
      </c>
      <c r="E27" s="49">
        <f>+D27-C27</f>
        <v>-131</v>
      </c>
      <c r="F27" s="70">
        <f>IF(C27=0,0,+E27/C27)</f>
        <v>-0.48880597014925375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888</v>
      </c>
      <c r="C28" s="49">
        <v>60</v>
      </c>
      <c r="D28" s="49">
        <v>33</v>
      </c>
      <c r="E28" s="49">
        <f>+D28-C28</f>
        <v>-27</v>
      </c>
      <c r="F28" s="70">
        <f>IF(C28=0,0,+E28/C28)</f>
        <v>-0.45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889</v>
      </c>
      <c r="C29" s="49">
        <v>1010</v>
      </c>
      <c r="D29" s="49">
        <v>1061</v>
      </c>
      <c r="E29" s="49">
        <f>+D29-C29</f>
        <v>51</v>
      </c>
      <c r="F29" s="70">
        <f>IF(C29=0,0,+E29/C29)</f>
        <v>5.0495049504950498E-2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890</v>
      </c>
      <c r="C30" s="49">
        <v>1068</v>
      </c>
      <c r="D30" s="49">
        <v>1360</v>
      </c>
      <c r="E30" s="49">
        <f>+D30-C30</f>
        <v>292</v>
      </c>
      <c r="F30" s="70">
        <f>IF(C30=0,0,+E30/C30)</f>
        <v>0.27340823970037453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891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892</v>
      </c>
      <c r="C33" s="51">
        <v>2543065</v>
      </c>
      <c r="D33" s="51">
        <v>3072553</v>
      </c>
      <c r="E33" s="51">
        <f>+D33-C33</f>
        <v>529488</v>
      </c>
      <c r="F33" s="70">
        <f>IF(C33=0,0,+E33/C33)</f>
        <v>0.20820859867915292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893</v>
      </c>
      <c r="C34" s="49">
        <v>3384396</v>
      </c>
      <c r="D34" s="49">
        <v>2534540</v>
      </c>
      <c r="E34" s="49">
        <f>+D34-C34</f>
        <v>-849856</v>
      </c>
      <c r="F34" s="70">
        <f>IF(C34=0,0,+E34/C34)</f>
        <v>-0.25111009468159162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894</v>
      </c>
      <c r="C35" s="49">
        <v>7643281</v>
      </c>
      <c r="D35" s="49">
        <v>6592302</v>
      </c>
      <c r="E35" s="49">
        <f>+D35-C35</f>
        <v>-1050979</v>
      </c>
      <c r="F35" s="70">
        <f>IF(C35=0,0,+E35/C35)</f>
        <v>-0.13750364535858356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895</v>
      </c>
      <c r="C36" s="27">
        <f>+C33+C34+C35</f>
        <v>13570742</v>
      </c>
      <c r="D36" s="27">
        <f>+D33+D34+D35</f>
        <v>12199395</v>
      </c>
      <c r="E36" s="27">
        <f>+E33+E34+E35</f>
        <v>-1371347</v>
      </c>
      <c r="F36" s="28">
        <f>IF(C36=0,0,+E36/C36)</f>
        <v>-0.10105173320662938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896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897</v>
      </c>
      <c r="C39" s="51">
        <f>+C25</f>
        <v>6856094</v>
      </c>
      <c r="D39" s="51">
        <f>+D25</f>
        <v>7509399</v>
      </c>
      <c r="E39" s="51">
        <f>+D39-C39</f>
        <v>653305</v>
      </c>
      <c r="F39" s="70">
        <f>IF(C39=0,0,+E39/C39)</f>
        <v>9.5288220960797795E-2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898</v>
      </c>
      <c r="C40" s="49">
        <f>+C36</f>
        <v>13570742</v>
      </c>
      <c r="D40" s="49">
        <f>+D36</f>
        <v>12199395</v>
      </c>
      <c r="E40" s="49">
        <f>+D40-C40</f>
        <v>-1371347</v>
      </c>
      <c r="F40" s="70">
        <f>IF(C40=0,0,+E40/C40)</f>
        <v>-0.10105173320662938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899</v>
      </c>
      <c r="C41" s="27">
        <f>+C39+C40</f>
        <v>20426836</v>
      </c>
      <c r="D41" s="27">
        <f>+D39+D40</f>
        <v>19708794</v>
      </c>
      <c r="E41" s="27">
        <f>+E39+E40</f>
        <v>-718042</v>
      </c>
      <c r="F41" s="28">
        <f>IF(C41=0,0,+E41/C41)</f>
        <v>-3.5151895281285851E-2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900</v>
      </c>
      <c r="C43" s="51">
        <f t="shared" ref="C43:D45" si="0">+C22+C33</f>
        <v>4466732</v>
      </c>
      <c r="D43" s="51">
        <f t="shared" si="0"/>
        <v>4194071</v>
      </c>
      <c r="E43" s="51">
        <f>+D43-C43</f>
        <v>-272661</v>
      </c>
      <c r="F43" s="70">
        <f>IF(C43=0,0,+E43/C43)</f>
        <v>-6.104261460056256E-2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901</v>
      </c>
      <c r="C44" s="49">
        <f t="shared" si="0"/>
        <v>5713319</v>
      </c>
      <c r="D44" s="49">
        <f t="shared" si="0"/>
        <v>5204373</v>
      </c>
      <c r="E44" s="49">
        <f>+D44-C44</f>
        <v>-508946</v>
      </c>
      <c r="F44" s="70">
        <f>IF(C44=0,0,+E44/C44)</f>
        <v>-8.9080620213924697E-2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902</v>
      </c>
      <c r="C45" s="49">
        <f t="shared" si="0"/>
        <v>10246785</v>
      </c>
      <c r="D45" s="49">
        <f t="shared" si="0"/>
        <v>10310350</v>
      </c>
      <c r="E45" s="49">
        <f>+D45-C45</f>
        <v>63565</v>
      </c>
      <c r="F45" s="70">
        <f>IF(C45=0,0,+E45/C45)</f>
        <v>6.2034091668752688E-3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899</v>
      </c>
      <c r="C46" s="27">
        <f>+C43+C44+C45</f>
        <v>20426836</v>
      </c>
      <c r="D46" s="27">
        <f>+D43+D44+D45</f>
        <v>19708794</v>
      </c>
      <c r="E46" s="27">
        <f>+E43+E44+E45</f>
        <v>-718042</v>
      </c>
      <c r="F46" s="28">
        <f>IF(C46=0,0,+E46/C46)</f>
        <v>-3.5151895281285851E-2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903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FILING&amp;RMIDDLESEX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904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905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620</v>
      </c>
      <c r="D9" s="35" t="s">
        <v>621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906</v>
      </c>
      <c r="D10" s="35" t="s">
        <v>906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907</v>
      </c>
      <c r="D11" s="605" t="s">
        <v>907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908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377720253</v>
      </c>
      <c r="D15" s="51">
        <v>396628859</v>
      </c>
      <c r="E15" s="51">
        <f>+D15-C15</f>
        <v>18908606</v>
      </c>
      <c r="F15" s="70">
        <f>+E15/C15</f>
        <v>5.005981503459387E-2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909</v>
      </c>
      <c r="C17" s="51">
        <v>192878887</v>
      </c>
      <c r="D17" s="51">
        <v>209014806</v>
      </c>
      <c r="E17" s="51">
        <f>+D17-C17</f>
        <v>16135919</v>
      </c>
      <c r="F17" s="70">
        <f>+E17/C17</f>
        <v>8.3658295892178186E-2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910</v>
      </c>
      <c r="C19" s="27">
        <f>+C15-C17</f>
        <v>184841366</v>
      </c>
      <c r="D19" s="27">
        <f>+D15-D17</f>
        <v>187614053</v>
      </c>
      <c r="E19" s="27">
        <f>+D19-C19</f>
        <v>2772687</v>
      </c>
      <c r="F19" s="28">
        <f>+E19/C19</f>
        <v>1.5000359822054117E-2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911</v>
      </c>
      <c r="C21" s="628">
        <f>+C17/C15</f>
        <v>0.51063951553585352</v>
      </c>
      <c r="D21" s="628">
        <f>+D17/D15</f>
        <v>0.5269783104713518</v>
      </c>
      <c r="E21" s="628">
        <f>+D21-C21</f>
        <v>1.633879493549828E-2</v>
      </c>
      <c r="F21" s="28">
        <f>+E21/C21</f>
        <v>3.1996730449567183E-2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912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FILING&amp;R&amp;12MIDDLESEX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3" width="18.28515625" customWidth="1"/>
    <col min="4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913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914</v>
      </c>
      <c r="B6" s="632" t="s">
        <v>915</v>
      </c>
      <c r="C6" s="632" t="s">
        <v>916</v>
      </c>
      <c r="D6" s="632" t="s">
        <v>917</v>
      </c>
      <c r="E6" s="632" t="s">
        <v>918</v>
      </c>
    </row>
    <row r="7" spans="1:6" ht="37.5" customHeight="1" x14ac:dyDescent="0.25">
      <c r="A7" s="633" t="s">
        <v>8</v>
      </c>
      <c r="B7" s="634" t="s">
        <v>919</v>
      </c>
      <c r="C7" s="631" t="s">
        <v>920</v>
      </c>
      <c r="D7" s="631" t="s">
        <v>921</v>
      </c>
      <c r="E7" s="631" t="s">
        <v>922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923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924</v>
      </c>
      <c r="C10" s="641">
        <v>412297385</v>
      </c>
      <c r="D10" s="641">
        <v>473660251</v>
      </c>
      <c r="E10" s="641">
        <v>506827583</v>
      </c>
    </row>
    <row r="11" spans="1:6" ht="26.1" customHeight="1" x14ac:dyDescent="0.25">
      <c r="A11" s="639">
        <v>2</v>
      </c>
      <c r="B11" s="640" t="s">
        <v>925</v>
      </c>
      <c r="C11" s="641">
        <v>525845728</v>
      </c>
      <c r="D11" s="641">
        <v>560012120</v>
      </c>
      <c r="E11" s="641">
        <v>612322696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938143113</v>
      </c>
      <c r="D12" s="641">
        <f>+D11+D10</f>
        <v>1033672371</v>
      </c>
      <c r="E12" s="641">
        <f>+E11+E10</f>
        <v>1119150279</v>
      </c>
    </row>
    <row r="13" spans="1:6" ht="26.1" customHeight="1" x14ac:dyDescent="0.25">
      <c r="A13" s="639">
        <v>4</v>
      </c>
      <c r="B13" s="640" t="s">
        <v>496</v>
      </c>
      <c r="C13" s="641">
        <v>325072710</v>
      </c>
      <c r="D13" s="641">
        <v>336113486</v>
      </c>
      <c r="E13" s="641">
        <v>347835624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926</v>
      </c>
      <c r="C16" s="641">
        <v>312521510</v>
      </c>
      <c r="D16" s="641">
        <v>328515648</v>
      </c>
      <c r="E16" s="641">
        <v>334537291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927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57829</v>
      </c>
      <c r="D19" s="644">
        <v>59935</v>
      </c>
      <c r="E19" s="644">
        <v>59473</v>
      </c>
    </row>
    <row r="20" spans="1:5" ht="26.1" customHeight="1" x14ac:dyDescent="0.25">
      <c r="A20" s="639">
        <v>2</v>
      </c>
      <c r="B20" s="640" t="s">
        <v>385</v>
      </c>
      <c r="C20" s="645">
        <v>13918</v>
      </c>
      <c r="D20" s="645">
        <v>13855</v>
      </c>
      <c r="E20" s="645">
        <v>14158</v>
      </c>
    </row>
    <row r="21" spans="1:5" ht="26.1" customHeight="1" x14ac:dyDescent="0.25">
      <c r="A21" s="639">
        <v>3</v>
      </c>
      <c r="B21" s="640" t="s">
        <v>928</v>
      </c>
      <c r="C21" s="646">
        <f>IF(C20=0,0,+C19/C20)</f>
        <v>4.1549791636729418</v>
      </c>
      <c r="D21" s="646">
        <f>IF(D20=0,0,+D19/D20)</f>
        <v>4.3258751353302056</v>
      </c>
      <c r="E21" s="646">
        <f>IF(E20=0,0,+E19/E20)</f>
        <v>4.2006639355841218</v>
      </c>
    </row>
    <row r="22" spans="1:5" ht="26.1" customHeight="1" x14ac:dyDescent="0.25">
      <c r="A22" s="639">
        <v>4</v>
      </c>
      <c r="B22" s="640" t="s">
        <v>929</v>
      </c>
      <c r="C22" s="645">
        <f>IF(C10=0,0,C19*(C12/C10))</f>
        <v>131584.3370718371</v>
      </c>
      <c r="D22" s="645">
        <f>IF(D10=0,0,D19*(D12/D10))</f>
        <v>130796.60669243068</v>
      </c>
      <c r="E22" s="645">
        <f>IF(E10=0,0,E19*(E12/E10))</f>
        <v>131325.18192674412</v>
      </c>
    </row>
    <row r="23" spans="1:5" ht="26.1" customHeight="1" x14ac:dyDescent="0.25">
      <c r="A23" s="639">
        <v>0</v>
      </c>
      <c r="B23" s="640" t="s">
        <v>930</v>
      </c>
      <c r="C23" s="645">
        <f>IF(C10=0,0,C20*(C12/C10))</f>
        <v>31669.072668831017</v>
      </c>
      <c r="D23" s="645">
        <f>IF(D10=0,0,D20*(D12/D10))</f>
        <v>30235.871956680188</v>
      </c>
      <c r="E23" s="645">
        <f>IF(E10=0,0,E20*(E12/E10))</f>
        <v>31262.958413378223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931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1.1838811251616612</v>
      </c>
      <c r="D26" s="647">
        <v>1.21346661854926</v>
      </c>
      <c r="E26" s="647">
        <v>1.2326168173470831</v>
      </c>
    </row>
    <row r="27" spans="1:5" ht="26.1" customHeight="1" x14ac:dyDescent="0.25">
      <c r="A27" s="639">
        <v>2</v>
      </c>
      <c r="B27" s="640" t="s">
        <v>932</v>
      </c>
      <c r="C27" s="645">
        <f>C19*C26</f>
        <v>68462.6615869737</v>
      </c>
      <c r="D27" s="645">
        <f>D19*D26</f>
        <v>72729.121782749891</v>
      </c>
      <c r="E27" s="645">
        <f>E19*E26</f>
        <v>73307.419978083068</v>
      </c>
    </row>
    <row r="28" spans="1:5" ht="26.1" customHeight="1" x14ac:dyDescent="0.25">
      <c r="A28" s="639">
        <v>3</v>
      </c>
      <c r="B28" s="640" t="s">
        <v>933</v>
      </c>
      <c r="C28" s="645">
        <f>C20*C26</f>
        <v>16477.2575</v>
      </c>
      <c r="D28" s="645">
        <f>D20*D26</f>
        <v>16812.579999999998</v>
      </c>
      <c r="E28" s="645">
        <f>E20*E26</f>
        <v>17451.388900000002</v>
      </c>
    </row>
    <row r="29" spans="1:5" ht="26.1" customHeight="1" x14ac:dyDescent="0.25">
      <c r="A29" s="639">
        <v>4</v>
      </c>
      <c r="B29" s="640" t="s">
        <v>934</v>
      </c>
      <c r="C29" s="645">
        <f>C22*C26</f>
        <v>155780.21302625778</v>
      </c>
      <c r="D29" s="645">
        <f>D22*D26</f>
        <v>158717.31604078136</v>
      </c>
      <c r="E29" s="645">
        <f>E22*E26</f>
        <v>161873.62778407001</v>
      </c>
    </row>
    <row r="30" spans="1:5" ht="26.1" customHeight="1" x14ac:dyDescent="0.25">
      <c r="A30" s="639">
        <v>5</v>
      </c>
      <c r="B30" s="640" t="s">
        <v>935</v>
      </c>
      <c r="C30" s="645">
        <f>C23*C26</f>
        <v>37492.417384002081</v>
      </c>
      <c r="D30" s="645">
        <f>D23*D26</f>
        <v>36690.221302161102</v>
      </c>
      <c r="E30" s="645">
        <f>E23*E26</f>
        <v>38535.248300352476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936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937</v>
      </c>
      <c r="C33" s="641">
        <f>IF(C19=0,0,C12/C19)</f>
        <v>16222.710283767659</v>
      </c>
      <c r="D33" s="641">
        <f>IF(D19=0,0,D12/D19)</f>
        <v>17246.556619671312</v>
      </c>
      <c r="E33" s="641">
        <f>IF(E19=0,0,E12/E19)</f>
        <v>18817.787550653236</v>
      </c>
    </row>
    <row r="34" spans="1:5" ht="26.1" customHeight="1" x14ac:dyDescent="0.25">
      <c r="A34" s="639">
        <v>2</v>
      </c>
      <c r="B34" s="640" t="s">
        <v>938</v>
      </c>
      <c r="C34" s="641">
        <f>IF(C20=0,0,C12/C20)</f>
        <v>67405.023207357386</v>
      </c>
      <c r="D34" s="641">
        <f>IF(D20=0,0,D12/D20)</f>
        <v>74606.450451100682</v>
      </c>
      <c r="E34" s="641">
        <f>IF(E20=0,0,E12/E20)</f>
        <v>79047.201511512932</v>
      </c>
    </row>
    <row r="35" spans="1:5" ht="26.1" customHeight="1" x14ac:dyDescent="0.25">
      <c r="A35" s="639">
        <v>3</v>
      </c>
      <c r="B35" s="640" t="s">
        <v>939</v>
      </c>
      <c r="C35" s="641">
        <f>IF(C22=0,0,C12/C22)</f>
        <v>7129.5956181154788</v>
      </c>
      <c r="D35" s="641">
        <f>IF(D22=0,0,D12/D22)</f>
        <v>7902.8989905731214</v>
      </c>
      <c r="E35" s="641">
        <f>IF(E22=0,0,E12/E22)</f>
        <v>8521.9777546113364</v>
      </c>
    </row>
    <row r="36" spans="1:5" ht="26.1" customHeight="1" x14ac:dyDescent="0.25">
      <c r="A36" s="639">
        <v>4</v>
      </c>
      <c r="B36" s="640" t="s">
        <v>940</v>
      </c>
      <c r="C36" s="641">
        <f>IF(C23=0,0,C12/C23)</f>
        <v>29623.321238683722</v>
      </c>
      <c r="D36" s="641">
        <f>IF(D23=0,0,D12/D23)</f>
        <v>34186.954240346444</v>
      </c>
      <c r="E36" s="641">
        <f>IF(E23=0,0,E12/E23)</f>
        <v>35797.964613646</v>
      </c>
    </row>
    <row r="37" spans="1:5" ht="26.1" customHeight="1" x14ac:dyDescent="0.25">
      <c r="A37" s="639">
        <v>5</v>
      </c>
      <c r="B37" s="640" t="s">
        <v>941</v>
      </c>
      <c r="C37" s="641">
        <f>IF(C29=0,0,C12/C29)</f>
        <v>6022.2225581490875</v>
      </c>
      <c r="D37" s="641">
        <f>IF(D29=0,0,D12/D29)</f>
        <v>6512.6628699694293</v>
      </c>
      <c r="E37" s="641">
        <f>IF(E29=0,0,E12/E29)</f>
        <v>6913.7282849611629</v>
      </c>
    </row>
    <row r="38" spans="1:5" ht="26.1" customHeight="1" x14ac:dyDescent="0.25">
      <c r="A38" s="639">
        <v>6</v>
      </c>
      <c r="B38" s="640" t="s">
        <v>942</v>
      </c>
      <c r="C38" s="641">
        <f>IF(C30=0,0,C12/C30)</f>
        <v>25022.209248110612</v>
      </c>
      <c r="D38" s="641">
        <f>IF(D30=0,0,D12/D30)</f>
        <v>28172.966373989009</v>
      </c>
      <c r="E38" s="641">
        <f>IF(E30=0,0,E12/E30)</f>
        <v>29042.249067064226</v>
      </c>
    </row>
    <row r="39" spans="1:5" ht="26.1" customHeight="1" x14ac:dyDescent="0.25">
      <c r="A39" s="639">
        <v>7</v>
      </c>
      <c r="B39" s="640" t="s">
        <v>943</v>
      </c>
      <c r="C39" s="641">
        <f>IF(C22=0,0,C10/C22)</f>
        <v>3133.3317792596436</v>
      </c>
      <c r="D39" s="641">
        <f>IF(D22=0,0,D10/D22)</f>
        <v>3621.3496892455023</v>
      </c>
      <c r="E39" s="641">
        <f>IF(E22=0,0,E10/E22)</f>
        <v>3859.3328070371062</v>
      </c>
    </row>
    <row r="40" spans="1:5" ht="26.1" customHeight="1" x14ac:dyDescent="0.25">
      <c r="A40" s="639">
        <v>8</v>
      </c>
      <c r="B40" s="640" t="s">
        <v>944</v>
      </c>
      <c r="C40" s="641">
        <f>IF(C23=0,0,C10/C23)</f>
        <v>13018.928255698082</v>
      </c>
      <c r="D40" s="641">
        <f>IF(D23=0,0,D10/D23)</f>
        <v>15665.506577042885</v>
      </c>
      <c r="E40" s="641">
        <f>IF(E23=0,0,E10/E23)</f>
        <v>16211.760137937408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945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946</v>
      </c>
      <c r="C43" s="641">
        <f>IF(C19=0,0,C13/C19)</f>
        <v>5621.274965847585</v>
      </c>
      <c r="D43" s="641">
        <f>IF(D19=0,0,D13/D19)</f>
        <v>5607.9667306248439</v>
      </c>
      <c r="E43" s="641">
        <f>IF(E19=0,0,E13/E19)</f>
        <v>5848.6308745144852</v>
      </c>
    </row>
    <row r="44" spans="1:5" ht="26.1" customHeight="1" x14ac:dyDescent="0.25">
      <c r="A44" s="639">
        <v>2</v>
      </c>
      <c r="B44" s="640" t="s">
        <v>947</v>
      </c>
      <c r="C44" s="641">
        <f>IF(C20=0,0,C13/C20)</f>
        <v>23356.280356373041</v>
      </c>
      <c r="D44" s="641">
        <f>IF(D20=0,0,D13/D20)</f>
        <v>24259.363839769037</v>
      </c>
      <c r="E44" s="641">
        <f>IF(E20=0,0,E13/E20)</f>
        <v>24568.132787116825</v>
      </c>
    </row>
    <row r="45" spans="1:5" ht="26.1" customHeight="1" x14ac:dyDescent="0.25">
      <c r="A45" s="639">
        <v>3</v>
      </c>
      <c r="B45" s="640" t="s">
        <v>948</v>
      </c>
      <c r="C45" s="641">
        <f>IF(C22=0,0,C13/C22)</f>
        <v>2470.4514019972598</v>
      </c>
      <c r="D45" s="641">
        <f>IF(D22=0,0,D13/D22)</f>
        <v>2569.7416355026221</v>
      </c>
      <c r="E45" s="641">
        <f>IF(E22=0,0,E13/E22)</f>
        <v>2648.6589921042701</v>
      </c>
    </row>
    <row r="46" spans="1:5" ht="26.1" customHeight="1" x14ac:dyDescent="0.25">
      <c r="A46" s="639">
        <v>4</v>
      </c>
      <c r="B46" s="640" t="s">
        <v>949</v>
      </c>
      <c r="C46" s="641">
        <f>IF(C23=0,0,C13/C23)</f>
        <v>10264.674100165221</v>
      </c>
      <c r="D46" s="641">
        <f>IF(D23=0,0,D13/D23)</f>
        <v>11116.381445243569</v>
      </c>
      <c r="E46" s="641">
        <f>IF(E23=0,0,E13/E23)</f>
        <v>11126.126305792999</v>
      </c>
    </row>
    <row r="47" spans="1:5" ht="26.1" customHeight="1" x14ac:dyDescent="0.25">
      <c r="A47" s="639">
        <v>5</v>
      </c>
      <c r="B47" s="640" t="s">
        <v>950</v>
      </c>
      <c r="C47" s="641">
        <f>IF(C29=0,0,C13/C29)</f>
        <v>2086.7394111549124</v>
      </c>
      <c r="D47" s="641">
        <f>IF(D29=0,0,D13/D29)</f>
        <v>2117.686301560429</v>
      </c>
      <c r="E47" s="641">
        <f>IF(E29=0,0,E13/E29)</f>
        <v>2148.8097150944964</v>
      </c>
    </row>
    <row r="48" spans="1:5" ht="26.1" customHeight="1" x14ac:dyDescent="0.25">
      <c r="A48" s="639">
        <v>6</v>
      </c>
      <c r="B48" s="640" t="s">
        <v>951</v>
      </c>
      <c r="C48" s="641">
        <f>IF(C30=0,0,C13/C30)</f>
        <v>8670.3587733638033</v>
      </c>
      <c r="D48" s="641">
        <f>IF(D30=0,0,D13/D30)</f>
        <v>9160.8465163496439</v>
      </c>
      <c r="E48" s="641">
        <f>IF(E30=0,0,E13/E30)</f>
        <v>9026.4274746302435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952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953</v>
      </c>
      <c r="C51" s="641">
        <f>IF(C19=0,0,C16/C19)</f>
        <v>5404.2350723685349</v>
      </c>
      <c r="D51" s="641">
        <f>IF(D19=0,0,D16/D19)</f>
        <v>5481.1987653291062</v>
      </c>
      <c r="E51" s="641">
        <f>IF(E19=0,0,E16/E19)</f>
        <v>5625.0280127116503</v>
      </c>
    </row>
    <row r="52" spans="1:6" ht="26.1" customHeight="1" x14ac:dyDescent="0.25">
      <c r="A52" s="639">
        <v>2</v>
      </c>
      <c r="B52" s="640" t="s">
        <v>954</v>
      </c>
      <c r="C52" s="641">
        <f>IF(C20=0,0,C16/C20)</f>
        <v>22454.484121281792</v>
      </c>
      <c r="D52" s="641">
        <f>IF(D20=0,0,D16/D20)</f>
        <v>23710.981450739804</v>
      </c>
      <c r="E52" s="641">
        <f>IF(E20=0,0,E16/E20)</f>
        <v>23628.852309648257</v>
      </c>
    </row>
    <row r="53" spans="1:6" ht="26.1" customHeight="1" x14ac:dyDescent="0.25">
      <c r="A53" s="639">
        <v>3</v>
      </c>
      <c r="B53" s="640" t="s">
        <v>955</v>
      </c>
      <c r="C53" s="641">
        <f>IF(C22=0,0,C16/C22)</f>
        <v>2375.0661891421173</v>
      </c>
      <c r="D53" s="641">
        <f>IF(D22=0,0,D16/D22)</f>
        <v>2511.6526820340782</v>
      </c>
      <c r="E53" s="641">
        <f>IF(E22=0,0,E16/E22)</f>
        <v>2547.3963644429732</v>
      </c>
    </row>
    <row r="54" spans="1:6" ht="26.1" customHeight="1" x14ac:dyDescent="0.25">
      <c r="A54" s="639">
        <v>4</v>
      </c>
      <c r="B54" s="640" t="s">
        <v>956</v>
      </c>
      <c r="C54" s="641">
        <f>IF(C23=0,0,C16/C23)</f>
        <v>9868.3505282295955</v>
      </c>
      <c r="D54" s="641">
        <f>IF(D23=0,0,D16/D23)</f>
        <v>10865.095885796643</v>
      </c>
      <c r="E54" s="641">
        <f>IF(E23=0,0,E16/E23)</f>
        <v>10700.756037753705</v>
      </c>
    </row>
    <row r="55" spans="1:6" ht="26.1" customHeight="1" x14ac:dyDescent="0.25">
      <c r="A55" s="639">
        <v>5</v>
      </c>
      <c r="B55" s="640" t="s">
        <v>957</v>
      </c>
      <c r="C55" s="641">
        <f>IF(C29=0,0,C16/C29)</f>
        <v>2006.1694866685182</v>
      </c>
      <c r="D55" s="641">
        <f>IF(D29=0,0,D16/D29)</f>
        <v>2069.8160490288915</v>
      </c>
      <c r="E55" s="641">
        <f>IF(E29=0,0,E16/E29)</f>
        <v>2066.6571545937877</v>
      </c>
    </row>
    <row r="56" spans="1:6" ht="26.1" customHeight="1" x14ac:dyDescent="0.25">
      <c r="A56" s="639">
        <v>6</v>
      </c>
      <c r="B56" s="640" t="s">
        <v>958</v>
      </c>
      <c r="C56" s="641">
        <f>IF(C30=0,0,C16/C30)</f>
        <v>8335.5924159041333</v>
      </c>
      <c r="D56" s="641">
        <f>IF(D30=0,0,D16/D30)</f>
        <v>8953.7657812014877</v>
      </c>
      <c r="E56" s="641">
        <f>IF(E30=0,0,E16/E30)</f>
        <v>8681.3321765190249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959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960</v>
      </c>
      <c r="C59" s="649">
        <v>45300265</v>
      </c>
      <c r="D59" s="649">
        <v>46575871</v>
      </c>
      <c r="E59" s="649">
        <v>47712048</v>
      </c>
    </row>
    <row r="60" spans="1:6" ht="26.1" customHeight="1" x14ac:dyDescent="0.25">
      <c r="A60" s="639">
        <v>2</v>
      </c>
      <c r="B60" s="640" t="s">
        <v>961</v>
      </c>
      <c r="C60" s="649">
        <v>11000436</v>
      </c>
      <c r="D60" s="649">
        <v>12732163</v>
      </c>
      <c r="E60" s="649">
        <v>11105634</v>
      </c>
    </row>
    <row r="61" spans="1:6" ht="26.1" customHeight="1" x14ac:dyDescent="0.25">
      <c r="A61" s="650">
        <v>3</v>
      </c>
      <c r="B61" s="651" t="s">
        <v>962</v>
      </c>
      <c r="C61" s="652">
        <f>C59+C60</f>
        <v>56300701</v>
      </c>
      <c r="D61" s="652">
        <f>D59+D60</f>
        <v>59308034</v>
      </c>
      <c r="E61" s="652">
        <f>E59+E60</f>
        <v>58817682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963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964</v>
      </c>
      <c r="C64" s="641">
        <v>22986362</v>
      </c>
      <c r="D64" s="641">
        <v>25136796</v>
      </c>
      <c r="E64" s="649">
        <v>26601785</v>
      </c>
      <c r="F64" s="653"/>
    </row>
    <row r="65" spans="1:6" ht="26.1" customHeight="1" x14ac:dyDescent="0.25">
      <c r="A65" s="639">
        <v>2</v>
      </c>
      <c r="B65" s="640" t="s">
        <v>965</v>
      </c>
      <c r="C65" s="649">
        <v>5581866</v>
      </c>
      <c r="D65" s="649">
        <v>6871493</v>
      </c>
      <c r="E65" s="649">
        <v>6191930</v>
      </c>
      <c r="F65" s="653"/>
    </row>
    <row r="66" spans="1:6" ht="26.1" customHeight="1" x14ac:dyDescent="0.25">
      <c r="A66" s="650">
        <v>3</v>
      </c>
      <c r="B66" s="651" t="s">
        <v>966</v>
      </c>
      <c r="C66" s="654">
        <f>C64+C65</f>
        <v>28568228</v>
      </c>
      <c r="D66" s="654">
        <f>D64+D65</f>
        <v>32008289</v>
      </c>
      <c r="E66" s="654">
        <f>E64+E65</f>
        <v>32793715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967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968</v>
      </c>
      <c r="C69" s="649">
        <v>81688566</v>
      </c>
      <c r="D69" s="649">
        <v>83855969</v>
      </c>
      <c r="E69" s="649">
        <v>87361080</v>
      </c>
    </row>
    <row r="70" spans="1:6" ht="26.1" customHeight="1" x14ac:dyDescent="0.25">
      <c r="A70" s="639">
        <v>2</v>
      </c>
      <c r="B70" s="640" t="s">
        <v>969</v>
      </c>
      <c r="C70" s="649">
        <v>19836744</v>
      </c>
      <c r="D70" s="649">
        <v>22923197</v>
      </c>
      <c r="E70" s="649">
        <v>20334489</v>
      </c>
    </row>
    <row r="71" spans="1:6" ht="26.1" customHeight="1" x14ac:dyDescent="0.25">
      <c r="A71" s="650">
        <v>3</v>
      </c>
      <c r="B71" s="651" t="s">
        <v>970</v>
      </c>
      <c r="C71" s="652">
        <f>C69+C70</f>
        <v>101525310</v>
      </c>
      <c r="D71" s="652">
        <f>D69+D70</f>
        <v>106779166</v>
      </c>
      <c r="E71" s="652">
        <f>E69+E70</f>
        <v>107695569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971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972</v>
      </c>
      <c r="C75" s="641">
        <f t="shared" ref="C75:E76" si="0">+C59+C64+C69</f>
        <v>149975193</v>
      </c>
      <c r="D75" s="641">
        <f t="shared" si="0"/>
        <v>155568636</v>
      </c>
      <c r="E75" s="641">
        <f t="shared" si="0"/>
        <v>161674913</v>
      </c>
    </row>
    <row r="76" spans="1:6" ht="26.1" customHeight="1" x14ac:dyDescent="0.25">
      <c r="A76" s="639">
        <v>2</v>
      </c>
      <c r="B76" s="640" t="s">
        <v>973</v>
      </c>
      <c r="C76" s="641">
        <f t="shared" si="0"/>
        <v>36419046</v>
      </c>
      <c r="D76" s="641">
        <f t="shared" si="0"/>
        <v>42526853</v>
      </c>
      <c r="E76" s="641">
        <f t="shared" si="0"/>
        <v>37632053</v>
      </c>
    </row>
    <row r="77" spans="1:6" ht="26.1" customHeight="1" x14ac:dyDescent="0.25">
      <c r="A77" s="650">
        <v>3</v>
      </c>
      <c r="B77" s="651" t="s">
        <v>971</v>
      </c>
      <c r="C77" s="654">
        <f>C75+C76</f>
        <v>186394239</v>
      </c>
      <c r="D77" s="654">
        <f>D75+D76</f>
        <v>198095489</v>
      </c>
      <c r="E77" s="654">
        <f>E75+E76</f>
        <v>199306966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974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505</v>
      </c>
      <c r="D80" s="646">
        <v>497.2</v>
      </c>
      <c r="E80" s="646">
        <v>522</v>
      </c>
    </row>
    <row r="81" spans="1:5" ht="26.1" customHeight="1" x14ac:dyDescent="0.25">
      <c r="A81" s="639">
        <v>2</v>
      </c>
      <c r="B81" s="640" t="s">
        <v>597</v>
      </c>
      <c r="C81" s="646">
        <v>124</v>
      </c>
      <c r="D81" s="646">
        <v>130.30000000000001</v>
      </c>
      <c r="E81" s="646">
        <v>134</v>
      </c>
    </row>
    <row r="82" spans="1:5" ht="26.1" customHeight="1" x14ac:dyDescent="0.25">
      <c r="A82" s="639">
        <v>3</v>
      </c>
      <c r="B82" s="640" t="s">
        <v>975</v>
      </c>
      <c r="C82" s="646">
        <v>1392</v>
      </c>
      <c r="D82" s="646">
        <v>1429.1</v>
      </c>
      <c r="E82" s="646">
        <v>1424</v>
      </c>
    </row>
    <row r="83" spans="1:5" ht="26.1" customHeight="1" x14ac:dyDescent="0.25">
      <c r="A83" s="650">
        <v>4</v>
      </c>
      <c r="B83" s="651" t="s">
        <v>974</v>
      </c>
      <c r="C83" s="656">
        <f>C80+C81+C82</f>
        <v>2021</v>
      </c>
      <c r="D83" s="656">
        <f>D80+D81+D82</f>
        <v>2056.6</v>
      </c>
      <c r="E83" s="656">
        <f>E80+E81+E82</f>
        <v>2080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976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977</v>
      </c>
      <c r="C86" s="649">
        <f>IF(C80=0,0,C59/C80)</f>
        <v>89703.495049504956</v>
      </c>
      <c r="D86" s="649">
        <f>IF(D80=0,0,D59/D80)</f>
        <v>93676.329444891395</v>
      </c>
      <c r="E86" s="649">
        <f>IF(E80=0,0,E59/E80)</f>
        <v>91402.3908045977</v>
      </c>
    </row>
    <row r="87" spans="1:5" ht="26.1" customHeight="1" x14ac:dyDescent="0.25">
      <c r="A87" s="639">
        <v>2</v>
      </c>
      <c r="B87" s="640" t="s">
        <v>978</v>
      </c>
      <c r="C87" s="649">
        <f>IF(C80=0,0,C60/C80)</f>
        <v>21783.041584158414</v>
      </c>
      <c r="D87" s="649">
        <f>IF(D80=0,0,D60/D80)</f>
        <v>25607.729283990346</v>
      </c>
      <c r="E87" s="649">
        <f>IF(E80=0,0,E60/E80)</f>
        <v>21275.160919540231</v>
      </c>
    </row>
    <row r="88" spans="1:5" ht="26.1" customHeight="1" x14ac:dyDescent="0.25">
      <c r="A88" s="650">
        <v>3</v>
      </c>
      <c r="B88" s="651" t="s">
        <v>979</v>
      </c>
      <c r="C88" s="652">
        <f>+C86+C87</f>
        <v>111486.53663366337</v>
      </c>
      <c r="D88" s="652">
        <f>+D86+D87</f>
        <v>119284.05872888173</v>
      </c>
      <c r="E88" s="652">
        <f>+E86+E87</f>
        <v>112677.55172413793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980</v>
      </c>
    </row>
    <row r="91" spans="1:5" ht="26.1" customHeight="1" x14ac:dyDescent="0.25">
      <c r="A91" s="639">
        <v>1</v>
      </c>
      <c r="B91" s="640" t="s">
        <v>981</v>
      </c>
      <c r="C91" s="641">
        <f>IF(C81=0,0,C64/C81)</f>
        <v>185373.88709677418</v>
      </c>
      <c r="D91" s="641">
        <f>IF(D81=0,0,D64/D81)</f>
        <v>192914.7812739831</v>
      </c>
      <c r="E91" s="641">
        <f>IF(E81=0,0,E64/E81)</f>
        <v>198520.78358208956</v>
      </c>
    </row>
    <row r="92" spans="1:5" ht="26.1" customHeight="1" x14ac:dyDescent="0.25">
      <c r="A92" s="639">
        <v>2</v>
      </c>
      <c r="B92" s="640" t="s">
        <v>982</v>
      </c>
      <c r="C92" s="641">
        <f>IF(C81=0,0,C65/C81)</f>
        <v>45015.048387096773</v>
      </c>
      <c r="D92" s="641">
        <f>IF(D81=0,0,D65/D81)</f>
        <v>52735.940138142745</v>
      </c>
      <c r="E92" s="641">
        <f>IF(E81=0,0,E65/E81)</f>
        <v>46208.432835820895</v>
      </c>
    </row>
    <row r="93" spans="1:5" ht="26.1" customHeight="1" x14ac:dyDescent="0.25">
      <c r="A93" s="650">
        <v>3</v>
      </c>
      <c r="B93" s="651" t="s">
        <v>983</v>
      </c>
      <c r="C93" s="654">
        <f>+C91+C92</f>
        <v>230388.93548387097</v>
      </c>
      <c r="D93" s="654">
        <f>+D91+D92</f>
        <v>245650.72141212586</v>
      </c>
      <c r="E93" s="654">
        <f>+E91+E92</f>
        <v>244729.21641791044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984</v>
      </c>
      <c r="B95" s="642" t="s">
        <v>985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986</v>
      </c>
      <c r="C96" s="649">
        <f>IF(C82=0,0,C69/C82)</f>
        <v>58684.314655172413</v>
      </c>
      <c r="D96" s="649">
        <f>IF(D82=0,0,D69/D82)</f>
        <v>58677.467636974325</v>
      </c>
      <c r="E96" s="649">
        <f>IF(E82=0,0,E69/E82)</f>
        <v>61349.073033707864</v>
      </c>
    </row>
    <row r="97" spans="1:5" ht="26.1" customHeight="1" x14ac:dyDescent="0.25">
      <c r="A97" s="639">
        <v>2</v>
      </c>
      <c r="B97" s="640" t="s">
        <v>987</v>
      </c>
      <c r="C97" s="649">
        <f>IF(C82=0,0,C70/C82)</f>
        <v>14250.534482758621</v>
      </c>
      <c r="D97" s="649">
        <f>IF(D82=0,0,D70/D82)</f>
        <v>16040.30298789448</v>
      </c>
      <c r="E97" s="649">
        <f>IF(E82=0,0,E70/E82)</f>
        <v>14279.837780898877</v>
      </c>
    </row>
    <row r="98" spans="1:5" ht="26.1" customHeight="1" x14ac:dyDescent="0.25">
      <c r="A98" s="650">
        <v>3</v>
      </c>
      <c r="B98" s="651" t="s">
        <v>988</v>
      </c>
      <c r="C98" s="654">
        <f>+C96+C97</f>
        <v>72934.849137931029</v>
      </c>
      <c r="D98" s="654">
        <f>+D96+D97</f>
        <v>74717.770624868805</v>
      </c>
      <c r="E98" s="654">
        <f>+E96+E97</f>
        <v>75628.910814606745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989</v>
      </c>
      <c r="B100" s="642" t="s">
        <v>990</v>
      </c>
    </row>
    <row r="101" spans="1:5" ht="26.1" customHeight="1" x14ac:dyDescent="0.25">
      <c r="A101" s="639">
        <v>1</v>
      </c>
      <c r="B101" s="640" t="s">
        <v>991</v>
      </c>
      <c r="C101" s="641">
        <f>IF(C83=0,0,C75/C83)</f>
        <v>74208.408213755567</v>
      </c>
      <c r="D101" s="641">
        <f>IF(D83=0,0,D75/D83)</f>
        <v>75643.604006612863</v>
      </c>
      <c r="E101" s="641">
        <f>IF(E83=0,0,E75/E83)</f>
        <v>77728.323557692303</v>
      </c>
    </row>
    <row r="102" spans="1:5" ht="26.1" customHeight="1" x14ac:dyDescent="0.25">
      <c r="A102" s="639">
        <v>2</v>
      </c>
      <c r="B102" s="640" t="s">
        <v>992</v>
      </c>
      <c r="C102" s="658">
        <f>IF(C83=0,0,C76/C83)</f>
        <v>18020.309747649677</v>
      </c>
      <c r="D102" s="658">
        <f>IF(D83=0,0,D76/D83)</f>
        <v>20678.232519692698</v>
      </c>
      <c r="E102" s="658">
        <f>IF(E83=0,0,E76/E83)</f>
        <v>18092.333173076924</v>
      </c>
    </row>
    <row r="103" spans="1:5" ht="26.1" customHeight="1" x14ac:dyDescent="0.25">
      <c r="A103" s="650">
        <v>3</v>
      </c>
      <c r="B103" s="651" t="s">
        <v>990</v>
      </c>
      <c r="C103" s="654">
        <f>+C101+C102</f>
        <v>92228.717961405244</v>
      </c>
      <c r="D103" s="654">
        <f>+D101+D102</f>
        <v>96321.83652630556</v>
      </c>
      <c r="E103" s="654">
        <f>+E101+E102</f>
        <v>95820.656730769231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993</v>
      </c>
      <c r="B107" s="634" t="s">
        <v>994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995</v>
      </c>
      <c r="C108" s="641">
        <f>IF(C19=0,0,C77/C19)</f>
        <v>3223.1966487402515</v>
      </c>
      <c r="D108" s="641">
        <f>IF(D19=0,0,D77/D19)</f>
        <v>3305.1720864269623</v>
      </c>
      <c r="E108" s="641">
        <f>IF(E19=0,0,E77/E19)</f>
        <v>3351.2176281674037</v>
      </c>
    </row>
    <row r="109" spans="1:5" ht="26.1" customHeight="1" x14ac:dyDescent="0.25">
      <c r="A109" s="639">
        <v>2</v>
      </c>
      <c r="B109" s="640" t="s">
        <v>996</v>
      </c>
      <c r="C109" s="641">
        <f>IF(C20=0,0,C77/C20)</f>
        <v>13392.314915936198</v>
      </c>
      <c r="D109" s="641">
        <f>IF(D20=0,0,D77/D20)</f>
        <v>14297.761746661856</v>
      </c>
      <c r="E109" s="641">
        <f>IF(E20=0,0,E77/E20)</f>
        <v>14077.339030936573</v>
      </c>
    </row>
    <row r="110" spans="1:5" ht="26.1" customHeight="1" x14ac:dyDescent="0.25">
      <c r="A110" s="639">
        <v>3</v>
      </c>
      <c r="B110" s="640" t="s">
        <v>997</v>
      </c>
      <c r="C110" s="641">
        <f>IF(C22=0,0,C77/C22)</f>
        <v>1416.5381925224124</v>
      </c>
      <c r="D110" s="641">
        <f>IF(D22=0,0,D77/D22)</f>
        <v>1514.5307971622169</v>
      </c>
      <c r="E110" s="641">
        <f>IF(E22=0,0,E77/E22)</f>
        <v>1517.6599268766101</v>
      </c>
    </row>
    <row r="111" spans="1:5" ht="26.1" customHeight="1" x14ac:dyDescent="0.25">
      <c r="A111" s="639">
        <v>4</v>
      </c>
      <c r="B111" s="640" t="s">
        <v>998</v>
      </c>
      <c r="C111" s="641">
        <f>IF(C23=0,0,C77/C23)</f>
        <v>5885.6866744775534</v>
      </c>
      <c r="D111" s="641">
        <f>IF(D23=0,0,D77/D23)</f>
        <v>6551.6711171358693</v>
      </c>
      <c r="E111" s="641">
        <f>IF(E23=0,0,E77/E23)</f>
        <v>6375.1793213118126</v>
      </c>
    </row>
    <row r="112" spans="1:5" ht="26.1" customHeight="1" x14ac:dyDescent="0.25">
      <c r="A112" s="639">
        <v>5</v>
      </c>
      <c r="B112" s="640" t="s">
        <v>999</v>
      </c>
      <c r="C112" s="641">
        <f>IF(C29=0,0,C77/C29)</f>
        <v>1196.5206323641503</v>
      </c>
      <c r="D112" s="641">
        <f>IF(D29=0,0,D77/D29)</f>
        <v>1248.1025633592537</v>
      </c>
      <c r="E112" s="641">
        <f>IF(E29=0,0,E77/E29)</f>
        <v>1231.2503817228578</v>
      </c>
    </row>
    <row r="113" spans="1:7" ht="25.5" customHeight="1" x14ac:dyDescent="0.25">
      <c r="A113" s="639">
        <v>6</v>
      </c>
      <c r="B113" s="640" t="s">
        <v>1000</v>
      </c>
      <c r="C113" s="641">
        <f>IF(C30=0,0,C77/C30)</f>
        <v>4971.5182963778152</v>
      </c>
      <c r="D113" s="641">
        <f>IF(D30=0,0,D77/D30)</f>
        <v>5399.1358451776878</v>
      </c>
      <c r="E113" s="641">
        <f>IF(E30=0,0,E77/E30)</f>
        <v>5172.0690741773933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FILING&amp;R&amp;12MIDDLESEX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1033672371</v>
      </c>
      <c r="D12" s="51">
        <v>1119150279</v>
      </c>
      <c r="E12" s="51">
        <f t="shared" ref="E12:E19" si="0">D12-C12</f>
        <v>85477908</v>
      </c>
      <c r="F12" s="70">
        <f t="shared" ref="F12:F19" si="1">IF(C12=0,0,E12/C12)</f>
        <v>8.2693424336481566E-2</v>
      </c>
    </row>
    <row r="13" spans="1:8" ht="23.1" customHeight="1" x14ac:dyDescent="0.2">
      <c r="A13" s="25">
        <v>2</v>
      </c>
      <c r="B13" s="48" t="s">
        <v>72</v>
      </c>
      <c r="C13" s="51">
        <v>690702791</v>
      </c>
      <c r="D13" s="51">
        <v>763805256</v>
      </c>
      <c r="E13" s="51">
        <f t="shared" si="0"/>
        <v>73102465</v>
      </c>
      <c r="F13" s="70">
        <f t="shared" si="1"/>
        <v>0.10583780166019338</v>
      </c>
    </row>
    <row r="14" spans="1:8" ht="23.1" customHeight="1" x14ac:dyDescent="0.2">
      <c r="A14" s="25">
        <v>3</v>
      </c>
      <c r="B14" s="48" t="s">
        <v>73</v>
      </c>
      <c r="C14" s="51">
        <v>6856094</v>
      </c>
      <c r="D14" s="51">
        <v>7509399</v>
      </c>
      <c r="E14" s="51">
        <f t="shared" si="0"/>
        <v>653305</v>
      </c>
      <c r="F14" s="70">
        <f t="shared" si="1"/>
        <v>9.5288220960797795E-2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336113486</v>
      </c>
      <c r="D16" s="27">
        <f>D12-D13-D14-D15</f>
        <v>347835624</v>
      </c>
      <c r="E16" s="27">
        <f t="shared" si="0"/>
        <v>11722138</v>
      </c>
      <c r="F16" s="28">
        <f t="shared" si="1"/>
        <v>3.4875536056294988E-2</v>
      </c>
    </row>
    <row r="17" spans="1:7" ht="23.1" customHeight="1" x14ac:dyDescent="0.2">
      <c r="A17" s="25">
        <v>5</v>
      </c>
      <c r="B17" s="48" t="s">
        <v>76</v>
      </c>
      <c r="C17" s="51">
        <v>9543630</v>
      </c>
      <c r="D17" s="51">
        <v>11871399</v>
      </c>
      <c r="E17" s="51">
        <f t="shared" si="0"/>
        <v>2327769</v>
      </c>
      <c r="F17" s="70">
        <f t="shared" si="1"/>
        <v>0.24390813558363011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345657116</v>
      </c>
      <c r="D19" s="27">
        <f>SUM(D16:D18)</f>
        <v>359707023</v>
      </c>
      <c r="E19" s="27">
        <f t="shared" si="0"/>
        <v>14049907</v>
      </c>
      <c r="F19" s="28">
        <f t="shared" si="1"/>
        <v>4.0646948521088744E-2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155568636</v>
      </c>
      <c r="D22" s="51">
        <v>161674913</v>
      </c>
      <c r="E22" s="51">
        <f t="shared" ref="E22:E31" si="2">D22-C22</f>
        <v>6106277</v>
      </c>
      <c r="F22" s="70">
        <f t="shared" ref="F22:F31" si="3">IF(C22=0,0,E22/C22)</f>
        <v>3.925133726826531E-2</v>
      </c>
    </row>
    <row r="23" spans="1:7" ht="23.1" customHeight="1" x14ac:dyDescent="0.2">
      <c r="A23" s="25">
        <v>2</v>
      </c>
      <c r="B23" s="48" t="s">
        <v>81</v>
      </c>
      <c r="C23" s="51">
        <v>42526853</v>
      </c>
      <c r="D23" s="51">
        <v>37632053</v>
      </c>
      <c r="E23" s="51">
        <f t="shared" si="2"/>
        <v>-4894800</v>
      </c>
      <c r="F23" s="70">
        <f t="shared" si="3"/>
        <v>-0.1150990410694156</v>
      </c>
    </row>
    <row r="24" spans="1:7" ht="23.1" customHeight="1" x14ac:dyDescent="0.2">
      <c r="A24" s="25">
        <v>3</v>
      </c>
      <c r="B24" s="48" t="s">
        <v>82</v>
      </c>
      <c r="C24" s="51">
        <v>3005545</v>
      </c>
      <c r="D24" s="51">
        <v>3404502</v>
      </c>
      <c r="E24" s="51">
        <f t="shared" si="2"/>
        <v>398957</v>
      </c>
      <c r="F24" s="70">
        <f t="shared" si="3"/>
        <v>0.13274031831165395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33144537</v>
      </c>
      <c r="D25" s="51">
        <v>34609056</v>
      </c>
      <c r="E25" s="51">
        <f t="shared" si="2"/>
        <v>1464519</v>
      </c>
      <c r="F25" s="70">
        <f t="shared" si="3"/>
        <v>4.418583370164441E-2</v>
      </c>
    </row>
    <row r="26" spans="1:7" ht="23.1" customHeight="1" x14ac:dyDescent="0.2">
      <c r="A26" s="25">
        <v>5</v>
      </c>
      <c r="B26" s="48" t="s">
        <v>84</v>
      </c>
      <c r="C26" s="51">
        <v>21736910</v>
      </c>
      <c r="D26" s="51">
        <v>21448732</v>
      </c>
      <c r="E26" s="51">
        <f t="shared" si="2"/>
        <v>-288178</v>
      </c>
      <c r="F26" s="70">
        <f t="shared" si="3"/>
        <v>-1.3257542125352684E-2</v>
      </c>
    </row>
    <row r="27" spans="1:7" ht="23.1" customHeight="1" x14ac:dyDescent="0.2">
      <c r="A27" s="25">
        <v>6</v>
      </c>
      <c r="B27" s="48" t="s">
        <v>85</v>
      </c>
      <c r="C27" s="51">
        <v>13570742</v>
      </c>
      <c r="D27" s="51">
        <v>12199395</v>
      </c>
      <c r="E27" s="51">
        <f t="shared" si="2"/>
        <v>-1371347</v>
      </c>
      <c r="F27" s="70">
        <f t="shared" si="3"/>
        <v>-0.10105173320662938</v>
      </c>
    </row>
    <row r="28" spans="1:7" ht="23.1" customHeight="1" x14ac:dyDescent="0.2">
      <c r="A28" s="25">
        <v>7</v>
      </c>
      <c r="B28" s="48" t="s">
        <v>86</v>
      </c>
      <c r="C28" s="51">
        <v>3242228</v>
      </c>
      <c r="D28" s="51">
        <v>3106032</v>
      </c>
      <c r="E28" s="51">
        <f t="shared" si="2"/>
        <v>-136196</v>
      </c>
      <c r="F28" s="70">
        <f t="shared" si="3"/>
        <v>-4.2006916231677724E-2</v>
      </c>
    </row>
    <row r="29" spans="1:7" ht="23.1" customHeight="1" x14ac:dyDescent="0.2">
      <c r="A29" s="25">
        <v>8</v>
      </c>
      <c r="B29" s="48" t="s">
        <v>87</v>
      </c>
      <c r="C29" s="51">
        <v>2640281</v>
      </c>
      <c r="D29" s="51">
        <v>1871742</v>
      </c>
      <c r="E29" s="51">
        <f t="shared" si="2"/>
        <v>-768539</v>
      </c>
      <c r="F29" s="70">
        <f t="shared" si="3"/>
        <v>-0.29108227495482486</v>
      </c>
    </row>
    <row r="30" spans="1:7" ht="23.1" customHeight="1" x14ac:dyDescent="0.2">
      <c r="A30" s="25">
        <v>9</v>
      </c>
      <c r="B30" s="48" t="s">
        <v>88</v>
      </c>
      <c r="C30" s="51">
        <v>53079916</v>
      </c>
      <c r="D30" s="51">
        <v>58590866</v>
      </c>
      <c r="E30" s="51">
        <f t="shared" si="2"/>
        <v>5510950</v>
      </c>
      <c r="F30" s="70">
        <f t="shared" si="3"/>
        <v>0.10382363830417517</v>
      </c>
    </row>
    <row r="31" spans="1:7" ht="23.1" customHeight="1" x14ac:dyDescent="0.25">
      <c r="A31" s="29"/>
      <c r="B31" s="71" t="s">
        <v>89</v>
      </c>
      <c r="C31" s="27">
        <f>SUM(C22:C30)</f>
        <v>328515648</v>
      </c>
      <c r="D31" s="27">
        <f>SUM(D22:D30)</f>
        <v>334537291</v>
      </c>
      <c r="E31" s="27">
        <f t="shared" si="2"/>
        <v>6021643</v>
      </c>
      <c r="F31" s="28">
        <f t="shared" si="3"/>
        <v>1.8329851368297682E-2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17141468</v>
      </c>
      <c r="D33" s="27">
        <f>+D19-D31</f>
        <v>25169732</v>
      </c>
      <c r="E33" s="27">
        <f>D33-C33</f>
        <v>8028264</v>
      </c>
      <c r="F33" s="28">
        <f>IF(C33=0,0,E33/C33)</f>
        <v>0.46835335223330932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4985668</v>
      </c>
      <c r="D36" s="51">
        <v>2152953</v>
      </c>
      <c r="E36" s="51">
        <f>D36-C36</f>
        <v>-2832715</v>
      </c>
      <c r="F36" s="70">
        <f>IF(C36=0,0,E36/C36)</f>
        <v>-0.56817160709457593</v>
      </c>
    </row>
    <row r="37" spans="1:6" ht="23.1" customHeight="1" x14ac:dyDescent="0.2">
      <c r="A37" s="44">
        <v>2</v>
      </c>
      <c r="B37" s="48" t="s">
        <v>93</v>
      </c>
      <c r="C37" s="51">
        <v>471844</v>
      </c>
      <c r="D37" s="51">
        <v>466901</v>
      </c>
      <c r="E37" s="51">
        <f>D37-C37</f>
        <v>-4943</v>
      </c>
      <c r="F37" s="70">
        <f>IF(C37=0,0,E37/C37)</f>
        <v>-1.0475920007460093E-2</v>
      </c>
    </row>
    <row r="38" spans="1:6" ht="23.1" customHeight="1" x14ac:dyDescent="0.2">
      <c r="A38" s="44">
        <v>3</v>
      </c>
      <c r="B38" s="48" t="s">
        <v>94</v>
      </c>
      <c r="C38" s="51">
        <v>-1079790</v>
      </c>
      <c r="D38" s="51">
        <v>1284104</v>
      </c>
      <c r="E38" s="51">
        <f>D38-C38</f>
        <v>2363894</v>
      </c>
      <c r="F38" s="70">
        <f>IF(C38=0,0,E38/C38)</f>
        <v>-2.1892164217116292</v>
      </c>
    </row>
    <row r="39" spans="1:6" ht="23.1" customHeight="1" x14ac:dyDescent="0.25">
      <c r="A39" s="20"/>
      <c r="B39" s="71" t="s">
        <v>95</v>
      </c>
      <c r="C39" s="27">
        <f>SUM(C36:C38)</f>
        <v>4377722</v>
      </c>
      <c r="D39" s="27">
        <f>SUM(D36:D38)</f>
        <v>3903958</v>
      </c>
      <c r="E39" s="27">
        <f>D39-C39</f>
        <v>-473764</v>
      </c>
      <c r="F39" s="28">
        <f>IF(C39=0,0,E39/C39)</f>
        <v>-0.10822158190949539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21519190</v>
      </c>
      <c r="D41" s="27">
        <f>D33+D39</f>
        <v>29073690</v>
      </c>
      <c r="E41" s="27">
        <f>D41-C41</f>
        <v>7554500</v>
      </c>
      <c r="F41" s="28">
        <f>IF(C41=0,0,E41/C41)</f>
        <v>0.35105875267609982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21519190</v>
      </c>
      <c r="D48" s="27">
        <f>D41+D46</f>
        <v>29073690</v>
      </c>
      <c r="E48" s="27">
        <f>D48-C48</f>
        <v>7554500</v>
      </c>
      <c r="F48" s="28">
        <f>IF(C48=0,0,E48/C48)</f>
        <v>0.35105875267609982</v>
      </c>
    </row>
    <row r="49" spans="1:6" ht="23.1" customHeight="1" x14ac:dyDescent="0.2">
      <c r="A49" s="44"/>
      <c r="B49" s="48" t="s">
        <v>102</v>
      </c>
      <c r="C49" s="51">
        <v>3407000</v>
      </c>
      <c r="D49" s="51">
        <v>4580000</v>
      </c>
      <c r="E49" s="51">
        <f>D49-C49</f>
        <v>1173000</v>
      </c>
      <c r="F49" s="70">
        <f>IF(C49=0,0,E49/C49)</f>
        <v>0.34429116524801878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FILING&amp;RMIDDLESEX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238091717</v>
      </c>
      <c r="D14" s="97">
        <v>255096369</v>
      </c>
      <c r="E14" s="97">
        <f t="shared" ref="E14:E25" si="0">D14-C14</f>
        <v>17004652</v>
      </c>
      <c r="F14" s="98">
        <f t="shared" ref="F14:F25" si="1">IF(C14=0,0,E14/C14)</f>
        <v>7.1420594610605459E-2</v>
      </c>
    </row>
    <row r="15" spans="1:6" ht="18" customHeight="1" x14ac:dyDescent="0.25">
      <c r="A15" s="99">
        <v>2</v>
      </c>
      <c r="B15" s="100" t="s">
        <v>113</v>
      </c>
      <c r="C15" s="97">
        <v>36648686</v>
      </c>
      <c r="D15" s="97">
        <v>44913060</v>
      </c>
      <c r="E15" s="97">
        <f t="shared" si="0"/>
        <v>8264374</v>
      </c>
      <c r="F15" s="98">
        <f t="shared" si="1"/>
        <v>0.2255026005570841</v>
      </c>
    </row>
    <row r="16" spans="1:6" ht="18" customHeight="1" x14ac:dyDescent="0.25">
      <c r="A16" s="99">
        <v>3</v>
      </c>
      <c r="B16" s="100" t="s">
        <v>114</v>
      </c>
      <c r="C16" s="97">
        <v>39980828</v>
      </c>
      <c r="D16" s="97">
        <v>60547499</v>
      </c>
      <c r="E16" s="97">
        <f t="shared" si="0"/>
        <v>20566671</v>
      </c>
      <c r="F16" s="98">
        <f t="shared" si="1"/>
        <v>0.51441333331065575</v>
      </c>
    </row>
    <row r="17" spans="1:6" ht="18" customHeight="1" x14ac:dyDescent="0.25">
      <c r="A17" s="99">
        <v>4</v>
      </c>
      <c r="B17" s="100" t="s">
        <v>115</v>
      </c>
      <c r="C17" s="97">
        <v>15751623</v>
      </c>
      <c r="D17" s="97">
        <v>3072544</v>
      </c>
      <c r="E17" s="97">
        <f t="shared" si="0"/>
        <v>-12679079</v>
      </c>
      <c r="F17" s="98">
        <f t="shared" si="1"/>
        <v>-0.80493794195048984</v>
      </c>
    </row>
    <row r="18" spans="1:6" ht="18" customHeight="1" x14ac:dyDescent="0.25">
      <c r="A18" s="99">
        <v>5</v>
      </c>
      <c r="B18" s="100" t="s">
        <v>116</v>
      </c>
      <c r="C18" s="97">
        <v>1167799</v>
      </c>
      <c r="D18" s="97">
        <v>1339754</v>
      </c>
      <c r="E18" s="97">
        <f t="shared" si="0"/>
        <v>171955</v>
      </c>
      <c r="F18" s="98">
        <f t="shared" si="1"/>
        <v>0.14724708618520824</v>
      </c>
    </row>
    <row r="19" spans="1:6" ht="18" customHeight="1" x14ac:dyDescent="0.25">
      <c r="A19" s="99">
        <v>6</v>
      </c>
      <c r="B19" s="100" t="s">
        <v>117</v>
      </c>
      <c r="C19" s="97">
        <v>14410217</v>
      </c>
      <c r="D19" s="97">
        <v>11498293</v>
      </c>
      <c r="E19" s="97">
        <f t="shared" si="0"/>
        <v>-2911924</v>
      </c>
      <c r="F19" s="98">
        <f t="shared" si="1"/>
        <v>-0.20207357043964017</v>
      </c>
    </row>
    <row r="20" spans="1:6" ht="18" customHeight="1" x14ac:dyDescent="0.25">
      <c r="A20" s="99">
        <v>7</v>
      </c>
      <c r="B20" s="100" t="s">
        <v>118</v>
      </c>
      <c r="C20" s="97">
        <v>116019193</v>
      </c>
      <c r="D20" s="97">
        <v>119386213</v>
      </c>
      <c r="E20" s="97">
        <f t="shared" si="0"/>
        <v>3367020</v>
      </c>
      <c r="F20" s="98">
        <f t="shared" si="1"/>
        <v>2.9021232719658719E-2</v>
      </c>
    </row>
    <row r="21" spans="1:6" ht="18" customHeight="1" x14ac:dyDescent="0.25">
      <c r="A21" s="99">
        <v>8</v>
      </c>
      <c r="B21" s="100" t="s">
        <v>119</v>
      </c>
      <c r="C21" s="97">
        <v>5279628</v>
      </c>
      <c r="D21" s="97">
        <v>4767740</v>
      </c>
      <c r="E21" s="97">
        <f t="shared" si="0"/>
        <v>-511888</v>
      </c>
      <c r="F21" s="98">
        <f t="shared" si="1"/>
        <v>-9.6955315791188323E-2</v>
      </c>
    </row>
    <row r="22" spans="1:6" ht="18" customHeight="1" x14ac:dyDescent="0.25">
      <c r="A22" s="99">
        <v>9</v>
      </c>
      <c r="B22" s="100" t="s">
        <v>120</v>
      </c>
      <c r="C22" s="97">
        <v>6310560</v>
      </c>
      <c r="D22" s="97">
        <v>6206111</v>
      </c>
      <c r="E22" s="97">
        <f t="shared" si="0"/>
        <v>-104449</v>
      </c>
      <c r="F22" s="98">
        <f t="shared" si="1"/>
        <v>-1.6551462944651506E-2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473660251</v>
      </c>
      <c r="D25" s="103">
        <f>SUM(D14:D24)</f>
        <v>506827583</v>
      </c>
      <c r="E25" s="103">
        <f t="shared" si="0"/>
        <v>33167332</v>
      </c>
      <c r="F25" s="104">
        <f t="shared" si="1"/>
        <v>7.0023464983554218E-2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171332425</v>
      </c>
      <c r="D27" s="97">
        <v>180423650</v>
      </c>
      <c r="E27" s="97">
        <f t="shared" ref="E27:E38" si="2">D27-C27</f>
        <v>9091225</v>
      </c>
      <c r="F27" s="98">
        <f t="shared" ref="F27:F38" si="3">IF(C27=0,0,E27/C27)</f>
        <v>5.3061905824306171E-2</v>
      </c>
    </row>
    <row r="28" spans="1:6" ht="18" customHeight="1" x14ac:dyDescent="0.25">
      <c r="A28" s="99">
        <v>2</v>
      </c>
      <c r="B28" s="100" t="s">
        <v>113</v>
      </c>
      <c r="C28" s="97">
        <v>30890904</v>
      </c>
      <c r="D28" s="97">
        <v>39954183</v>
      </c>
      <c r="E28" s="97">
        <f t="shared" si="2"/>
        <v>9063279</v>
      </c>
      <c r="F28" s="98">
        <f t="shared" si="3"/>
        <v>0.29339636677515168</v>
      </c>
    </row>
    <row r="29" spans="1:6" ht="18" customHeight="1" x14ac:dyDescent="0.25">
      <c r="A29" s="99">
        <v>3</v>
      </c>
      <c r="B29" s="100" t="s">
        <v>114</v>
      </c>
      <c r="C29" s="97">
        <v>44321769</v>
      </c>
      <c r="D29" s="97">
        <v>82621534</v>
      </c>
      <c r="E29" s="97">
        <f t="shared" si="2"/>
        <v>38299765</v>
      </c>
      <c r="F29" s="98">
        <f t="shared" si="3"/>
        <v>0.86412988163897519</v>
      </c>
    </row>
    <row r="30" spans="1:6" ht="18" customHeight="1" x14ac:dyDescent="0.25">
      <c r="A30" s="99">
        <v>4</v>
      </c>
      <c r="B30" s="100" t="s">
        <v>115</v>
      </c>
      <c r="C30" s="97">
        <v>37044595</v>
      </c>
      <c r="D30" s="97">
        <v>13327363</v>
      </c>
      <c r="E30" s="97">
        <f t="shared" si="2"/>
        <v>-23717232</v>
      </c>
      <c r="F30" s="98">
        <f t="shared" si="3"/>
        <v>-0.64023461452338726</v>
      </c>
    </row>
    <row r="31" spans="1:6" ht="18" customHeight="1" x14ac:dyDescent="0.25">
      <c r="A31" s="99">
        <v>5</v>
      </c>
      <c r="B31" s="100" t="s">
        <v>116</v>
      </c>
      <c r="C31" s="97">
        <v>2219940</v>
      </c>
      <c r="D31" s="97">
        <v>2626269</v>
      </c>
      <c r="E31" s="97">
        <f t="shared" si="2"/>
        <v>406329</v>
      </c>
      <c r="F31" s="98">
        <f t="shared" si="3"/>
        <v>0.18303602800075677</v>
      </c>
    </row>
    <row r="32" spans="1:6" ht="18" customHeight="1" x14ac:dyDescent="0.25">
      <c r="A32" s="99">
        <v>6</v>
      </c>
      <c r="B32" s="100" t="s">
        <v>117</v>
      </c>
      <c r="C32" s="97">
        <v>27579363</v>
      </c>
      <c r="D32" s="97">
        <v>28398227</v>
      </c>
      <c r="E32" s="97">
        <f t="shared" si="2"/>
        <v>818864</v>
      </c>
      <c r="F32" s="98">
        <f t="shared" si="3"/>
        <v>2.9691186123479357E-2</v>
      </c>
    </row>
    <row r="33" spans="1:6" ht="18" customHeight="1" x14ac:dyDescent="0.25">
      <c r="A33" s="99">
        <v>7</v>
      </c>
      <c r="B33" s="100" t="s">
        <v>118</v>
      </c>
      <c r="C33" s="97">
        <v>223074772</v>
      </c>
      <c r="D33" s="97">
        <v>240944501</v>
      </c>
      <c r="E33" s="97">
        <f t="shared" si="2"/>
        <v>17869729</v>
      </c>
      <c r="F33" s="98">
        <f t="shared" si="3"/>
        <v>8.0106454171339464E-2</v>
      </c>
    </row>
    <row r="34" spans="1:6" ht="18" customHeight="1" x14ac:dyDescent="0.25">
      <c r="A34" s="99">
        <v>8</v>
      </c>
      <c r="B34" s="100" t="s">
        <v>119</v>
      </c>
      <c r="C34" s="97">
        <v>9642163</v>
      </c>
      <c r="D34" s="97">
        <v>10188552</v>
      </c>
      <c r="E34" s="97">
        <f t="shared" si="2"/>
        <v>546389</v>
      </c>
      <c r="F34" s="98">
        <f t="shared" si="3"/>
        <v>5.6666642121689918E-2</v>
      </c>
    </row>
    <row r="35" spans="1:6" ht="18" customHeight="1" x14ac:dyDescent="0.25">
      <c r="A35" s="99">
        <v>9</v>
      </c>
      <c r="B35" s="100" t="s">
        <v>120</v>
      </c>
      <c r="C35" s="97">
        <v>13906189</v>
      </c>
      <c r="D35" s="97">
        <v>13838417</v>
      </c>
      <c r="E35" s="97">
        <f t="shared" si="2"/>
        <v>-67772</v>
      </c>
      <c r="F35" s="98">
        <f t="shared" si="3"/>
        <v>-4.8735135125806215E-3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560012120</v>
      </c>
      <c r="D38" s="103">
        <f>SUM(D27:D37)</f>
        <v>612322696</v>
      </c>
      <c r="E38" s="103">
        <f t="shared" si="2"/>
        <v>52310576</v>
      </c>
      <c r="F38" s="104">
        <f t="shared" si="3"/>
        <v>9.3409721203891086E-2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409424142</v>
      </c>
      <c r="D41" s="103">
        <f t="shared" si="4"/>
        <v>435520019</v>
      </c>
      <c r="E41" s="107">
        <f t="shared" ref="E41:E52" si="5">D41-C41</f>
        <v>26095877</v>
      </c>
      <c r="F41" s="108">
        <f t="shared" ref="F41:F52" si="6">IF(C41=0,0,E41/C41)</f>
        <v>6.3738002533323984E-2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67539590</v>
      </c>
      <c r="D42" s="103">
        <f t="shared" si="4"/>
        <v>84867243</v>
      </c>
      <c r="E42" s="107">
        <f t="shared" si="5"/>
        <v>17327653</v>
      </c>
      <c r="F42" s="108">
        <f t="shared" si="6"/>
        <v>0.25655549582104364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84302597</v>
      </c>
      <c r="D43" s="103">
        <f t="shared" si="4"/>
        <v>143169033</v>
      </c>
      <c r="E43" s="107">
        <f t="shared" si="5"/>
        <v>58866436</v>
      </c>
      <c r="F43" s="108">
        <f t="shared" si="6"/>
        <v>0.69827547542811763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52796218</v>
      </c>
      <c r="D44" s="103">
        <f t="shared" si="4"/>
        <v>16399907</v>
      </c>
      <c r="E44" s="107">
        <f t="shared" si="5"/>
        <v>-36396311</v>
      </c>
      <c r="F44" s="108">
        <f t="shared" si="6"/>
        <v>-0.68937345095438463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3387739</v>
      </c>
      <c r="D45" s="103">
        <f t="shared" si="4"/>
        <v>3966023</v>
      </c>
      <c r="E45" s="107">
        <f t="shared" si="5"/>
        <v>578284</v>
      </c>
      <c r="F45" s="108">
        <f t="shared" si="6"/>
        <v>0.17069910049150777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41989580</v>
      </c>
      <c r="D46" s="103">
        <f t="shared" si="4"/>
        <v>39896520</v>
      </c>
      <c r="E46" s="107">
        <f t="shared" si="5"/>
        <v>-2093060</v>
      </c>
      <c r="F46" s="108">
        <f t="shared" si="6"/>
        <v>-4.9847128740035031E-2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339093965</v>
      </c>
      <c r="D47" s="103">
        <f t="shared" si="4"/>
        <v>360330714</v>
      </c>
      <c r="E47" s="107">
        <f t="shared" si="5"/>
        <v>21236749</v>
      </c>
      <c r="F47" s="108">
        <f t="shared" si="6"/>
        <v>6.2627917898804245E-2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14921791</v>
      </c>
      <c r="D48" s="103">
        <f t="shared" si="4"/>
        <v>14956292</v>
      </c>
      <c r="E48" s="107">
        <f t="shared" si="5"/>
        <v>34501</v>
      </c>
      <c r="F48" s="108">
        <f t="shared" si="6"/>
        <v>2.3121219161962529E-3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20216749</v>
      </c>
      <c r="D49" s="103">
        <f t="shared" si="4"/>
        <v>20044528</v>
      </c>
      <c r="E49" s="107">
        <f t="shared" si="5"/>
        <v>-172221</v>
      </c>
      <c r="F49" s="108">
        <f t="shared" si="6"/>
        <v>-8.5187287036110511E-3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1033672371</v>
      </c>
      <c r="D52" s="112">
        <f>SUM(D41:D51)</f>
        <v>1119150279</v>
      </c>
      <c r="E52" s="111">
        <f t="shared" si="5"/>
        <v>85477908</v>
      </c>
      <c r="F52" s="113">
        <f t="shared" si="6"/>
        <v>8.2693424336481566E-2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59007094</v>
      </c>
      <c r="D57" s="97">
        <v>61521678</v>
      </c>
      <c r="E57" s="97">
        <f t="shared" ref="E57:E68" si="7">D57-C57</f>
        <v>2514584</v>
      </c>
      <c r="F57" s="98">
        <f t="shared" ref="F57:F68" si="8">IF(C57=0,0,E57/C57)</f>
        <v>4.2614943891322629E-2</v>
      </c>
    </row>
    <row r="58" spans="1:6" ht="18" customHeight="1" x14ac:dyDescent="0.25">
      <c r="A58" s="99">
        <v>2</v>
      </c>
      <c r="B58" s="100" t="s">
        <v>113</v>
      </c>
      <c r="C58" s="97">
        <v>9621752</v>
      </c>
      <c r="D58" s="97">
        <v>11023954</v>
      </c>
      <c r="E58" s="97">
        <f t="shared" si="7"/>
        <v>1402202</v>
      </c>
      <c r="F58" s="98">
        <f t="shared" si="8"/>
        <v>0.14573250277080516</v>
      </c>
    </row>
    <row r="59" spans="1:6" ht="18" customHeight="1" x14ac:dyDescent="0.25">
      <c r="A59" s="99">
        <v>3</v>
      </c>
      <c r="B59" s="100" t="s">
        <v>114</v>
      </c>
      <c r="C59" s="97">
        <v>8773200</v>
      </c>
      <c r="D59" s="97">
        <v>10474311</v>
      </c>
      <c r="E59" s="97">
        <f t="shared" si="7"/>
        <v>1701111</v>
      </c>
      <c r="F59" s="98">
        <f t="shared" si="8"/>
        <v>0.19389857748598002</v>
      </c>
    </row>
    <row r="60" spans="1:6" ht="18" customHeight="1" x14ac:dyDescent="0.25">
      <c r="A60" s="99">
        <v>4</v>
      </c>
      <c r="B60" s="100" t="s">
        <v>115</v>
      </c>
      <c r="C60" s="97">
        <v>3648451</v>
      </c>
      <c r="D60" s="97">
        <v>614073</v>
      </c>
      <c r="E60" s="97">
        <f t="shared" si="7"/>
        <v>-3034378</v>
      </c>
      <c r="F60" s="98">
        <f t="shared" si="8"/>
        <v>-0.83168939366322858</v>
      </c>
    </row>
    <row r="61" spans="1:6" ht="18" customHeight="1" x14ac:dyDescent="0.25">
      <c r="A61" s="99">
        <v>5</v>
      </c>
      <c r="B61" s="100" t="s">
        <v>116</v>
      </c>
      <c r="C61" s="97">
        <v>222060</v>
      </c>
      <c r="D61" s="97">
        <v>338550</v>
      </c>
      <c r="E61" s="97">
        <f t="shared" si="7"/>
        <v>116490</v>
      </c>
      <c r="F61" s="98">
        <f t="shared" si="8"/>
        <v>0.52458794920291818</v>
      </c>
    </row>
    <row r="62" spans="1:6" ht="18" customHeight="1" x14ac:dyDescent="0.25">
      <c r="A62" s="99">
        <v>6</v>
      </c>
      <c r="B62" s="100" t="s">
        <v>117</v>
      </c>
      <c r="C62" s="97">
        <v>5820345</v>
      </c>
      <c r="D62" s="97">
        <v>4506227</v>
      </c>
      <c r="E62" s="97">
        <f t="shared" si="7"/>
        <v>-1314118</v>
      </c>
      <c r="F62" s="98">
        <f t="shared" si="8"/>
        <v>-0.2257800869192462</v>
      </c>
    </row>
    <row r="63" spans="1:6" ht="18" customHeight="1" x14ac:dyDescent="0.25">
      <c r="A63" s="99">
        <v>7</v>
      </c>
      <c r="B63" s="100" t="s">
        <v>118</v>
      </c>
      <c r="C63" s="97">
        <v>52225888</v>
      </c>
      <c r="D63" s="97">
        <v>51604977</v>
      </c>
      <c r="E63" s="97">
        <f t="shared" si="7"/>
        <v>-620911</v>
      </c>
      <c r="F63" s="98">
        <f t="shared" si="8"/>
        <v>-1.1888950552645461E-2</v>
      </c>
    </row>
    <row r="64" spans="1:6" ht="18" customHeight="1" x14ac:dyDescent="0.25">
      <c r="A64" s="99">
        <v>8</v>
      </c>
      <c r="B64" s="100" t="s">
        <v>119</v>
      </c>
      <c r="C64" s="97">
        <v>3699313</v>
      </c>
      <c r="D64" s="97">
        <v>3703096</v>
      </c>
      <c r="E64" s="97">
        <f t="shared" si="7"/>
        <v>3783</v>
      </c>
      <c r="F64" s="98">
        <f t="shared" si="8"/>
        <v>1.0226223085205281E-3</v>
      </c>
    </row>
    <row r="65" spans="1:6" ht="18" customHeight="1" x14ac:dyDescent="0.25">
      <c r="A65" s="99">
        <v>9</v>
      </c>
      <c r="B65" s="100" t="s">
        <v>120</v>
      </c>
      <c r="C65" s="97">
        <v>4381062</v>
      </c>
      <c r="D65" s="97">
        <v>4126794</v>
      </c>
      <c r="E65" s="97">
        <f t="shared" si="7"/>
        <v>-254268</v>
      </c>
      <c r="F65" s="98">
        <f t="shared" si="8"/>
        <v>-5.8037982571349137E-2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147399165</v>
      </c>
      <c r="D68" s="103">
        <f>SUM(D57:D67)</f>
        <v>147913660</v>
      </c>
      <c r="E68" s="103">
        <f t="shared" si="7"/>
        <v>514495</v>
      </c>
      <c r="F68" s="104">
        <f t="shared" si="8"/>
        <v>3.4904878870921693E-3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39742768</v>
      </c>
      <c r="D70" s="97">
        <v>38217841</v>
      </c>
      <c r="E70" s="97">
        <f t="shared" ref="E70:E81" si="9">D70-C70</f>
        <v>-1524927</v>
      </c>
      <c r="F70" s="98">
        <f t="shared" ref="F70:F81" si="10">IF(C70=0,0,E70/C70)</f>
        <v>-3.8369924309247912E-2</v>
      </c>
    </row>
    <row r="71" spans="1:6" ht="18" customHeight="1" x14ac:dyDescent="0.25">
      <c r="A71" s="99">
        <v>2</v>
      </c>
      <c r="B71" s="100" t="s">
        <v>113</v>
      </c>
      <c r="C71" s="97">
        <v>6012967</v>
      </c>
      <c r="D71" s="97">
        <v>8301638</v>
      </c>
      <c r="E71" s="97">
        <f t="shared" si="9"/>
        <v>2288671</v>
      </c>
      <c r="F71" s="98">
        <f t="shared" si="10"/>
        <v>0.38062257783886061</v>
      </c>
    </row>
    <row r="72" spans="1:6" ht="18" customHeight="1" x14ac:dyDescent="0.25">
      <c r="A72" s="99">
        <v>3</v>
      </c>
      <c r="B72" s="100" t="s">
        <v>114</v>
      </c>
      <c r="C72" s="97">
        <v>9069746</v>
      </c>
      <c r="D72" s="97">
        <v>15597962</v>
      </c>
      <c r="E72" s="97">
        <f t="shared" si="9"/>
        <v>6528216</v>
      </c>
      <c r="F72" s="98">
        <f t="shared" si="10"/>
        <v>0.71977936317069957</v>
      </c>
    </row>
    <row r="73" spans="1:6" ht="18" customHeight="1" x14ac:dyDescent="0.25">
      <c r="A73" s="99">
        <v>4</v>
      </c>
      <c r="B73" s="100" t="s">
        <v>115</v>
      </c>
      <c r="C73" s="97">
        <v>10780649</v>
      </c>
      <c r="D73" s="97">
        <v>4396449</v>
      </c>
      <c r="E73" s="97">
        <f t="shared" si="9"/>
        <v>-6384200</v>
      </c>
      <c r="F73" s="98">
        <f t="shared" si="10"/>
        <v>-0.59219069278667735</v>
      </c>
    </row>
    <row r="74" spans="1:6" ht="18" customHeight="1" x14ac:dyDescent="0.25">
      <c r="A74" s="99">
        <v>5</v>
      </c>
      <c r="B74" s="100" t="s">
        <v>116</v>
      </c>
      <c r="C74" s="97">
        <v>564855</v>
      </c>
      <c r="D74" s="97">
        <v>840268</v>
      </c>
      <c r="E74" s="97">
        <f t="shared" si="9"/>
        <v>275413</v>
      </c>
      <c r="F74" s="98">
        <f t="shared" si="10"/>
        <v>0.48758176877251685</v>
      </c>
    </row>
    <row r="75" spans="1:6" ht="18" customHeight="1" x14ac:dyDescent="0.25">
      <c r="A75" s="99">
        <v>6</v>
      </c>
      <c r="B75" s="100" t="s">
        <v>117</v>
      </c>
      <c r="C75" s="97">
        <v>11522574</v>
      </c>
      <c r="D75" s="97">
        <v>11868478</v>
      </c>
      <c r="E75" s="97">
        <f t="shared" si="9"/>
        <v>345904</v>
      </c>
      <c r="F75" s="98">
        <f t="shared" si="10"/>
        <v>3.0019681366333598E-2</v>
      </c>
    </row>
    <row r="76" spans="1:6" ht="18" customHeight="1" x14ac:dyDescent="0.25">
      <c r="A76" s="99">
        <v>7</v>
      </c>
      <c r="B76" s="100" t="s">
        <v>118</v>
      </c>
      <c r="C76" s="97">
        <v>95317842</v>
      </c>
      <c r="D76" s="97">
        <v>100917442</v>
      </c>
      <c r="E76" s="97">
        <f t="shared" si="9"/>
        <v>5599600</v>
      </c>
      <c r="F76" s="98">
        <f t="shared" si="10"/>
        <v>5.8746609055626751E-2</v>
      </c>
    </row>
    <row r="77" spans="1:6" ht="18" customHeight="1" x14ac:dyDescent="0.25">
      <c r="A77" s="99">
        <v>8</v>
      </c>
      <c r="B77" s="100" t="s">
        <v>119</v>
      </c>
      <c r="C77" s="97">
        <v>6382728</v>
      </c>
      <c r="D77" s="97">
        <v>7671201</v>
      </c>
      <c r="E77" s="97">
        <f t="shared" si="9"/>
        <v>1288473</v>
      </c>
      <c r="F77" s="98">
        <f t="shared" si="10"/>
        <v>0.20186869940251254</v>
      </c>
    </row>
    <row r="78" spans="1:6" ht="18" customHeight="1" x14ac:dyDescent="0.25">
      <c r="A78" s="99">
        <v>9</v>
      </c>
      <c r="B78" s="100" t="s">
        <v>120</v>
      </c>
      <c r="C78" s="97">
        <v>3756191</v>
      </c>
      <c r="D78" s="97">
        <v>3652693</v>
      </c>
      <c r="E78" s="97">
        <f t="shared" si="9"/>
        <v>-103498</v>
      </c>
      <c r="F78" s="98">
        <f t="shared" si="10"/>
        <v>-2.7553976887756772E-2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183150320</v>
      </c>
      <c r="D81" s="103">
        <f>SUM(D70:D80)</f>
        <v>191463972</v>
      </c>
      <c r="E81" s="103">
        <f t="shared" si="9"/>
        <v>8313652</v>
      </c>
      <c r="F81" s="104">
        <f t="shared" si="10"/>
        <v>4.5392506002719518E-2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98749862</v>
      </c>
      <c r="D84" s="103">
        <f t="shared" si="11"/>
        <v>99739519</v>
      </c>
      <c r="E84" s="103">
        <f t="shared" ref="E84:E95" si="12">D84-C84</f>
        <v>989657</v>
      </c>
      <c r="F84" s="104">
        <f t="shared" ref="F84:F95" si="13">IF(C84=0,0,E84/C84)</f>
        <v>1.0021857043202754E-2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15634719</v>
      </c>
      <c r="D85" s="103">
        <f t="shared" si="11"/>
        <v>19325592</v>
      </c>
      <c r="E85" s="103">
        <f t="shared" si="12"/>
        <v>3690873</v>
      </c>
      <c r="F85" s="104">
        <f t="shared" si="13"/>
        <v>0.23606903328419271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17842946</v>
      </c>
      <c r="D86" s="103">
        <f t="shared" si="11"/>
        <v>26072273</v>
      </c>
      <c r="E86" s="103">
        <f t="shared" si="12"/>
        <v>8229327</v>
      </c>
      <c r="F86" s="104">
        <f t="shared" si="13"/>
        <v>0.46120898421146372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14429100</v>
      </c>
      <c r="D87" s="103">
        <f t="shared" si="11"/>
        <v>5010522</v>
      </c>
      <c r="E87" s="103">
        <f t="shared" si="12"/>
        <v>-9418578</v>
      </c>
      <c r="F87" s="104">
        <f t="shared" si="13"/>
        <v>-0.65274882009272928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786915</v>
      </c>
      <c r="D88" s="103">
        <f t="shared" si="11"/>
        <v>1178818</v>
      </c>
      <c r="E88" s="103">
        <f t="shared" si="12"/>
        <v>391903</v>
      </c>
      <c r="F88" s="104">
        <f t="shared" si="13"/>
        <v>0.49802456427949654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17342919</v>
      </c>
      <c r="D89" s="103">
        <f t="shared" si="11"/>
        <v>16374705</v>
      </c>
      <c r="E89" s="103">
        <f t="shared" si="12"/>
        <v>-968214</v>
      </c>
      <c r="F89" s="104">
        <f t="shared" si="13"/>
        <v>-5.5827626249076064E-2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147543730</v>
      </c>
      <c r="D90" s="103">
        <f t="shared" si="11"/>
        <v>152522419</v>
      </c>
      <c r="E90" s="103">
        <f t="shared" si="12"/>
        <v>4978689</v>
      </c>
      <c r="F90" s="104">
        <f t="shared" si="13"/>
        <v>3.3743819544212419E-2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10082041</v>
      </c>
      <c r="D91" s="103">
        <f t="shared" si="11"/>
        <v>11374297</v>
      </c>
      <c r="E91" s="103">
        <f t="shared" si="12"/>
        <v>1292256</v>
      </c>
      <c r="F91" s="104">
        <f t="shared" si="13"/>
        <v>0.12817404729855791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8137253</v>
      </c>
      <c r="D92" s="103">
        <f t="shared" si="11"/>
        <v>7779487</v>
      </c>
      <c r="E92" s="103">
        <f t="shared" si="12"/>
        <v>-357766</v>
      </c>
      <c r="F92" s="104">
        <f t="shared" si="13"/>
        <v>-4.3966434372877429E-2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330549485</v>
      </c>
      <c r="D95" s="112">
        <f>SUM(D84:D94)</f>
        <v>339377632</v>
      </c>
      <c r="E95" s="112">
        <f t="shared" si="12"/>
        <v>8828147</v>
      </c>
      <c r="F95" s="113">
        <f t="shared" si="13"/>
        <v>2.6707489802926178E-2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6446</v>
      </c>
      <c r="D100" s="117">
        <v>6467</v>
      </c>
      <c r="E100" s="117">
        <f t="shared" ref="E100:E111" si="14">D100-C100</f>
        <v>21</v>
      </c>
      <c r="F100" s="98">
        <f t="shared" ref="F100:F111" si="15">IF(C100=0,0,E100/C100)</f>
        <v>3.2578343158547935E-3</v>
      </c>
    </row>
    <row r="101" spans="1:6" ht="18" customHeight="1" x14ac:dyDescent="0.25">
      <c r="A101" s="99">
        <v>2</v>
      </c>
      <c r="B101" s="100" t="s">
        <v>113</v>
      </c>
      <c r="C101" s="117">
        <v>927</v>
      </c>
      <c r="D101" s="117">
        <v>1070</v>
      </c>
      <c r="E101" s="117">
        <f t="shared" si="14"/>
        <v>143</v>
      </c>
      <c r="F101" s="98">
        <f t="shared" si="15"/>
        <v>0.15426105717367852</v>
      </c>
    </row>
    <row r="102" spans="1:6" ht="18" customHeight="1" x14ac:dyDescent="0.25">
      <c r="A102" s="99">
        <v>3</v>
      </c>
      <c r="B102" s="100" t="s">
        <v>114</v>
      </c>
      <c r="C102" s="117">
        <v>1121</v>
      </c>
      <c r="D102" s="117">
        <v>1978</v>
      </c>
      <c r="E102" s="117">
        <f t="shared" si="14"/>
        <v>857</v>
      </c>
      <c r="F102" s="98">
        <f t="shared" si="15"/>
        <v>0.76449598572702948</v>
      </c>
    </row>
    <row r="103" spans="1:6" ht="18" customHeight="1" x14ac:dyDescent="0.25">
      <c r="A103" s="99">
        <v>4</v>
      </c>
      <c r="B103" s="100" t="s">
        <v>115</v>
      </c>
      <c r="C103" s="117">
        <v>907</v>
      </c>
      <c r="D103" s="117">
        <v>160</v>
      </c>
      <c r="E103" s="117">
        <f t="shared" si="14"/>
        <v>-747</v>
      </c>
      <c r="F103" s="98">
        <f t="shared" si="15"/>
        <v>-0.82359426681367143</v>
      </c>
    </row>
    <row r="104" spans="1:6" ht="18" customHeight="1" x14ac:dyDescent="0.25">
      <c r="A104" s="99">
        <v>5</v>
      </c>
      <c r="B104" s="100" t="s">
        <v>116</v>
      </c>
      <c r="C104" s="117">
        <v>48</v>
      </c>
      <c r="D104" s="117">
        <v>62</v>
      </c>
      <c r="E104" s="117">
        <f t="shared" si="14"/>
        <v>14</v>
      </c>
      <c r="F104" s="98">
        <f t="shared" si="15"/>
        <v>0.29166666666666669</v>
      </c>
    </row>
    <row r="105" spans="1:6" ht="18" customHeight="1" x14ac:dyDescent="0.25">
      <c r="A105" s="99">
        <v>6</v>
      </c>
      <c r="B105" s="100" t="s">
        <v>117</v>
      </c>
      <c r="C105" s="117">
        <v>391</v>
      </c>
      <c r="D105" s="117">
        <v>359</v>
      </c>
      <c r="E105" s="117">
        <f t="shared" si="14"/>
        <v>-32</v>
      </c>
      <c r="F105" s="98">
        <f t="shared" si="15"/>
        <v>-8.1841432225063945E-2</v>
      </c>
    </row>
    <row r="106" spans="1:6" ht="18" customHeight="1" x14ac:dyDescent="0.25">
      <c r="A106" s="99">
        <v>7</v>
      </c>
      <c r="B106" s="100" t="s">
        <v>118</v>
      </c>
      <c r="C106" s="117">
        <v>3735</v>
      </c>
      <c r="D106" s="117">
        <v>3812</v>
      </c>
      <c r="E106" s="117">
        <f t="shared" si="14"/>
        <v>77</v>
      </c>
      <c r="F106" s="98">
        <f t="shared" si="15"/>
        <v>2.0615796519410978E-2</v>
      </c>
    </row>
    <row r="107" spans="1:6" ht="18" customHeight="1" x14ac:dyDescent="0.25">
      <c r="A107" s="99">
        <v>8</v>
      </c>
      <c r="B107" s="100" t="s">
        <v>119</v>
      </c>
      <c r="C107" s="117">
        <v>79</v>
      </c>
      <c r="D107" s="117">
        <v>68</v>
      </c>
      <c r="E107" s="117">
        <f t="shared" si="14"/>
        <v>-11</v>
      </c>
      <c r="F107" s="98">
        <f t="shared" si="15"/>
        <v>-0.13924050632911392</v>
      </c>
    </row>
    <row r="108" spans="1:6" ht="18" customHeight="1" x14ac:dyDescent="0.25">
      <c r="A108" s="99">
        <v>9</v>
      </c>
      <c r="B108" s="100" t="s">
        <v>120</v>
      </c>
      <c r="C108" s="117">
        <v>201</v>
      </c>
      <c r="D108" s="117">
        <v>182</v>
      </c>
      <c r="E108" s="117">
        <f t="shared" si="14"/>
        <v>-19</v>
      </c>
      <c r="F108" s="98">
        <f t="shared" si="15"/>
        <v>-9.4527363184079602E-2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13855</v>
      </c>
      <c r="D111" s="118">
        <f>SUM(D100:D110)</f>
        <v>14158</v>
      </c>
      <c r="E111" s="118">
        <f t="shared" si="14"/>
        <v>303</v>
      </c>
      <c r="F111" s="104">
        <f t="shared" si="15"/>
        <v>2.1869361241429085E-2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30988</v>
      </c>
      <c r="D113" s="117">
        <v>30149</v>
      </c>
      <c r="E113" s="117">
        <f t="shared" ref="E113:E124" si="16">D113-C113</f>
        <v>-839</v>
      </c>
      <c r="F113" s="98">
        <f t="shared" ref="F113:F124" si="17">IF(C113=0,0,E113/C113)</f>
        <v>-2.7074996772944365E-2</v>
      </c>
    </row>
    <row r="114" spans="1:6" ht="18" customHeight="1" x14ac:dyDescent="0.25">
      <c r="A114" s="99">
        <v>2</v>
      </c>
      <c r="B114" s="100" t="s">
        <v>113</v>
      </c>
      <c r="C114" s="117">
        <v>4206</v>
      </c>
      <c r="D114" s="117">
        <v>4700</v>
      </c>
      <c r="E114" s="117">
        <f t="shared" si="16"/>
        <v>494</v>
      </c>
      <c r="F114" s="98">
        <f t="shared" si="17"/>
        <v>0.11745126010461246</v>
      </c>
    </row>
    <row r="115" spans="1:6" ht="18" customHeight="1" x14ac:dyDescent="0.25">
      <c r="A115" s="99">
        <v>3</v>
      </c>
      <c r="B115" s="100" t="s">
        <v>114</v>
      </c>
      <c r="C115" s="117">
        <v>6073</v>
      </c>
      <c r="D115" s="117">
        <v>8618</v>
      </c>
      <c r="E115" s="117">
        <f t="shared" si="16"/>
        <v>2545</v>
      </c>
      <c r="F115" s="98">
        <f t="shared" si="17"/>
        <v>0.41906800592787752</v>
      </c>
    </row>
    <row r="116" spans="1:6" ht="18" customHeight="1" x14ac:dyDescent="0.25">
      <c r="A116" s="99">
        <v>4</v>
      </c>
      <c r="B116" s="100" t="s">
        <v>115</v>
      </c>
      <c r="C116" s="117">
        <v>2644</v>
      </c>
      <c r="D116" s="117">
        <v>479</v>
      </c>
      <c r="E116" s="117">
        <f t="shared" si="16"/>
        <v>-2165</v>
      </c>
      <c r="F116" s="98">
        <f t="shared" si="17"/>
        <v>-0.81883509833585477</v>
      </c>
    </row>
    <row r="117" spans="1:6" ht="18" customHeight="1" x14ac:dyDescent="0.25">
      <c r="A117" s="99">
        <v>5</v>
      </c>
      <c r="B117" s="100" t="s">
        <v>116</v>
      </c>
      <c r="C117" s="117">
        <v>163</v>
      </c>
      <c r="D117" s="117">
        <v>163</v>
      </c>
      <c r="E117" s="117">
        <f t="shared" si="16"/>
        <v>0</v>
      </c>
      <c r="F117" s="98">
        <f t="shared" si="17"/>
        <v>0</v>
      </c>
    </row>
    <row r="118" spans="1:6" ht="18" customHeight="1" x14ac:dyDescent="0.25">
      <c r="A118" s="99">
        <v>6</v>
      </c>
      <c r="B118" s="100" t="s">
        <v>117</v>
      </c>
      <c r="C118" s="117">
        <v>1601</v>
      </c>
      <c r="D118" s="117">
        <v>1211</v>
      </c>
      <c r="E118" s="117">
        <f t="shared" si="16"/>
        <v>-390</v>
      </c>
      <c r="F118" s="98">
        <f t="shared" si="17"/>
        <v>-0.24359775140537165</v>
      </c>
    </row>
    <row r="119" spans="1:6" ht="18" customHeight="1" x14ac:dyDescent="0.25">
      <c r="A119" s="99">
        <v>7</v>
      </c>
      <c r="B119" s="100" t="s">
        <v>118</v>
      </c>
      <c r="C119" s="117">
        <v>13174</v>
      </c>
      <c r="D119" s="117">
        <v>13196</v>
      </c>
      <c r="E119" s="117">
        <f t="shared" si="16"/>
        <v>22</v>
      </c>
      <c r="F119" s="98">
        <f t="shared" si="17"/>
        <v>1.669955973887961E-3</v>
      </c>
    </row>
    <row r="120" spans="1:6" ht="18" customHeight="1" x14ac:dyDescent="0.25">
      <c r="A120" s="99">
        <v>8</v>
      </c>
      <c r="B120" s="100" t="s">
        <v>119</v>
      </c>
      <c r="C120" s="117">
        <v>219</v>
      </c>
      <c r="D120" s="117">
        <v>198</v>
      </c>
      <c r="E120" s="117">
        <f t="shared" si="16"/>
        <v>-21</v>
      </c>
      <c r="F120" s="98">
        <f t="shared" si="17"/>
        <v>-9.5890410958904104E-2</v>
      </c>
    </row>
    <row r="121" spans="1:6" ht="18" customHeight="1" x14ac:dyDescent="0.25">
      <c r="A121" s="99">
        <v>9</v>
      </c>
      <c r="B121" s="100" t="s">
        <v>120</v>
      </c>
      <c r="C121" s="117">
        <v>867</v>
      </c>
      <c r="D121" s="117">
        <v>759</v>
      </c>
      <c r="E121" s="117">
        <f t="shared" si="16"/>
        <v>-108</v>
      </c>
      <c r="F121" s="98">
        <f t="shared" si="17"/>
        <v>-0.1245674740484429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59935</v>
      </c>
      <c r="D124" s="118">
        <f>SUM(D113:D123)</f>
        <v>59473</v>
      </c>
      <c r="E124" s="118">
        <f t="shared" si="16"/>
        <v>-462</v>
      </c>
      <c r="F124" s="104">
        <f t="shared" si="17"/>
        <v>-7.7083507132727118E-3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223677</v>
      </c>
      <c r="D126" s="117">
        <v>217449</v>
      </c>
      <c r="E126" s="117">
        <f t="shared" ref="E126:E137" si="18">D126-C126</f>
        <v>-6228</v>
      </c>
      <c r="F126" s="98">
        <f t="shared" ref="F126:F137" si="19">IF(C126=0,0,E126/C126)</f>
        <v>-2.7843721079950107E-2</v>
      </c>
    </row>
    <row r="127" spans="1:6" ht="18" customHeight="1" x14ac:dyDescent="0.25">
      <c r="A127" s="99">
        <v>2</v>
      </c>
      <c r="B127" s="100" t="s">
        <v>113</v>
      </c>
      <c r="C127" s="117">
        <v>34939</v>
      </c>
      <c r="D127" s="117">
        <v>41049</v>
      </c>
      <c r="E127" s="117">
        <f t="shared" si="18"/>
        <v>6110</v>
      </c>
      <c r="F127" s="98">
        <f t="shared" si="19"/>
        <v>0.17487621282807178</v>
      </c>
    </row>
    <row r="128" spans="1:6" ht="18" customHeight="1" x14ac:dyDescent="0.25">
      <c r="A128" s="99">
        <v>3</v>
      </c>
      <c r="B128" s="100" t="s">
        <v>114</v>
      </c>
      <c r="C128" s="117">
        <v>52504</v>
      </c>
      <c r="D128" s="117">
        <v>85825</v>
      </c>
      <c r="E128" s="117">
        <f t="shared" si="18"/>
        <v>33321</v>
      </c>
      <c r="F128" s="98">
        <f t="shared" si="19"/>
        <v>0.6346373609629743</v>
      </c>
    </row>
    <row r="129" spans="1:6" ht="18" customHeight="1" x14ac:dyDescent="0.25">
      <c r="A129" s="99">
        <v>4</v>
      </c>
      <c r="B129" s="100" t="s">
        <v>115</v>
      </c>
      <c r="C129" s="117">
        <v>47486</v>
      </c>
      <c r="D129" s="117">
        <v>14485</v>
      </c>
      <c r="E129" s="117">
        <f t="shared" si="18"/>
        <v>-33001</v>
      </c>
      <c r="F129" s="98">
        <f t="shared" si="19"/>
        <v>-0.6949627258560418</v>
      </c>
    </row>
    <row r="130" spans="1:6" ht="18" customHeight="1" x14ac:dyDescent="0.25">
      <c r="A130" s="99">
        <v>5</v>
      </c>
      <c r="B130" s="100" t="s">
        <v>116</v>
      </c>
      <c r="C130" s="117">
        <v>2382</v>
      </c>
      <c r="D130" s="117">
        <v>2501</v>
      </c>
      <c r="E130" s="117">
        <f t="shared" si="18"/>
        <v>119</v>
      </c>
      <c r="F130" s="98">
        <f t="shared" si="19"/>
        <v>4.9958018471872374E-2</v>
      </c>
    </row>
    <row r="131" spans="1:6" ht="18" customHeight="1" x14ac:dyDescent="0.25">
      <c r="A131" s="99">
        <v>6</v>
      </c>
      <c r="B131" s="100" t="s">
        <v>117</v>
      </c>
      <c r="C131" s="117">
        <v>27338</v>
      </c>
      <c r="D131" s="117">
        <v>25974</v>
      </c>
      <c r="E131" s="117">
        <f t="shared" si="18"/>
        <v>-1364</v>
      </c>
      <c r="F131" s="98">
        <f t="shared" si="19"/>
        <v>-4.9893920550149976E-2</v>
      </c>
    </row>
    <row r="132" spans="1:6" ht="18" customHeight="1" x14ac:dyDescent="0.25">
      <c r="A132" s="99">
        <v>7</v>
      </c>
      <c r="B132" s="100" t="s">
        <v>118</v>
      </c>
      <c r="C132" s="117">
        <v>226788</v>
      </c>
      <c r="D132" s="117">
        <v>223614</v>
      </c>
      <c r="E132" s="117">
        <f t="shared" si="18"/>
        <v>-3174</v>
      </c>
      <c r="F132" s="98">
        <f t="shared" si="19"/>
        <v>-1.3995449494682259E-2</v>
      </c>
    </row>
    <row r="133" spans="1:6" ht="18" customHeight="1" x14ac:dyDescent="0.25">
      <c r="A133" s="99">
        <v>8</v>
      </c>
      <c r="B133" s="100" t="s">
        <v>119</v>
      </c>
      <c r="C133" s="117">
        <v>17782</v>
      </c>
      <c r="D133" s="117">
        <v>17542</v>
      </c>
      <c r="E133" s="117">
        <f t="shared" si="18"/>
        <v>-240</v>
      </c>
      <c r="F133" s="98">
        <f t="shared" si="19"/>
        <v>-1.3496794511303565E-2</v>
      </c>
    </row>
    <row r="134" spans="1:6" ht="18" customHeight="1" x14ac:dyDescent="0.25">
      <c r="A134" s="99">
        <v>9</v>
      </c>
      <c r="B134" s="100" t="s">
        <v>120</v>
      </c>
      <c r="C134" s="117">
        <v>14357</v>
      </c>
      <c r="D134" s="117">
        <v>13644</v>
      </c>
      <c r="E134" s="117">
        <f t="shared" si="18"/>
        <v>-713</v>
      </c>
      <c r="F134" s="98">
        <f t="shared" si="19"/>
        <v>-4.9662185693389982E-2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647253</v>
      </c>
      <c r="D137" s="118">
        <f>SUM(D126:D136)</f>
        <v>642083</v>
      </c>
      <c r="E137" s="118">
        <f t="shared" si="18"/>
        <v>-5170</v>
      </c>
      <c r="F137" s="104">
        <f t="shared" si="19"/>
        <v>-7.9876029929563871E-3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53141470</v>
      </c>
      <c r="D142" s="97">
        <v>62273745</v>
      </c>
      <c r="E142" s="97">
        <f t="shared" ref="E142:E153" si="20">D142-C142</f>
        <v>9132275</v>
      </c>
      <c r="F142" s="98">
        <f t="shared" ref="F142:F153" si="21">IF(C142=0,0,E142/C142)</f>
        <v>0.17184837002062608</v>
      </c>
    </row>
    <row r="143" spans="1:6" ht="18" customHeight="1" x14ac:dyDescent="0.25">
      <c r="A143" s="99">
        <v>2</v>
      </c>
      <c r="B143" s="100" t="s">
        <v>113</v>
      </c>
      <c r="C143" s="97">
        <v>8823662</v>
      </c>
      <c r="D143" s="97">
        <v>12266601</v>
      </c>
      <c r="E143" s="97">
        <f t="shared" si="20"/>
        <v>3442939</v>
      </c>
      <c r="F143" s="98">
        <f t="shared" si="21"/>
        <v>0.39019389001981264</v>
      </c>
    </row>
    <row r="144" spans="1:6" ht="18" customHeight="1" x14ac:dyDescent="0.25">
      <c r="A144" s="99">
        <v>3</v>
      </c>
      <c r="B144" s="100" t="s">
        <v>114</v>
      </c>
      <c r="C144" s="97">
        <v>20069359</v>
      </c>
      <c r="D144" s="97">
        <v>41914936</v>
      </c>
      <c r="E144" s="97">
        <f t="shared" si="20"/>
        <v>21845577</v>
      </c>
      <c r="F144" s="98">
        <f t="shared" si="21"/>
        <v>1.0885039726480552</v>
      </c>
    </row>
    <row r="145" spans="1:6" ht="18" customHeight="1" x14ac:dyDescent="0.25">
      <c r="A145" s="99">
        <v>4</v>
      </c>
      <c r="B145" s="100" t="s">
        <v>115</v>
      </c>
      <c r="C145" s="97">
        <v>15496960</v>
      </c>
      <c r="D145" s="97">
        <v>4101458</v>
      </c>
      <c r="E145" s="97">
        <f t="shared" si="20"/>
        <v>-11395502</v>
      </c>
      <c r="F145" s="98">
        <f t="shared" si="21"/>
        <v>-0.73533789852977616</v>
      </c>
    </row>
    <row r="146" spans="1:6" ht="18" customHeight="1" x14ac:dyDescent="0.25">
      <c r="A146" s="99">
        <v>5</v>
      </c>
      <c r="B146" s="100" t="s">
        <v>116</v>
      </c>
      <c r="C146" s="97">
        <v>1037415</v>
      </c>
      <c r="D146" s="97">
        <v>1223219</v>
      </c>
      <c r="E146" s="97">
        <f t="shared" si="20"/>
        <v>185804</v>
      </c>
      <c r="F146" s="98">
        <f t="shared" si="21"/>
        <v>0.17910286625892241</v>
      </c>
    </row>
    <row r="147" spans="1:6" ht="18" customHeight="1" x14ac:dyDescent="0.25">
      <c r="A147" s="99">
        <v>6</v>
      </c>
      <c r="B147" s="100" t="s">
        <v>117</v>
      </c>
      <c r="C147" s="97">
        <v>7361463</v>
      </c>
      <c r="D147" s="97">
        <v>7771216</v>
      </c>
      <c r="E147" s="97">
        <f t="shared" si="20"/>
        <v>409753</v>
      </c>
      <c r="F147" s="98">
        <f t="shared" si="21"/>
        <v>5.5661897641813861E-2</v>
      </c>
    </row>
    <row r="148" spans="1:6" ht="18" customHeight="1" x14ac:dyDescent="0.25">
      <c r="A148" s="99">
        <v>7</v>
      </c>
      <c r="B148" s="100" t="s">
        <v>118</v>
      </c>
      <c r="C148" s="97">
        <v>68511656</v>
      </c>
      <c r="D148" s="97">
        <v>76547983</v>
      </c>
      <c r="E148" s="97">
        <f t="shared" si="20"/>
        <v>8036327</v>
      </c>
      <c r="F148" s="98">
        <f t="shared" si="21"/>
        <v>0.11729868272341863</v>
      </c>
    </row>
    <row r="149" spans="1:6" ht="18" customHeight="1" x14ac:dyDescent="0.25">
      <c r="A149" s="99">
        <v>8</v>
      </c>
      <c r="B149" s="100" t="s">
        <v>119</v>
      </c>
      <c r="C149" s="97">
        <v>2480464</v>
      </c>
      <c r="D149" s="97">
        <v>2915638</v>
      </c>
      <c r="E149" s="97">
        <f t="shared" si="20"/>
        <v>435174</v>
      </c>
      <c r="F149" s="98">
        <f t="shared" si="21"/>
        <v>0.17544056273342407</v>
      </c>
    </row>
    <row r="150" spans="1:6" ht="18" customHeight="1" x14ac:dyDescent="0.25">
      <c r="A150" s="99">
        <v>9</v>
      </c>
      <c r="B150" s="100" t="s">
        <v>120</v>
      </c>
      <c r="C150" s="97">
        <v>9522620</v>
      </c>
      <c r="D150" s="97">
        <v>7757608</v>
      </c>
      <c r="E150" s="97">
        <f t="shared" si="20"/>
        <v>-1765012</v>
      </c>
      <c r="F150" s="98">
        <f t="shared" si="21"/>
        <v>-0.18534941014132666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186445069</v>
      </c>
      <c r="D153" s="103">
        <f>SUM(D142:D152)</f>
        <v>216772404</v>
      </c>
      <c r="E153" s="103">
        <f t="shared" si="20"/>
        <v>30327335</v>
      </c>
      <c r="F153" s="104">
        <f t="shared" si="21"/>
        <v>0.16266096584190168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7649984</v>
      </c>
      <c r="D155" s="97">
        <v>9062102</v>
      </c>
      <c r="E155" s="97">
        <f t="shared" ref="E155:E166" si="22">D155-C155</f>
        <v>1412118</v>
      </c>
      <c r="F155" s="98">
        <f t="shared" ref="F155:F166" si="23">IF(C155=0,0,E155/C155)</f>
        <v>0.18459097430792012</v>
      </c>
    </row>
    <row r="156" spans="1:6" ht="18" customHeight="1" x14ac:dyDescent="0.25">
      <c r="A156" s="99">
        <v>2</v>
      </c>
      <c r="B156" s="100" t="s">
        <v>113</v>
      </c>
      <c r="C156" s="97">
        <v>1293700</v>
      </c>
      <c r="D156" s="97">
        <v>2111222</v>
      </c>
      <c r="E156" s="97">
        <f t="shared" si="22"/>
        <v>817522</v>
      </c>
      <c r="F156" s="98">
        <f t="shared" si="23"/>
        <v>0.63192548504290025</v>
      </c>
    </row>
    <row r="157" spans="1:6" ht="18" customHeight="1" x14ac:dyDescent="0.25">
      <c r="A157" s="99">
        <v>3</v>
      </c>
      <c r="B157" s="100" t="s">
        <v>114</v>
      </c>
      <c r="C157" s="97">
        <v>3878072</v>
      </c>
      <c r="D157" s="97">
        <v>7786480</v>
      </c>
      <c r="E157" s="97">
        <f t="shared" si="22"/>
        <v>3908408</v>
      </c>
      <c r="F157" s="98">
        <f t="shared" si="23"/>
        <v>1.0078224437297709</v>
      </c>
    </row>
    <row r="158" spans="1:6" ht="18" customHeight="1" x14ac:dyDescent="0.25">
      <c r="A158" s="99">
        <v>4</v>
      </c>
      <c r="B158" s="100" t="s">
        <v>115</v>
      </c>
      <c r="C158" s="97">
        <v>3869779</v>
      </c>
      <c r="D158" s="97">
        <v>1054676</v>
      </c>
      <c r="E158" s="97">
        <f t="shared" si="22"/>
        <v>-2815103</v>
      </c>
      <c r="F158" s="98">
        <f t="shared" si="23"/>
        <v>-0.72745833806013216</v>
      </c>
    </row>
    <row r="159" spans="1:6" ht="18" customHeight="1" x14ac:dyDescent="0.25">
      <c r="A159" s="99">
        <v>5</v>
      </c>
      <c r="B159" s="100" t="s">
        <v>116</v>
      </c>
      <c r="C159" s="97">
        <v>235290</v>
      </c>
      <c r="D159" s="97">
        <v>259008</v>
      </c>
      <c r="E159" s="97">
        <f t="shared" si="22"/>
        <v>23718</v>
      </c>
      <c r="F159" s="98">
        <f t="shared" si="23"/>
        <v>0.10080326405712101</v>
      </c>
    </row>
    <row r="160" spans="1:6" ht="18" customHeight="1" x14ac:dyDescent="0.25">
      <c r="A160" s="99">
        <v>6</v>
      </c>
      <c r="B160" s="100" t="s">
        <v>117</v>
      </c>
      <c r="C160" s="97">
        <v>2075124</v>
      </c>
      <c r="D160" s="97">
        <v>2458044</v>
      </c>
      <c r="E160" s="97">
        <f t="shared" si="22"/>
        <v>382920</v>
      </c>
      <c r="F160" s="98">
        <f t="shared" si="23"/>
        <v>0.18452873177699261</v>
      </c>
    </row>
    <row r="161" spans="1:6" ht="18" customHeight="1" x14ac:dyDescent="0.25">
      <c r="A161" s="99">
        <v>7</v>
      </c>
      <c r="B161" s="100" t="s">
        <v>118</v>
      </c>
      <c r="C161" s="97">
        <v>30575860</v>
      </c>
      <c r="D161" s="97">
        <v>35619667</v>
      </c>
      <c r="E161" s="97">
        <f t="shared" si="22"/>
        <v>5043807</v>
      </c>
      <c r="F161" s="98">
        <f t="shared" si="23"/>
        <v>0.16496042956763932</v>
      </c>
    </row>
    <row r="162" spans="1:6" ht="18" customHeight="1" x14ac:dyDescent="0.25">
      <c r="A162" s="99">
        <v>8</v>
      </c>
      <c r="B162" s="100" t="s">
        <v>119</v>
      </c>
      <c r="C162" s="97">
        <v>1395125</v>
      </c>
      <c r="D162" s="97">
        <v>2282120</v>
      </c>
      <c r="E162" s="97">
        <f t="shared" si="22"/>
        <v>886995</v>
      </c>
      <c r="F162" s="98">
        <f t="shared" si="23"/>
        <v>0.63578173998745635</v>
      </c>
    </row>
    <row r="163" spans="1:6" ht="18" customHeight="1" x14ac:dyDescent="0.25">
      <c r="A163" s="99">
        <v>9</v>
      </c>
      <c r="B163" s="100" t="s">
        <v>120</v>
      </c>
      <c r="C163" s="97">
        <v>314768</v>
      </c>
      <c r="D163" s="97">
        <v>398093</v>
      </c>
      <c r="E163" s="97">
        <f t="shared" si="22"/>
        <v>83325</v>
      </c>
      <c r="F163" s="98">
        <f t="shared" si="23"/>
        <v>0.26471877700401564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51287702</v>
      </c>
      <c r="D166" s="103">
        <f>SUM(D155:D165)</f>
        <v>61031412</v>
      </c>
      <c r="E166" s="103">
        <f t="shared" si="22"/>
        <v>9743710</v>
      </c>
      <c r="F166" s="104">
        <f t="shared" si="23"/>
        <v>0.18998141113828809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16343</v>
      </c>
      <c r="D168" s="117">
        <v>16660</v>
      </c>
      <c r="E168" s="117">
        <f t="shared" ref="E168:E179" si="24">D168-C168</f>
        <v>317</v>
      </c>
      <c r="F168" s="98">
        <f t="shared" ref="F168:F179" si="25">IF(C168=0,0,E168/C168)</f>
        <v>1.9396683595423118E-2</v>
      </c>
    </row>
    <row r="169" spans="1:6" ht="18" customHeight="1" x14ac:dyDescent="0.25">
      <c r="A169" s="99">
        <v>2</v>
      </c>
      <c r="B169" s="100" t="s">
        <v>113</v>
      </c>
      <c r="C169" s="117">
        <v>2663</v>
      </c>
      <c r="D169" s="117">
        <v>3129</v>
      </c>
      <c r="E169" s="117">
        <f t="shared" si="24"/>
        <v>466</v>
      </c>
      <c r="F169" s="98">
        <f t="shared" si="25"/>
        <v>0.17499061209162597</v>
      </c>
    </row>
    <row r="170" spans="1:6" ht="18" customHeight="1" x14ac:dyDescent="0.25">
      <c r="A170" s="99">
        <v>3</v>
      </c>
      <c r="B170" s="100" t="s">
        <v>114</v>
      </c>
      <c r="C170" s="117">
        <v>8760</v>
      </c>
      <c r="D170" s="117">
        <v>18006</v>
      </c>
      <c r="E170" s="117">
        <f t="shared" si="24"/>
        <v>9246</v>
      </c>
      <c r="F170" s="98">
        <f t="shared" si="25"/>
        <v>1.0554794520547945</v>
      </c>
    </row>
    <row r="171" spans="1:6" ht="18" customHeight="1" x14ac:dyDescent="0.25">
      <c r="A171" s="99">
        <v>4</v>
      </c>
      <c r="B171" s="100" t="s">
        <v>115</v>
      </c>
      <c r="C171" s="117">
        <v>11165</v>
      </c>
      <c r="D171" s="117">
        <v>2645</v>
      </c>
      <c r="E171" s="117">
        <f t="shared" si="24"/>
        <v>-8520</v>
      </c>
      <c r="F171" s="98">
        <f t="shared" si="25"/>
        <v>-0.76309896999552174</v>
      </c>
    </row>
    <row r="172" spans="1:6" ht="18" customHeight="1" x14ac:dyDescent="0.25">
      <c r="A172" s="99">
        <v>5</v>
      </c>
      <c r="B172" s="100" t="s">
        <v>116</v>
      </c>
      <c r="C172" s="117">
        <v>739</v>
      </c>
      <c r="D172" s="117">
        <v>732</v>
      </c>
      <c r="E172" s="117">
        <f t="shared" si="24"/>
        <v>-7</v>
      </c>
      <c r="F172" s="98">
        <f t="shared" si="25"/>
        <v>-9.4722598105548041E-3</v>
      </c>
    </row>
    <row r="173" spans="1:6" ht="18" customHeight="1" x14ac:dyDescent="0.25">
      <c r="A173" s="99">
        <v>6</v>
      </c>
      <c r="B173" s="100" t="s">
        <v>117</v>
      </c>
      <c r="C173" s="117">
        <v>3712</v>
      </c>
      <c r="D173" s="117">
        <v>3193</v>
      </c>
      <c r="E173" s="117">
        <f t="shared" si="24"/>
        <v>-519</v>
      </c>
      <c r="F173" s="98">
        <f t="shared" si="25"/>
        <v>-0.1398168103448276</v>
      </c>
    </row>
    <row r="174" spans="1:6" ht="18" customHeight="1" x14ac:dyDescent="0.25">
      <c r="A174" s="99">
        <v>7</v>
      </c>
      <c r="B174" s="100" t="s">
        <v>118</v>
      </c>
      <c r="C174" s="117">
        <v>35247</v>
      </c>
      <c r="D174" s="117">
        <v>33573</v>
      </c>
      <c r="E174" s="117">
        <f t="shared" si="24"/>
        <v>-1674</v>
      </c>
      <c r="F174" s="98">
        <f t="shared" si="25"/>
        <v>-4.7493403693931395E-2</v>
      </c>
    </row>
    <row r="175" spans="1:6" ht="18" customHeight="1" x14ac:dyDescent="0.25">
      <c r="A175" s="99">
        <v>8</v>
      </c>
      <c r="B175" s="100" t="s">
        <v>119</v>
      </c>
      <c r="C175" s="117">
        <v>2174</v>
      </c>
      <c r="D175" s="117">
        <v>2127</v>
      </c>
      <c r="E175" s="117">
        <f t="shared" si="24"/>
        <v>-47</v>
      </c>
      <c r="F175" s="98">
        <f t="shared" si="25"/>
        <v>-2.1619135234590615E-2</v>
      </c>
    </row>
    <row r="176" spans="1:6" ht="18" customHeight="1" x14ac:dyDescent="0.25">
      <c r="A176" s="99">
        <v>9</v>
      </c>
      <c r="B176" s="100" t="s">
        <v>120</v>
      </c>
      <c r="C176" s="117">
        <v>6003</v>
      </c>
      <c r="D176" s="117">
        <v>5017</v>
      </c>
      <c r="E176" s="117">
        <f t="shared" si="24"/>
        <v>-986</v>
      </c>
      <c r="F176" s="98">
        <f t="shared" si="25"/>
        <v>-0.16425120772946861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86806</v>
      </c>
      <c r="D179" s="118">
        <f>SUM(D168:D178)</f>
        <v>85082</v>
      </c>
      <c r="E179" s="118">
        <f t="shared" si="24"/>
        <v>-1724</v>
      </c>
      <c r="F179" s="104">
        <f t="shared" si="25"/>
        <v>-1.9860378314863029E-2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FILING&amp;RMIDDLESEX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46575871</v>
      </c>
      <c r="D15" s="146">
        <v>47712048</v>
      </c>
      <c r="E15" s="146">
        <f>+D15-C15</f>
        <v>1136177</v>
      </c>
      <c r="F15" s="150">
        <f>IF(C15=0,0,E15/C15)</f>
        <v>2.4394111706467068E-2</v>
      </c>
    </row>
    <row r="16" spans="1:7" ht="15" customHeight="1" x14ac:dyDescent="0.2">
      <c r="A16" s="141">
        <v>2</v>
      </c>
      <c r="B16" s="149" t="s">
        <v>158</v>
      </c>
      <c r="C16" s="146">
        <v>25136796</v>
      </c>
      <c r="D16" s="146">
        <v>26601785</v>
      </c>
      <c r="E16" s="146">
        <f>+D16-C16</f>
        <v>1464989</v>
      </c>
      <c r="F16" s="150">
        <f>IF(C16=0,0,E16/C16)</f>
        <v>5.8280657566700228E-2</v>
      </c>
    </row>
    <row r="17" spans="1:7" ht="15" customHeight="1" x14ac:dyDescent="0.2">
      <c r="A17" s="141">
        <v>3</v>
      </c>
      <c r="B17" s="149" t="s">
        <v>159</v>
      </c>
      <c r="C17" s="146">
        <v>83855969</v>
      </c>
      <c r="D17" s="146">
        <v>87361080</v>
      </c>
      <c r="E17" s="146">
        <f>+D17-C17</f>
        <v>3505111</v>
      </c>
      <c r="F17" s="150">
        <f>IF(C17=0,0,E17/C17)</f>
        <v>4.1799183073061859E-2</v>
      </c>
    </row>
    <row r="18" spans="1:7" ht="15.75" customHeight="1" x14ac:dyDescent="0.25">
      <c r="A18" s="141"/>
      <c r="B18" s="151" t="s">
        <v>160</v>
      </c>
      <c r="C18" s="147">
        <f>SUM(C15:C17)</f>
        <v>155568636</v>
      </c>
      <c r="D18" s="147">
        <f>SUM(D15:D17)</f>
        <v>161674913</v>
      </c>
      <c r="E18" s="147">
        <f>+D18-C18</f>
        <v>6106277</v>
      </c>
      <c r="F18" s="148">
        <f>IF(C18=0,0,E18/C18)</f>
        <v>3.925133726826531E-2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12732163</v>
      </c>
      <c r="D21" s="146">
        <v>11105634</v>
      </c>
      <c r="E21" s="146">
        <f>+D21-C21</f>
        <v>-1626529</v>
      </c>
      <c r="F21" s="150">
        <f>IF(C21=0,0,E21/C21)</f>
        <v>-0.12774962117591487</v>
      </c>
    </row>
    <row r="22" spans="1:7" ht="15" customHeight="1" x14ac:dyDescent="0.2">
      <c r="A22" s="141">
        <v>2</v>
      </c>
      <c r="B22" s="149" t="s">
        <v>163</v>
      </c>
      <c r="C22" s="146">
        <v>6871493</v>
      </c>
      <c r="D22" s="146">
        <v>6191930</v>
      </c>
      <c r="E22" s="146">
        <f>+D22-C22</f>
        <v>-679563</v>
      </c>
      <c r="F22" s="150">
        <f>IF(C22=0,0,E22/C22)</f>
        <v>-9.8895975008633494E-2</v>
      </c>
    </row>
    <row r="23" spans="1:7" ht="15" customHeight="1" x14ac:dyDescent="0.2">
      <c r="A23" s="141">
        <v>3</v>
      </c>
      <c r="B23" s="149" t="s">
        <v>164</v>
      </c>
      <c r="C23" s="146">
        <v>22923197</v>
      </c>
      <c r="D23" s="146">
        <v>20334489</v>
      </c>
      <c r="E23" s="146">
        <f>+D23-C23</f>
        <v>-2588708</v>
      </c>
      <c r="F23" s="150">
        <f>IF(C23=0,0,E23/C23)</f>
        <v>-0.11292962321093344</v>
      </c>
    </row>
    <row r="24" spans="1:7" ht="15.75" customHeight="1" x14ac:dyDescent="0.25">
      <c r="A24" s="141"/>
      <c r="B24" s="151" t="s">
        <v>165</v>
      </c>
      <c r="C24" s="147">
        <f>SUM(C21:C23)</f>
        <v>42526853</v>
      </c>
      <c r="D24" s="147">
        <f>SUM(D21:D23)</f>
        <v>37632053</v>
      </c>
      <c r="E24" s="147">
        <f>+D24-C24</f>
        <v>-4894800</v>
      </c>
      <c r="F24" s="148">
        <f>IF(C24=0,0,E24/C24)</f>
        <v>-0.1150990410694156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496836</v>
      </c>
      <c r="D27" s="146">
        <v>625759</v>
      </c>
      <c r="E27" s="146">
        <f>+D27-C27</f>
        <v>128923</v>
      </c>
      <c r="F27" s="150">
        <f>IF(C27=0,0,E27/C27)</f>
        <v>0.25948804031913952</v>
      </c>
    </row>
    <row r="28" spans="1:7" ht="15" customHeight="1" x14ac:dyDescent="0.2">
      <c r="A28" s="141">
        <v>2</v>
      </c>
      <c r="B28" s="149" t="s">
        <v>168</v>
      </c>
      <c r="C28" s="146">
        <v>3005545</v>
      </c>
      <c r="D28" s="146">
        <v>3404502</v>
      </c>
      <c r="E28" s="146">
        <f>+D28-C28</f>
        <v>398957</v>
      </c>
      <c r="F28" s="150">
        <f>IF(C28=0,0,E28/C28)</f>
        <v>0.13274031831165395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3502381</v>
      </c>
      <c r="D30" s="147">
        <f>SUM(D27:D29)</f>
        <v>4030261</v>
      </c>
      <c r="E30" s="147">
        <f>+D30-C30</f>
        <v>527880</v>
      </c>
      <c r="F30" s="148">
        <f>IF(C30=0,0,E30/C30)</f>
        <v>0.15072032425941095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24201366</v>
      </c>
      <c r="D33" s="146">
        <v>25188379</v>
      </c>
      <c r="E33" s="146">
        <f>+D33-C33</f>
        <v>987013</v>
      </c>
      <c r="F33" s="150">
        <f>IF(C33=0,0,E33/C33)</f>
        <v>4.0783359088077918E-2</v>
      </c>
    </row>
    <row r="34" spans="1:7" ht="15" customHeight="1" x14ac:dyDescent="0.2">
      <c r="A34" s="141">
        <v>2</v>
      </c>
      <c r="B34" s="149" t="s">
        <v>174</v>
      </c>
      <c r="C34" s="146">
        <v>8943171</v>
      </c>
      <c r="D34" s="146">
        <v>9420677</v>
      </c>
      <c r="E34" s="146">
        <f>+D34-C34</f>
        <v>477506</v>
      </c>
      <c r="F34" s="150">
        <f>IF(C34=0,0,E34/C34)</f>
        <v>5.3393365731237832E-2</v>
      </c>
    </row>
    <row r="35" spans="1:7" ht="15.75" customHeight="1" x14ac:dyDescent="0.25">
      <c r="A35" s="141"/>
      <c r="B35" s="151" t="s">
        <v>175</v>
      </c>
      <c r="C35" s="147">
        <f>SUM(C33:C34)</f>
        <v>33144537</v>
      </c>
      <c r="D35" s="147">
        <f>SUM(D33:D34)</f>
        <v>34609056</v>
      </c>
      <c r="E35" s="147">
        <f>+D35-C35</f>
        <v>1464519</v>
      </c>
      <c r="F35" s="148">
        <f>IF(C35=0,0,E35/C35)</f>
        <v>4.418583370164441E-2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9985642</v>
      </c>
      <c r="D38" s="146">
        <v>10302808</v>
      </c>
      <c r="E38" s="146">
        <f>+D38-C38</f>
        <v>317166</v>
      </c>
      <c r="F38" s="150">
        <f>IF(C38=0,0,E38/C38)</f>
        <v>3.1762204172751239E-2</v>
      </c>
    </row>
    <row r="39" spans="1:7" ht="15" customHeight="1" x14ac:dyDescent="0.2">
      <c r="A39" s="141">
        <v>2</v>
      </c>
      <c r="B39" s="149" t="s">
        <v>179</v>
      </c>
      <c r="C39" s="146">
        <v>11628728</v>
      </c>
      <c r="D39" s="146">
        <v>11168788</v>
      </c>
      <c r="E39" s="146">
        <f>+D39-C39</f>
        <v>-459940</v>
      </c>
      <c r="F39" s="150">
        <f>IF(C39=0,0,E39/C39)</f>
        <v>-3.9552047309043603E-2</v>
      </c>
    </row>
    <row r="40" spans="1:7" ht="15" customHeight="1" x14ac:dyDescent="0.2">
      <c r="A40" s="141">
        <v>3</v>
      </c>
      <c r="B40" s="149" t="s">
        <v>180</v>
      </c>
      <c r="C40" s="146">
        <v>122540</v>
      </c>
      <c r="D40" s="146">
        <v>-22864</v>
      </c>
      <c r="E40" s="146">
        <f>+D40-C40</f>
        <v>-145404</v>
      </c>
      <c r="F40" s="150">
        <f>IF(C40=0,0,E40/C40)</f>
        <v>-1.186583972580382</v>
      </c>
    </row>
    <row r="41" spans="1:7" ht="15.75" customHeight="1" x14ac:dyDescent="0.25">
      <c r="A41" s="141"/>
      <c r="B41" s="151" t="s">
        <v>181</v>
      </c>
      <c r="C41" s="147">
        <f>SUM(C38:C40)</f>
        <v>21736910</v>
      </c>
      <c r="D41" s="147">
        <f>SUM(D38:D40)</f>
        <v>21448732</v>
      </c>
      <c r="E41" s="147">
        <f>+D41-C41</f>
        <v>-288178</v>
      </c>
      <c r="F41" s="148">
        <f>IF(C41=0,0,E41/C41)</f>
        <v>-1.3257542125352684E-2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13570742</v>
      </c>
      <c r="D44" s="146">
        <v>12199395</v>
      </c>
      <c r="E44" s="146">
        <f>+D44-C44</f>
        <v>-1371347</v>
      </c>
      <c r="F44" s="150">
        <f>IF(C44=0,0,E44/C44)</f>
        <v>-0.10105173320662938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3242228</v>
      </c>
      <c r="D47" s="146">
        <v>3106032</v>
      </c>
      <c r="E47" s="146">
        <f>+D47-C47</f>
        <v>-136196</v>
      </c>
      <c r="F47" s="150">
        <f>IF(C47=0,0,E47/C47)</f>
        <v>-4.2006916231677724E-2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2640281</v>
      </c>
      <c r="D50" s="146">
        <v>1871742</v>
      </c>
      <c r="E50" s="146">
        <f>+D50-C50</f>
        <v>-768539</v>
      </c>
      <c r="F50" s="150">
        <f>IF(C50=0,0,E50/C50)</f>
        <v>-0.29108227495482486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257495</v>
      </c>
      <c r="D53" s="146">
        <v>490212</v>
      </c>
      <c r="E53" s="146">
        <f t="shared" ref="E53:E59" si="0">+D53-C53</f>
        <v>232717</v>
      </c>
      <c r="F53" s="150">
        <f t="shared" ref="F53:F59" si="1">IF(C53=0,0,E53/C53)</f>
        <v>0.90377288879395712</v>
      </c>
    </row>
    <row r="54" spans="1:7" ht="15" customHeight="1" x14ac:dyDescent="0.2">
      <c r="A54" s="141">
        <v>2</v>
      </c>
      <c r="B54" s="149" t="s">
        <v>193</v>
      </c>
      <c r="C54" s="146">
        <v>111425</v>
      </c>
      <c r="D54" s="146">
        <v>120697</v>
      </c>
      <c r="E54" s="146">
        <f t="shared" si="0"/>
        <v>9272</v>
      </c>
      <c r="F54" s="150">
        <f t="shared" si="1"/>
        <v>8.3212923491137541E-2</v>
      </c>
    </row>
    <row r="55" spans="1:7" ht="15" customHeight="1" x14ac:dyDescent="0.2">
      <c r="A55" s="141">
        <v>3</v>
      </c>
      <c r="B55" s="149" t="s">
        <v>194</v>
      </c>
      <c r="C55" s="146">
        <v>972621</v>
      </c>
      <c r="D55" s="146">
        <v>977604</v>
      </c>
      <c r="E55" s="146">
        <f t="shared" si="0"/>
        <v>4983</v>
      </c>
      <c r="F55" s="150">
        <f t="shared" si="1"/>
        <v>5.1232700095926367E-3</v>
      </c>
    </row>
    <row r="56" spans="1:7" ht="15" customHeight="1" x14ac:dyDescent="0.2">
      <c r="A56" s="141">
        <v>4</v>
      </c>
      <c r="B56" s="149" t="s">
        <v>195</v>
      </c>
      <c r="C56" s="146">
        <v>3032617</v>
      </c>
      <c r="D56" s="146">
        <v>3340721</v>
      </c>
      <c r="E56" s="146">
        <f t="shared" si="0"/>
        <v>308104</v>
      </c>
      <c r="F56" s="150">
        <f t="shared" si="1"/>
        <v>0.10159673971358731</v>
      </c>
    </row>
    <row r="57" spans="1:7" ht="15" customHeight="1" x14ac:dyDescent="0.2">
      <c r="A57" s="141">
        <v>5</v>
      </c>
      <c r="B57" s="149" t="s">
        <v>196</v>
      </c>
      <c r="C57" s="146">
        <v>1316527</v>
      </c>
      <c r="D57" s="146">
        <v>1378849</v>
      </c>
      <c r="E57" s="146">
        <f t="shared" si="0"/>
        <v>62322</v>
      </c>
      <c r="F57" s="150">
        <f t="shared" si="1"/>
        <v>4.7338185999983289E-2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5690685</v>
      </c>
      <c r="D59" s="147">
        <f>SUM(D53:D58)</f>
        <v>6308083</v>
      </c>
      <c r="E59" s="147">
        <f t="shared" si="0"/>
        <v>617398</v>
      </c>
      <c r="F59" s="148">
        <f t="shared" si="1"/>
        <v>0.10849273857189425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291332</v>
      </c>
      <c r="D62" s="146">
        <v>172414</v>
      </c>
      <c r="E62" s="146">
        <f t="shared" ref="E62:E90" si="2">+D62-C62</f>
        <v>-118918</v>
      </c>
      <c r="F62" s="150">
        <f t="shared" ref="F62:F90" si="3">IF(C62=0,0,E62/C62)</f>
        <v>-0.4081872228248184</v>
      </c>
    </row>
    <row r="63" spans="1:7" ht="15" customHeight="1" x14ac:dyDescent="0.2">
      <c r="A63" s="141">
        <v>2</v>
      </c>
      <c r="B63" s="149" t="s">
        <v>202</v>
      </c>
      <c r="C63" s="146">
        <v>900863</v>
      </c>
      <c r="D63" s="146">
        <v>605719</v>
      </c>
      <c r="E63" s="146">
        <f t="shared" si="2"/>
        <v>-295144</v>
      </c>
      <c r="F63" s="150">
        <f t="shared" si="3"/>
        <v>-0.32762362312582488</v>
      </c>
    </row>
    <row r="64" spans="1:7" ht="15" customHeight="1" x14ac:dyDescent="0.2">
      <c r="A64" s="141">
        <v>3</v>
      </c>
      <c r="B64" s="149" t="s">
        <v>203</v>
      </c>
      <c r="C64" s="146">
        <v>1528376</v>
      </c>
      <c r="D64" s="146">
        <v>3016460</v>
      </c>
      <c r="E64" s="146">
        <f t="shared" si="2"/>
        <v>1488084</v>
      </c>
      <c r="F64" s="150">
        <f t="shared" si="3"/>
        <v>0.97363737718990617</v>
      </c>
    </row>
    <row r="65" spans="1:6" ht="15" customHeight="1" x14ac:dyDescent="0.2">
      <c r="A65" s="141">
        <v>4</v>
      </c>
      <c r="B65" s="149" t="s">
        <v>204</v>
      </c>
      <c r="C65" s="146">
        <v>646127</v>
      </c>
      <c r="D65" s="146">
        <v>596009</v>
      </c>
      <c r="E65" s="146">
        <f t="shared" si="2"/>
        <v>-50118</v>
      </c>
      <c r="F65" s="150">
        <f t="shared" si="3"/>
        <v>-7.7566794144185283E-2</v>
      </c>
    </row>
    <row r="66" spans="1:6" ht="15" customHeight="1" x14ac:dyDescent="0.2">
      <c r="A66" s="141">
        <v>5</v>
      </c>
      <c r="B66" s="149" t="s">
        <v>205</v>
      </c>
      <c r="C66" s="146">
        <v>1772912</v>
      </c>
      <c r="D66" s="146">
        <v>1815761</v>
      </c>
      <c r="E66" s="146">
        <f t="shared" si="2"/>
        <v>42849</v>
      </c>
      <c r="F66" s="150">
        <f t="shared" si="3"/>
        <v>2.4168712265470592E-2</v>
      </c>
    </row>
    <row r="67" spans="1:6" ht="15" customHeight="1" x14ac:dyDescent="0.2">
      <c r="A67" s="141">
        <v>6</v>
      </c>
      <c r="B67" s="149" t="s">
        <v>206</v>
      </c>
      <c r="C67" s="146">
        <v>3543439</v>
      </c>
      <c r="D67" s="146">
        <v>3623954</v>
      </c>
      <c r="E67" s="146">
        <f t="shared" si="2"/>
        <v>80515</v>
      </c>
      <c r="F67" s="150">
        <f t="shared" si="3"/>
        <v>2.2722276297122652E-2</v>
      </c>
    </row>
    <row r="68" spans="1:6" ht="15" customHeight="1" x14ac:dyDescent="0.2">
      <c r="A68" s="141">
        <v>7</v>
      </c>
      <c r="B68" s="149" t="s">
        <v>207</v>
      </c>
      <c r="C68" s="146">
        <v>2245956</v>
      </c>
      <c r="D68" s="146">
        <v>2002922</v>
      </c>
      <c r="E68" s="146">
        <f t="shared" si="2"/>
        <v>-243034</v>
      </c>
      <c r="F68" s="150">
        <f t="shared" si="3"/>
        <v>-0.1082095998318756</v>
      </c>
    </row>
    <row r="69" spans="1:6" ht="15" customHeight="1" x14ac:dyDescent="0.2">
      <c r="A69" s="141">
        <v>8</v>
      </c>
      <c r="B69" s="149" t="s">
        <v>208</v>
      </c>
      <c r="C69" s="146">
        <v>536468</v>
      </c>
      <c r="D69" s="146">
        <v>206063</v>
      </c>
      <c r="E69" s="146">
        <f t="shared" si="2"/>
        <v>-330405</v>
      </c>
      <c r="F69" s="150">
        <f t="shared" si="3"/>
        <v>-0.61588948455453074</v>
      </c>
    </row>
    <row r="70" spans="1:6" ht="15" customHeight="1" x14ac:dyDescent="0.2">
      <c r="A70" s="141">
        <v>9</v>
      </c>
      <c r="B70" s="149" t="s">
        <v>209</v>
      </c>
      <c r="C70" s="146">
        <v>1262702</v>
      </c>
      <c r="D70" s="146">
        <v>1146988</v>
      </c>
      <c r="E70" s="146">
        <f t="shared" si="2"/>
        <v>-115714</v>
      </c>
      <c r="F70" s="150">
        <f t="shared" si="3"/>
        <v>-9.1639991066775853E-2</v>
      </c>
    </row>
    <row r="71" spans="1:6" ht="15" customHeight="1" x14ac:dyDescent="0.2">
      <c r="A71" s="141">
        <v>10</v>
      </c>
      <c r="B71" s="149" t="s">
        <v>210</v>
      </c>
      <c r="C71" s="146">
        <v>105191</v>
      </c>
      <c r="D71" s="146">
        <v>89383</v>
      </c>
      <c r="E71" s="146">
        <f t="shared" si="2"/>
        <v>-15808</v>
      </c>
      <c r="F71" s="150">
        <f t="shared" si="3"/>
        <v>-0.1502790162656501</v>
      </c>
    </row>
    <row r="72" spans="1:6" ht="15" customHeight="1" x14ac:dyDescent="0.2">
      <c r="A72" s="141">
        <v>11</v>
      </c>
      <c r="B72" s="149" t="s">
        <v>211</v>
      </c>
      <c r="C72" s="146">
        <v>3609461</v>
      </c>
      <c r="D72" s="146">
        <v>4232049</v>
      </c>
      <c r="E72" s="146">
        <f t="shared" si="2"/>
        <v>622588</v>
      </c>
      <c r="F72" s="150">
        <f t="shared" si="3"/>
        <v>0.17248780358064542</v>
      </c>
    </row>
    <row r="73" spans="1:6" ht="15" customHeight="1" x14ac:dyDescent="0.2">
      <c r="A73" s="141">
        <v>12</v>
      </c>
      <c r="B73" s="149" t="s">
        <v>212</v>
      </c>
      <c r="C73" s="146">
        <v>1989707</v>
      </c>
      <c r="D73" s="146">
        <v>1869428</v>
      </c>
      <c r="E73" s="146">
        <f t="shared" si="2"/>
        <v>-120279</v>
      </c>
      <c r="F73" s="150">
        <f t="shared" si="3"/>
        <v>-6.0450609059524846E-2</v>
      </c>
    </row>
    <row r="74" spans="1:6" ht="15" customHeight="1" x14ac:dyDescent="0.2">
      <c r="A74" s="141">
        <v>13</v>
      </c>
      <c r="B74" s="149" t="s">
        <v>213</v>
      </c>
      <c r="C74" s="146">
        <v>394248</v>
      </c>
      <c r="D74" s="146">
        <v>442118</v>
      </c>
      <c r="E74" s="146">
        <f t="shared" si="2"/>
        <v>47870</v>
      </c>
      <c r="F74" s="150">
        <f t="shared" si="3"/>
        <v>0.12142103447576146</v>
      </c>
    </row>
    <row r="75" spans="1:6" ht="15" customHeight="1" x14ac:dyDescent="0.2">
      <c r="A75" s="141">
        <v>14</v>
      </c>
      <c r="B75" s="149" t="s">
        <v>214</v>
      </c>
      <c r="C75" s="146">
        <v>283215</v>
      </c>
      <c r="D75" s="146">
        <v>270230</v>
      </c>
      <c r="E75" s="146">
        <f t="shared" si="2"/>
        <v>-12985</v>
      </c>
      <c r="F75" s="150">
        <f t="shared" si="3"/>
        <v>-4.5848560281058562E-2</v>
      </c>
    </row>
    <row r="76" spans="1:6" ht="15" customHeight="1" x14ac:dyDescent="0.2">
      <c r="A76" s="141">
        <v>15</v>
      </c>
      <c r="B76" s="149" t="s">
        <v>215</v>
      </c>
      <c r="C76" s="146">
        <v>1107303</v>
      </c>
      <c r="D76" s="146">
        <v>503403</v>
      </c>
      <c r="E76" s="146">
        <f t="shared" si="2"/>
        <v>-603900</v>
      </c>
      <c r="F76" s="150">
        <f t="shared" si="3"/>
        <v>-0.54537917805695457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2986474</v>
      </c>
      <c r="E78" s="146">
        <f t="shared" si="2"/>
        <v>2986474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439907</v>
      </c>
      <c r="E79" s="146">
        <f t="shared" si="2"/>
        <v>439907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1547613</v>
      </c>
      <c r="E80" s="146">
        <f t="shared" si="2"/>
        <v>1547613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2049815</v>
      </c>
      <c r="E81" s="146">
        <f t="shared" si="2"/>
        <v>2049815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394363</v>
      </c>
      <c r="E82" s="146">
        <f t="shared" si="2"/>
        <v>394363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1049979</v>
      </c>
      <c r="E83" s="146">
        <f t="shared" si="2"/>
        <v>1049979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505722</v>
      </c>
      <c r="E84" s="146">
        <f t="shared" si="2"/>
        <v>505722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381888</v>
      </c>
      <c r="E86" s="146">
        <f t="shared" si="2"/>
        <v>381888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1465757</v>
      </c>
      <c r="E87" s="146">
        <f t="shared" si="2"/>
        <v>1465757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18293521</v>
      </c>
      <c r="E88" s="146">
        <f t="shared" si="2"/>
        <v>18293521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6099876</v>
      </c>
      <c r="D89" s="146">
        <v>1949084</v>
      </c>
      <c r="E89" s="146">
        <f t="shared" si="2"/>
        <v>-4150792</v>
      </c>
      <c r="F89" s="150">
        <f t="shared" si="3"/>
        <v>-0.68047153745420397</v>
      </c>
    </row>
    <row r="90" spans="1:7" ht="15.75" customHeight="1" x14ac:dyDescent="0.25">
      <c r="A90" s="141"/>
      <c r="B90" s="151" t="s">
        <v>229</v>
      </c>
      <c r="C90" s="147">
        <f>SUM(C62:C89)</f>
        <v>26317176</v>
      </c>
      <c r="D90" s="147">
        <f>SUM(D62:D89)</f>
        <v>51657024</v>
      </c>
      <c r="E90" s="147">
        <f t="shared" si="2"/>
        <v>25339848</v>
      </c>
      <c r="F90" s="148">
        <f t="shared" si="3"/>
        <v>0.9628634926482994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20575219</v>
      </c>
      <c r="D93" s="146">
        <v>0</v>
      </c>
      <c r="E93" s="146">
        <f>+D93-C93</f>
        <v>-20575219</v>
      </c>
      <c r="F93" s="150">
        <f>IF(C93=0,0,E93/C93)</f>
        <v>-1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328515648</v>
      </c>
      <c r="D95" s="147">
        <f>+D93+D90+D59+D50+D47+D44+D41+D35+D30+D24+D18</f>
        <v>334537291</v>
      </c>
      <c r="E95" s="147">
        <f>+D95-C95</f>
        <v>6021643</v>
      </c>
      <c r="F95" s="148">
        <f>IF(C95=0,0,E95/C95)</f>
        <v>1.8329851368297682E-2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28796988</v>
      </c>
      <c r="D103" s="146">
        <v>33005268</v>
      </c>
      <c r="E103" s="146">
        <f t="shared" ref="E103:E121" si="4">D103-C103</f>
        <v>4208280</v>
      </c>
      <c r="F103" s="150">
        <f t="shared" ref="F103:F121" si="5">IF(C103=0,0,E103/C103)</f>
        <v>0.14613611673554192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1069244</v>
      </c>
      <c r="D104" s="146">
        <v>1158142</v>
      </c>
      <c r="E104" s="146">
        <f t="shared" si="4"/>
        <v>88898</v>
      </c>
      <c r="F104" s="150">
        <f t="shared" si="5"/>
        <v>8.3140985593559563E-2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18249320</v>
      </c>
      <c r="D105" s="146">
        <v>17220390</v>
      </c>
      <c r="E105" s="146">
        <f t="shared" si="4"/>
        <v>-1028930</v>
      </c>
      <c r="F105" s="150">
        <f t="shared" si="5"/>
        <v>-5.638182682971201E-2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2698382</v>
      </c>
      <c r="D106" s="146">
        <v>2747251</v>
      </c>
      <c r="E106" s="146">
        <f t="shared" si="4"/>
        <v>48869</v>
      </c>
      <c r="F106" s="150">
        <f t="shared" si="5"/>
        <v>1.8110482503959781E-2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14404449</v>
      </c>
      <c r="D107" s="146">
        <v>14071330</v>
      </c>
      <c r="E107" s="146">
        <f t="shared" si="4"/>
        <v>-333119</v>
      </c>
      <c r="F107" s="150">
        <f t="shared" si="5"/>
        <v>-2.3126118881742718E-2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1887914</v>
      </c>
      <c r="D108" s="146">
        <v>1836437</v>
      </c>
      <c r="E108" s="146">
        <f t="shared" si="4"/>
        <v>-51477</v>
      </c>
      <c r="F108" s="150">
        <f t="shared" si="5"/>
        <v>-2.7266602186328402E-2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45008800</v>
      </c>
      <c r="D109" s="146">
        <v>39888625</v>
      </c>
      <c r="E109" s="146">
        <f t="shared" si="4"/>
        <v>-5120175</v>
      </c>
      <c r="F109" s="150">
        <f t="shared" si="5"/>
        <v>-0.11375942038001458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1821031</v>
      </c>
      <c r="D110" s="146">
        <v>2209250</v>
      </c>
      <c r="E110" s="146">
        <f t="shared" si="4"/>
        <v>388219</v>
      </c>
      <c r="F110" s="150">
        <f t="shared" si="5"/>
        <v>0.21318637628903628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1677223</v>
      </c>
      <c r="D111" s="146">
        <v>1646576</v>
      </c>
      <c r="E111" s="146">
        <f t="shared" si="4"/>
        <v>-30647</v>
      </c>
      <c r="F111" s="150">
        <f t="shared" si="5"/>
        <v>-1.8272465855762771E-2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3946399</v>
      </c>
      <c r="D112" s="146">
        <v>3980607</v>
      </c>
      <c r="E112" s="146">
        <f t="shared" si="4"/>
        <v>34208</v>
      </c>
      <c r="F112" s="150">
        <f t="shared" si="5"/>
        <v>8.6681554500697977E-3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2842159</v>
      </c>
      <c r="D113" s="146">
        <v>2922360</v>
      </c>
      <c r="E113" s="146">
        <f t="shared" si="4"/>
        <v>80201</v>
      </c>
      <c r="F113" s="150">
        <f t="shared" si="5"/>
        <v>2.8218336834779475E-2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846666</v>
      </c>
      <c r="D114" s="146">
        <v>840682</v>
      </c>
      <c r="E114" s="146">
        <f t="shared" si="4"/>
        <v>-5984</v>
      </c>
      <c r="F114" s="150">
        <f t="shared" si="5"/>
        <v>-7.0677221005685832E-3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14457610</v>
      </c>
      <c r="D115" s="146">
        <v>13743529</v>
      </c>
      <c r="E115" s="146">
        <f t="shared" si="4"/>
        <v>-714081</v>
      </c>
      <c r="F115" s="150">
        <f t="shared" si="5"/>
        <v>-4.9391358599381228E-2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1609472</v>
      </c>
      <c r="D116" s="146">
        <v>1842743</v>
      </c>
      <c r="E116" s="146">
        <f t="shared" si="4"/>
        <v>233271</v>
      </c>
      <c r="F116" s="150">
        <f t="shared" si="5"/>
        <v>0.14493635179735964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0</v>
      </c>
      <c r="D117" s="146">
        <v>0</v>
      </c>
      <c r="E117" s="146">
        <f t="shared" si="4"/>
        <v>0</v>
      </c>
      <c r="F117" s="150">
        <f t="shared" si="5"/>
        <v>0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3122141</v>
      </c>
      <c r="D118" s="146">
        <v>3371740</v>
      </c>
      <c r="E118" s="146">
        <f t="shared" si="4"/>
        <v>249599</v>
      </c>
      <c r="F118" s="150">
        <f t="shared" si="5"/>
        <v>7.994481991684553E-2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11132587</v>
      </c>
      <c r="D119" s="146">
        <v>12217756</v>
      </c>
      <c r="E119" s="146">
        <f t="shared" si="4"/>
        <v>1085169</v>
      </c>
      <c r="F119" s="150">
        <f t="shared" si="5"/>
        <v>9.7476803909100379E-2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768464</v>
      </c>
      <c r="D120" s="146">
        <v>853923</v>
      </c>
      <c r="E120" s="146">
        <f t="shared" si="4"/>
        <v>85459</v>
      </c>
      <c r="F120" s="150">
        <f t="shared" si="5"/>
        <v>0.11120755168752212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154338849</v>
      </c>
      <c r="D121" s="147">
        <f>SUM(D103:D120)</f>
        <v>153556609</v>
      </c>
      <c r="E121" s="147">
        <f t="shared" si="4"/>
        <v>-782240</v>
      </c>
      <c r="F121" s="148">
        <f t="shared" si="5"/>
        <v>-5.0683285839458348E-3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5947323</v>
      </c>
      <c r="D124" s="146">
        <v>5961434</v>
      </c>
      <c r="E124" s="146">
        <f t="shared" ref="E124:E130" si="6">D124-C124</f>
        <v>14111</v>
      </c>
      <c r="F124" s="150">
        <f t="shared" ref="F124:F130" si="7">IF(C124=0,0,E124/C124)</f>
        <v>2.3726641381340815E-3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4149050</v>
      </c>
      <c r="D125" s="146">
        <v>4236730</v>
      </c>
      <c r="E125" s="146">
        <f t="shared" si="6"/>
        <v>87680</v>
      </c>
      <c r="F125" s="150">
        <f t="shared" si="7"/>
        <v>2.113254841469734E-2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3027207</v>
      </c>
      <c r="D126" s="146">
        <v>3133785</v>
      </c>
      <c r="E126" s="146">
        <f t="shared" si="6"/>
        <v>106578</v>
      </c>
      <c r="F126" s="150">
        <f t="shared" si="7"/>
        <v>3.5206710343891251E-2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4086031</v>
      </c>
      <c r="D127" s="146">
        <v>4112456</v>
      </c>
      <c r="E127" s="146">
        <f t="shared" si="6"/>
        <v>26425</v>
      </c>
      <c r="F127" s="150">
        <f t="shared" si="7"/>
        <v>6.4671560250032364E-3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321333</v>
      </c>
      <c r="D128" s="146">
        <v>326855</v>
      </c>
      <c r="E128" s="146">
        <f t="shared" si="6"/>
        <v>5522</v>
      </c>
      <c r="F128" s="150">
        <f t="shared" si="7"/>
        <v>1.7184665129320674E-2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551986</v>
      </c>
      <c r="D129" s="146">
        <v>640058</v>
      </c>
      <c r="E129" s="146">
        <f t="shared" si="6"/>
        <v>88072</v>
      </c>
      <c r="F129" s="150">
        <f t="shared" si="7"/>
        <v>0.15955477131666382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18082930</v>
      </c>
      <c r="D130" s="147">
        <f>SUM(D124:D129)</f>
        <v>18411318</v>
      </c>
      <c r="E130" s="147">
        <f t="shared" si="6"/>
        <v>328388</v>
      </c>
      <c r="F130" s="148">
        <f t="shared" si="7"/>
        <v>1.8160110114898414E-2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18786824</v>
      </c>
      <c r="D133" s="146">
        <v>20461682</v>
      </c>
      <c r="E133" s="146">
        <f t="shared" ref="E133:E167" si="8">D133-C133</f>
        <v>1674858</v>
      </c>
      <c r="F133" s="150">
        <f t="shared" ref="F133:F167" si="9">IF(C133=0,0,E133/C133)</f>
        <v>8.9150672833258032E-2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2392402</v>
      </c>
      <c r="D134" s="146">
        <v>2361187</v>
      </c>
      <c r="E134" s="146">
        <f t="shared" si="8"/>
        <v>-31215</v>
      </c>
      <c r="F134" s="150">
        <f t="shared" si="9"/>
        <v>-1.3047556388934636E-2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857812</v>
      </c>
      <c r="D135" s="146">
        <v>1058413</v>
      </c>
      <c r="E135" s="146">
        <f t="shared" si="8"/>
        <v>200601</v>
      </c>
      <c r="F135" s="150">
        <f t="shared" si="9"/>
        <v>0.23385193958583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0</v>
      </c>
      <c r="D136" s="146">
        <v>176</v>
      </c>
      <c r="E136" s="146">
        <f t="shared" si="8"/>
        <v>176</v>
      </c>
      <c r="F136" s="150">
        <f t="shared" si="9"/>
        <v>0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9154307</v>
      </c>
      <c r="D137" s="146">
        <v>9263621</v>
      </c>
      <c r="E137" s="146">
        <f t="shared" si="8"/>
        <v>109314</v>
      </c>
      <c r="F137" s="150">
        <f t="shared" si="9"/>
        <v>1.1941264368782912E-2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1627347</v>
      </c>
      <c r="D138" s="146">
        <v>1650360</v>
      </c>
      <c r="E138" s="146">
        <f t="shared" si="8"/>
        <v>23013</v>
      </c>
      <c r="F138" s="150">
        <f t="shared" si="9"/>
        <v>1.4141421589863748E-2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2616109</v>
      </c>
      <c r="D139" s="146">
        <v>3056235</v>
      </c>
      <c r="E139" s="146">
        <f t="shared" si="8"/>
        <v>440126</v>
      </c>
      <c r="F139" s="150">
        <f t="shared" si="9"/>
        <v>0.16823687392230216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782038</v>
      </c>
      <c r="D140" s="146">
        <v>798018</v>
      </c>
      <c r="E140" s="146">
        <f t="shared" si="8"/>
        <v>15980</v>
      </c>
      <c r="F140" s="150">
        <f t="shared" si="9"/>
        <v>2.0433789662394921E-2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2870201</v>
      </c>
      <c r="D141" s="146">
        <v>2598154</v>
      </c>
      <c r="E141" s="146">
        <f t="shared" si="8"/>
        <v>-272047</v>
      </c>
      <c r="F141" s="150">
        <f t="shared" si="9"/>
        <v>-9.4783257339816962E-2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13473285</v>
      </c>
      <c r="D142" s="146">
        <v>13630115</v>
      </c>
      <c r="E142" s="146">
        <f t="shared" si="8"/>
        <v>156830</v>
      </c>
      <c r="F142" s="150">
        <f t="shared" si="9"/>
        <v>1.164007144508559E-2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2036522</v>
      </c>
      <c r="D143" s="146">
        <v>1928767</v>
      </c>
      <c r="E143" s="146">
        <f t="shared" si="8"/>
        <v>-107755</v>
      </c>
      <c r="F143" s="150">
        <f t="shared" si="9"/>
        <v>-5.2911286988306536E-2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753439</v>
      </c>
      <c r="D144" s="146">
        <v>711408</v>
      </c>
      <c r="E144" s="146">
        <f t="shared" si="8"/>
        <v>-42031</v>
      </c>
      <c r="F144" s="150">
        <f t="shared" si="9"/>
        <v>-5.5785538046212099E-2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548132</v>
      </c>
      <c r="D146" s="146">
        <v>560175</v>
      </c>
      <c r="E146" s="146">
        <f t="shared" si="8"/>
        <v>12043</v>
      </c>
      <c r="F146" s="150">
        <f t="shared" si="9"/>
        <v>2.1970985091182414E-2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154804</v>
      </c>
      <c r="D148" s="146">
        <v>150881</v>
      </c>
      <c r="E148" s="146">
        <f t="shared" si="8"/>
        <v>-3923</v>
      </c>
      <c r="F148" s="150">
        <f t="shared" si="9"/>
        <v>-2.5341722436112761E-2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1157876</v>
      </c>
      <c r="D150" s="146">
        <v>1157874</v>
      </c>
      <c r="E150" s="146">
        <f t="shared" si="8"/>
        <v>-2</v>
      </c>
      <c r="F150" s="150">
        <f t="shared" si="9"/>
        <v>-1.7273006781382462E-6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75006</v>
      </c>
      <c r="D151" s="146">
        <v>66127</v>
      </c>
      <c r="E151" s="146">
        <f t="shared" si="8"/>
        <v>-8879</v>
      </c>
      <c r="F151" s="150">
        <f t="shared" si="9"/>
        <v>-0.11837719649094738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740214</v>
      </c>
      <c r="D152" s="146">
        <v>749102</v>
      </c>
      <c r="E152" s="146">
        <f t="shared" si="8"/>
        <v>8888</v>
      </c>
      <c r="F152" s="150">
        <f t="shared" si="9"/>
        <v>1.2007338418349289E-2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7533430</v>
      </c>
      <c r="D154" s="146">
        <v>8449452</v>
      </c>
      <c r="E154" s="146">
        <f t="shared" si="8"/>
        <v>916022</v>
      </c>
      <c r="F154" s="150">
        <f t="shared" si="9"/>
        <v>0.12159428042737505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191747</v>
      </c>
      <c r="D155" s="146">
        <v>164539</v>
      </c>
      <c r="E155" s="146">
        <f t="shared" si="8"/>
        <v>-27208</v>
      </c>
      <c r="F155" s="150">
        <f t="shared" si="9"/>
        <v>-0.1418953099657361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21029455</v>
      </c>
      <c r="D156" s="146">
        <v>21818365</v>
      </c>
      <c r="E156" s="146">
        <f t="shared" si="8"/>
        <v>788910</v>
      </c>
      <c r="F156" s="150">
        <f t="shared" si="9"/>
        <v>3.7514524270838213E-2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1835378</v>
      </c>
      <c r="D157" s="146">
        <v>1923125</v>
      </c>
      <c r="E157" s="146">
        <f t="shared" si="8"/>
        <v>87747</v>
      </c>
      <c r="F157" s="150">
        <f t="shared" si="9"/>
        <v>4.7808680282753743E-2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424482</v>
      </c>
      <c r="D158" s="146">
        <v>366793</v>
      </c>
      <c r="E158" s="146">
        <f t="shared" si="8"/>
        <v>-57689</v>
      </c>
      <c r="F158" s="150">
        <f t="shared" si="9"/>
        <v>-0.13590446709165524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662649</v>
      </c>
      <c r="D160" s="146">
        <v>698317</v>
      </c>
      <c r="E160" s="146">
        <f t="shared" si="8"/>
        <v>35668</v>
      </c>
      <c r="F160" s="150">
        <f t="shared" si="9"/>
        <v>5.3826384707439383E-2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655045</v>
      </c>
      <c r="D161" s="146">
        <v>700946</v>
      </c>
      <c r="E161" s="146">
        <f t="shared" si="8"/>
        <v>45901</v>
      </c>
      <c r="F161" s="150">
        <f t="shared" si="9"/>
        <v>7.0073048416520997E-2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869053</v>
      </c>
      <c r="D163" s="146">
        <v>944547</v>
      </c>
      <c r="E163" s="146">
        <f t="shared" si="8"/>
        <v>75494</v>
      </c>
      <c r="F163" s="150">
        <f t="shared" si="9"/>
        <v>8.6869270343695959E-2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2922476</v>
      </c>
      <c r="D164" s="146">
        <v>3112617</v>
      </c>
      <c r="E164" s="146">
        <f t="shared" si="8"/>
        <v>190141</v>
      </c>
      <c r="F164" s="150">
        <f t="shared" si="9"/>
        <v>6.5061612139843059E-2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3617500</v>
      </c>
      <c r="D166" s="146">
        <v>3799006</v>
      </c>
      <c r="E166" s="146">
        <f t="shared" si="8"/>
        <v>181506</v>
      </c>
      <c r="F166" s="150">
        <f t="shared" si="9"/>
        <v>5.0174429854872152E-2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97767533</v>
      </c>
      <c r="D167" s="147">
        <f>SUM(D133:D166)</f>
        <v>102180002</v>
      </c>
      <c r="E167" s="147">
        <f t="shared" si="8"/>
        <v>4412469</v>
      </c>
      <c r="F167" s="148">
        <f t="shared" si="9"/>
        <v>4.5132252646694071E-2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22842940</v>
      </c>
      <c r="D170" s="146">
        <v>23992820</v>
      </c>
      <c r="E170" s="146">
        <f t="shared" ref="E170:E183" si="10">D170-C170</f>
        <v>1149880</v>
      </c>
      <c r="F170" s="150">
        <f t="shared" ref="F170:F183" si="11">IF(C170=0,0,E170/C170)</f>
        <v>5.0338529103521698E-2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6858075</v>
      </c>
      <c r="D171" s="146">
        <v>7180584</v>
      </c>
      <c r="E171" s="146">
        <f t="shared" si="10"/>
        <v>322509</v>
      </c>
      <c r="F171" s="150">
        <f t="shared" si="11"/>
        <v>4.7026169880031936E-2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2539198</v>
      </c>
      <c r="D173" s="146">
        <v>2564474</v>
      </c>
      <c r="E173" s="146">
        <f t="shared" si="10"/>
        <v>25276</v>
      </c>
      <c r="F173" s="150">
        <f t="shared" si="11"/>
        <v>9.9543241606207949E-3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4254559</v>
      </c>
      <c r="D175" s="146">
        <v>4502208</v>
      </c>
      <c r="E175" s="146">
        <f t="shared" si="10"/>
        <v>247649</v>
      </c>
      <c r="F175" s="150">
        <f t="shared" si="11"/>
        <v>5.8207912970533494E-2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1044260</v>
      </c>
      <c r="D176" s="146">
        <v>1037117</v>
      </c>
      <c r="E176" s="146">
        <f t="shared" si="10"/>
        <v>-7143</v>
      </c>
      <c r="F176" s="150">
        <f t="shared" si="11"/>
        <v>-6.840250512324517E-3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1093985</v>
      </c>
      <c r="D179" s="146">
        <v>1218834</v>
      </c>
      <c r="E179" s="146">
        <f t="shared" si="10"/>
        <v>124849</v>
      </c>
      <c r="F179" s="150">
        <f t="shared" si="11"/>
        <v>0.1141231369717135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11175906</v>
      </c>
      <c r="D180" s="146">
        <v>11126124</v>
      </c>
      <c r="E180" s="146">
        <f t="shared" si="10"/>
        <v>-49782</v>
      </c>
      <c r="F180" s="150">
        <f t="shared" si="11"/>
        <v>-4.454403965101353E-3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8365878</v>
      </c>
      <c r="D181" s="146">
        <v>8585990</v>
      </c>
      <c r="E181" s="146">
        <f t="shared" si="10"/>
        <v>220112</v>
      </c>
      <c r="F181" s="150">
        <f t="shared" si="11"/>
        <v>2.6310687294268456E-2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151535</v>
      </c>
      <c r="D182" s="146">
        <v>181211</v>
      </c>
      <c r="E182" s="146">
        <f t="shared" si="10"/>
        <v>29676</v>
      </c>
      <c r="F182" s="150">
        <f t="shared" si="11"/>
        <v>0.19583594549114067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58326336</v>
      </c>
      <c r="D183" s="147">
        <f>SUM(D170:D182)</f>
        <v>60389362</v>
      </c>
      <c r="E183" s="147">
        <f t="shared" si="10"/>
        <v>2063026</v>
      </c>
      <c r="F183" s="148">
        <f t="shared" si="11"/>
        <v>3.537040283140707E-2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0</v>
      </c>
      <c r="D186" s="146">
        <v>0</v>
      </c>
      <c r="E186" s="146">
        <f>D186-C186</f>
        <v>0</v>
      </c>
      <c r="F186" s="150">
        <f>IF(C186=0,0,E186/C186)</f>
        <v>0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328515648</v>
      </c>
      <c r="D188" s="147">
        <f>+D186+D183+D167+D130+D121</f>
        <v>334537291</v>
      </c>
      <c r="E188" s="147">
        <f>D188-C188</f>
        <v>6021643</v>
      </c>
      <c r="F188" s="148">
        <f>IF(C188=0,0,E188/C188)</f>
        <v>1.8329851368297682E-2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FILING&amp;RMIDDLESEX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325072710</v>
      </c>
      <c r="D11" s="164">
        <v>336113486</v>
      </c>
      <c r="E11" s="51">
        <v>347835624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9611535</v>
      </c>
      <c r="D12" s="49">
        <v>9543630</v>
      </c>
      <c r="E12" s="49">
        <v>11871399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334684245</v>
      </c>
      <c r="D13" s="51">
        <f>+D11+D12</f>
        <v>345657116</v>
      </c>
      <c r="E13" s="51">
        <f>+E11+E12</f>
        <v>359707023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312521510</v>
      </c>
      <c r="D14" s="49">
        <v>328515648</v>
      </c>
      <c r="E14" s="49">
        <v>334537291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22162735</v>
      </c>
      <c r="D15" s="51">
        <f>+D13-D14</f>
        <v>17141468</v>
      </c>
      <c r="E15" s="51">
        <f>+E13-E14</f>
        <v>25169732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2779040</v>
      </c>
      <c r="D16" s="49">
        <v>4377722</v>
      </c>
      <c r="E16" s="49">
        <v>3903958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24941775</v>
      </c>
      <c r="D17" s="51">
        <f>D15+D16</f>
        <v>21519190</v>
      </c>
      <c r="E17" s="51">
        <f>E15+E16</f>
        <v>29073690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6.5674507376409855E-2</v>
      </c>
      <c r="D20" s="169">
        <f>IF(+D27=0,0,+D24/+D27)</f>
        <v>4.8970748448758691E-2</v>
      </c>
      <c r="E20" s="169">
        <f>IF(+E27=0,0,+E24/+E27)</f>
        <v>6.9221594823067237E-2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8.235088448214448E-3</v>
      </c>
      <c r="D21" s="169">
        <f>IF(D27=0,0,+D26/D27)</f>
        <v>1.2506532278367103E-2</v>
      </c>
      <c r="E21" s="169">
        <f>IF(E27=0,0,+E26/E27)</f>
        <v>1.0736633941206523E-2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7.3909595824624294E-2</v>
      </c>
      <c r="D22" s="169">
        <f>IF(D27=0,0,+D28/D27)</f>
        <v>6.1477280727125792E-2</v>
      </c>
      <c r="E22" s="169">
        <f>IF(E27=0,0,+E28/E27)</f>
        <v>7.9958228764273762E-2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22162735</v>
      </c>
      <c r="D24" s="51">
        <f>+D15</f>
        <v>17141468</v>
      </c>
      <c r="E24" s="51">
        <f>+E15</f>
        <v>25169732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334684245</v>
      </c>
      <c r="D25" s="51">
        <f>+D13</f>
        <v>345657116</v>
      </c>
      <c r="E25" s="51">
        <f>+E13</f>
        <v>359707023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2779040</v>
      </c>
      <c r="D26" s="51">
        <f>+D16</f>
        <v>4377722</v>
      </c>
      <c r="E26" s="51">
        <f>+E16</f>
        <v>3903958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337463285</v>
      </c>
      <c r="D27" s="51">
        <f>+D25+D26</f>
        <v>350034838</v>
      </c>
      <c r="E27" s="51">
        <f>+E25+E26</f>
        <v>363610981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24941775</v>
      </c>
      <c r="D28" s="51">
        <f>+D17</f>
        <v>21519190</v>
      </c>
      <c r="E28" s="51">
        <f>+E17</f>
        <v>29073690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131224000</v>
      </c>
      <c r="D31" s="51">
        <v>124933000</v>
      </c>
      <c r="E31" s="51">
        <v>144992000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144810000</v>
      </c>
      <c r="D32" s="51">
        <v>138072000</v>
      </c>
      <c r="E32" s="51">
        <v>161005000</v>
      </c>
      <c r="F32" s="13"/>
    </row>
    <row r="33" spans="1:6" ht="24" customHeight="1" x14ac:dyDescent="0.2">
      <c r="A33" s="25">
        <v>3</v>
      </c>
      <c r="B33" s="48" t="s">
        <v>331</v>
      </c>
      <c r="C33" s="51">
        <v>6700000</v>
      </c>
      <c r="D33" s="51">
        <f>+D32-C32</f>
        <v>-6738000</v>
      </c>
      <c r="E33" s="51">
        <f>+E32-D32</f>
        <v>22933000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1.0485</v>
      </c>
      <c r="D34" s="171">
        <f>IF(C32=0,0,+D33/C32)</f>
        <v>-4.6529935777915893E-2</v>
      </c>
      <c r="E34" s="171">
        <f>IF(D32=0,0,+E33/D32)</f>
        <v>0.16609450141954923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0.33031011970997298</v>
      </c>
      <c r="D38" s="172">
        <f>IF((D40+D41)=0,0,+D39/(D40+D41))</f>
        <v>0.31490664223429604</v>
      </c>
      <c r="E38" s="172">
        <f>IF((E40+E41)=0,0,+E39/(E40+E41))</f>
        <v>0.29578327056610138</v>
      </c>
      <c r="F38" s="5"/>
    </row>
    <row r="39" spans="1:6" ht="24" customHeight="1" x14ac:dyDescent="0.2">
      <c r="A39" s="21">
        <v>2</v>
      </c>
      <c r="B39" s="48" t="s">
        <v>336</v>
      </c>
      <c r="C39" s="51">
        <v>312521510</v>
      </c>
      <c r="D39" s="51">
        <v>328515648</v>
      </c>
      <c r="E39" s="23">
        <v>334537291</v>
      </c>
      <c r="F39" s="5"/>
    </row>
    <row r="40" spans="1:6" ht="24" customHeight="1" x14ac:dyDescent="0.2">
      <c r="A40" s="21">
        <v>3</v>
      </c>
      <c r="B40" s="48" t="s">
        <v>337</v>
      </c>
      <c r="C40" s="51">
        <v>938143113</v>
      </c>
      <c r="D40" s="51">
        <v>1033672371</v>
      </c>
      <c r="E40" s="23">
        <v>1119150279</v>
      </c>
      <c r="F40" s="5"/>
    </row>
    <row r="41" spans="1:6" ht="24" customHeight="1" x14ac:dyDescent="0.2">
      <c r="A41" s="21">
        <v>4</v>
      </c>
      <c r="B41" s="48" t="s">
        <v>338</v>
      </c>
      <c r="C41" s="51">
        <v>8002619</v>
      </c>
      <c r="D41" s="51">
        <v>9543630</v>
      </c>
      <c r="E41" s="23">
        <v>11871399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1.3917006280127098</v>
      </c>
      <c r="D43" s="173">
        <f>IF(D38=0,0,IF((D46-D47)=0,0,((+D44-D45)/(D46-D47)/D38)))</f>
        <v>1.40306399866279</v>
      </c>
      <c r="E43" s="173">
        <f>IF(E38=0,0,IF((E46-E47)=0,0,((+E44-E45)/(E46-E47)/E38)))</f>
        <v>1.4679564193778316</v>
      </c>
      <c r="F43" s="5"/>
    </row>
    <row r="44" spans="1:6" ht="24" customHeight="1" x14ac:dyDescent="0.2">
      <c r="A44" s="21">
        <v>6</v>
      </c>
      <c r="B44" s="48" t="s">
        <v>340</v>
      </c>
      <c r="C44" s="51">
        <v>181501628</v>
      </c>
      <c r="D44" s="51">
        <v>183105943</v>
      </c>
      <c r="E44" s="23">
        <v>188050908</v>
      </c>
      <c r="F44" s="5"/>
    </row>
    <row r="45" spans="1:6" ht="24" customHeight="1" x14ac:dyDescent="0.2">
      <c r="A45" s="21">
        <v>7</v>
      </c>
      <c r="B45" s="48" t="s">
        <v>341</v>
      </c>
      <c r="C45" s="51">
        <v>6557339</v>
      </c>
      <c r="D45" s="51">
        <v>8137253</v>
      </c>
      <c r="E45" s="23">
        <v>7779487</v>
      </c>
      <c r="F45" s="5"/>
    </row>
    <row r="46" spans="1:6" ht="24" customHeight="1" x14ac:dyDescent="0.2">
      <c r="A46" s="21">
        <v>8</v>
      </c>
      <c r="B46" s="48" t="s">
        <v>342</v>
      </c>
      <c r="C46" s="51">
        <v>401833456</v>
      </c>
      <c r="D46" s="51">
        <v>416222085</v>
      </c>
      <c r="E46" s="23">
        <v>435228054</v>
      </c>
      <c r="F46" s="5"/>
    </row>
    <row r="47" spans="1:6" ht="24" customHeight="1" x14ac:dyDescent="0.2">
      <c r="A47" s="21">
        <v>9</v>
      </c>
      <c r="B47" s="48" t="s">
        <v>343</v>
      </c>
      <c r="C47" s="51">
        <v>21265632</v>
      </c>
      <c r="D47" s="51">
        <v>20216749</v>
      </c>
      <c r="E47" s="174">
        <v>20044528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0.81668339559159497</v>
      </c>
      <c r="D49" s="175">
        <f>IF(D38=0,0,IF(D51=0,0,(D50/D51)/D38))</f>
        <v>0.7615533057453775</v>
      </c>
      <c r="E49" s="175">
        <f>IF(E38=0,0,IF(E51=0,0,(E50/E51)/E38))</f>
        <v>0.77354263771045872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112560921</v>
      </c>
      <c r="D50" s="176">
        <v>114384581</v>
      </c>
      <c r="E50" s="176">
        <v>119065111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417265072</v>
      </c>
      <c r="D51" s="176">
        <v>476963732</v>
      </c>
      <c r="E51" s="176">
        <v>520387262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0.84175886048413018</v>
      </c>
      <c r="D53" s="175">
        <f>IF(D38=0,0,IF(D55=0,0,(D54/D55)/D38))</f>
        <v>0.74749962255055902</v>
      </c>
      <c r="E53" s="175">
        <f>IF(E38=0,0,IF(E55=0,0,(E54/E55)/E38))</f>
        <v>0.65856416789215777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27521859</v>
      </c>
      <c r="D54" s="176">
        <v>32272046</v>
      </c>
      <c r="E54" s="176">
        <v>31082795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98984727</v>
      </c>
      <c r="D55" s="176">
        <v>137098815</v>
      </c>
      <c r="E55" s="176">
        <v>159568940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7061632.9963252116</v>
      </c>
      <c r="D57" s="53">
        <f>+D60*D38</f>
        <v>6432546.3362306384</v>
      </c>
      <c r="E57" s="53">
        <f>+E60*E38</f>
        <v>5829531.5482335556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9520361</v>
      </c>
      <c r="D58" s="51">
        <v>6856094</v>
      </c>
      <c r="E58" s="52">
        <v>7509399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11858436</v>
      </c>
      <c r="D59" s="51">
        <v>13570742</v>
      </c>
      <c r="E59" s="52">
        <v>12199395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21378797</v>
      </c>
      <c r="D60" s="51">
        <v>20426836</v>
      </c>
      <c r="E60" s="52">
        <v>19708794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2.2595670283063755E-2</v>
      </c>
      <c r="D62" s="178">
        <f>IF(D63=0,0,+D57/D63)</f>
        <v>1.9580639081857795E-2</v>
      </c>
      <c r="E62" s="178">
        <f>IF(E63=0,0,+E57/E63)</f>
        <v>1.7425655390488456E-2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312521510</v>
      </c>
      <c r="D63" s="176">
        <v>328515648</v>
      </c>
      <c r="E63" s="176">
        <v>334537291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2.2145083441679878</v>
      </c>
      <c r="D67" s="179">
        <f>IF(D69=0,0,D68/D69)</f>
        <v>1.9710718785280692</v>
      </c>
      <c r="E67" s="179">
        <f>IF(E69=0,0,E68/E69)</f>
        <v>1.7488836882080145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124338000</v>
      </c>
      <c r="D68" s="180">
        <v>120466000</v>
      </c>
      <c r="E68" s="180">
        <v>121808000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56147000</v>
      </c>
      <c r="D69" s="180">
        <v>61117000</v>
      </c>
      <c r="E69" s="180">
        <v>69649000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97.326700869689418</v>
      </c>
      <c r="D71" s="181">
        <f>IF((D77/365)=0,0,+D74/(D77/365))</f>
        <v>79.841550166361273</v>
      </c>
      <c r="E71" s="181">
        <f>IF((E77/365)=0,0,+E74/(E77/365))</f>
        <v>75.725986525109661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50099000</v>
      </c>
      <c r="D72" s="182">
        <v>56459000</v>
      </c>
      <c r="E72" s="182">
        <v>54769000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27573000</v>
      </c>
      <c r="D73" s="184">
        <v>10647000</v>
      </c>
      <c r="E73" s="184">
        <v>10187000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77672000</v>
      </c>
      <c r="D74" s="180">
        <f>+D72+D73</f>
        <v>67106000</v>
      </c>
      <c r="E74" s="180">
        <f>+E72+E73</f>
        <v>64956000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312521510</v>
      </c>
      <c r="D75" s="180">
        <f>+D14</f>
        <v>328515648</v>
      </c>
      <c r="E75" s="180">
        <f>+E14</f>
        <v>334537291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21231661</v>
      </c>
      <c r="D76" s="180">
        <v>21736910</v>
      </c>
      <c r="E76" s="180">
        <v>21448732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291289849</v>
      </c>
      <c r="D77" s="180">
        <f>+D75-D76</f>
        <v>306778738</v>
      </c>
      <c r="E77" s="180">
        <f>+E75-E76</f>
        <v>313088559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43.320861969619038</v>
      </c>
      <c r="D79" s="179">
        <f>IF((D84/365)=0,0,+D83/(D84/365))</f>
        <v>46.428395913872968</v>
      </c>
      <c r="E79" s="179">
        <f>IF((E84/365)=0,0,+E83/(E84/365))</f>
        <v>44.308644476277102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38248000</v>
      </c>
      <c r="D80" s="189">
        <v>42961000</v>
      </c>
      <c r="E80" s="189">
        <v>45169000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334000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207000</v>
      </c>
      <c r="E82" s="190">
        <v>2944000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38582000</v>
      </c>
      <c r="D83" s="191">
        <f>+D80+D81-D82</f>
        <v>42754000</v>
      </c>
      <c r="E83" s="191">
        <f>+E80+E81-E82</f>
        <v>42225000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325072710</v>
      </c>
      <c r="D84" s="191">
        <f>+D11</f>
        <v>336113486</v>
      </c>
      <c r="E84" s="191">
        <f>+E11</f>
        <v>347835624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70.354854693202853</v>
      </c>
      <c r="D86" s="179">
        <f>IF((D90/365)=0,0,+D87/(D90/365))</f>
        <v>72.715942263247726</v>
      </c>
      <c r="E86" s="179">
        <f>IF((E90/365)=0,0,+E87/(E90/365))</f>
        <v>81.197106279440888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56147000</v>
      </c>
      <c r="D87" s="51">
        <f>+D69</f>
        <v>61117000</v>
      </c>
      <c r="E87" s="51">
        <f>+E69</f>
        <v>69649000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312521510</v>
      </c>
      <c r="D88" s="51">
        <f t="shared" si="0"/>
        <v>328515648</v>
      </c>
      <c r="E88" s="51">
        <f t="shared" si="0"/>
        <v>334537291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21231661</v>
      </c>
      <c r="D89" s="52">
        <f t="shared" si="0"/>
        <v>21736910</v>
      </c>
      <c r="E89" s="52">
        <f t="shared" si="0"/>
        <v>21448732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291289849</v>
      </c>
      <c r="D90" s="51">
        <f>+D88-D89</f>
        <v>306778738</v>
      </c>
      <c r="E90" s="51">
        <f>+E88-E89</f>
        <v>313088559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36.912323990334123</v>
      </c>
      <c r="D94" s="192">
        <f>IF(D96=0,0,(D95/D96)*100)</f>
        <v>34.292867326004774</v>
      </c>
      <c r="E94" s="192">
        <f>IF(E96=0,0,(E95/E96)*100)</f>
        <v>36.584977901996204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144810000</v>
      </c>
      <c r="D95" s="51">
        <f>+D32</f>
        <v>138072000</v>
      </c>
      <c r="E95" s="51">
        <f>+E32</f>
        <v>161005000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392308000</v>
      </c>
      <c r="D96" s="51">
        <v>402626000</v>
      </c>
      <c r="E96" s="51">
        <v>440085000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36.86531309631215</v>
      </c>
      <c r="D98" s="192">
        <f>IF(D104=0,0,(D101/D104)*100)</f>
        <v>33.887017422913011</v>
      </c>
      <c r="E98" s="192">
        <f>IF(E104=0,0,(E101/E104)*100)</f>
        <v>37.992210917349098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24941775</v>
      </c>
      <c r="D99" s="51">
        <f>+D28</f>
        <v>21519190</v>
      </c>
      <c r="E99" s="51">
        <f>+E28</f>
        <v>29073690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21231661</v>
      </c>
      <c r="D100" s="52">
        <f>+D76</f>
        <v>21736910</v>
      </c>
      <c r="E100" s="52">
        <f>+E76</f>
        <v>21448732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46173436</v>
      </c>
      <c r="D101" s="51">
        <f>+D99+D100</f>
        <v>43256100</v>
      </c>
      <c r="E101" s="51">
        <f>+E99+E100</f>
        <v>50522422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56147000</v>
      </c>
      <c r="D102" s="180">
        <f>+D69</f>
        <v>61117000</v>
      </c>
      <c r="E102" s="180">
        <f>+E69</f>
        <v>69649000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69102000</v>
      </c>
      <c r="D103" s="194">
        <v>66531000</v>
      </c>
      <c r="E103" s="194">
        <v>63332000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125249000</v>
      </c>
      <c r="D104" s="180">
        <f>+D102+D103</f>
        <v>127648000</v>
      </c>
      <c r="E104" s="180">
        <f>+E102+E103</f>
        <v>132981000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32.303938067990572</v>
      </c>
      <c r="D106" s="197">
        <f>IF(D109=0,0,(D107/D109)*100)</f>
        <v>32.517118517323794</v>
      </c>
      <c r="E106" s="197">
        <f>IF(E109=0,0,(E107/E109)*100)</f>
        <v>28.230742142401834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69102000</v>
      </c>
      <c r="D107" s="180">
        <f>+D103</f>
        <v>66531000</v>
      </c>
      <c r="E107" s="180">
        <f>+E103</f>
        <v>63332000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144810000</v>
      </c>
      <c r="D108" s="180">
        <f>+D32</f>
        <v>138072000</v>
      </c>
      <c r="E108" s="180">
        <f>+E32</f>
        <v>161005000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213912000</v>
      </c>
      <c r="D109" s="180">
        <f>+D107+D108</f>
        <v>204603000</v>
      </c>
      <c r="E109" s="180">
        <f>+E107+E108</f>
        <v>224337000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4.6954155371741537</v>
      </c>
      <c r="D111" s="197">
        <f>IF((+D113+D115)=0,0,((+D112+D113+D114)/(+D113+D115)))</f>
        <v>6.9930415982126046</v>
      </c>
      <c r="E111" s="197">
        <f>IF((+E113+E115)=0,0,((+E112+E113+E114)/(+E113+E115)))</f>
        <v>6.9773914550446836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24941775</v>
      </c>
      <c r="D112" s="180">
        <f>+D17</f>
        <v>21519190</v>
      </c>
      <c r="E112" s="180">
        <f>+E17</f>
        <v>29073690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3718716</v>
      </c>
      <c r="D113" s="180">
        <v>3242228</v>
      </c>
      <c r="E113" s="180">
        <v>3106032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21231661</v>
      </c>
      <c r="D114" s="180">
        <v>21736910</v>
      </c>
      <c r="E114" s="180">
        <v>21448732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6907000</v>
      </c>
      <c r="D115" s="180">
        <v>3407000</v>
      </c>
      <c r="E115" s="180">
        <v>4580000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11.158382756770655</v>
      </c>
      <c r="D119" s="197">
        <f>IF(+D121=0,0,(+D120)/(+D121))</f>
        <v>11.881863613549488</v>
      </c>
      <c r="E119" s="197">
        <f>IF(+E121=0,0,(+E120)/(+E121))</f>
        <v>9.6996876085728516</v>
      </c>
    </row>
    <row r="120" spans="1:8" ht="24" customHeight="1" x14ac:dyDescent="0.25">
      <c r="A120" s="17">
        <v>21</v>
      </c>
      <c r="B120" s="48" t="s">
        <v>381</v>
      </c>
      <c r="C120" s="180">
        <v>236911000</v>
      </c>
      <c r="D120" s="180">
        <v>258275000</v>
      </c>
      <c r="E120" s="180">
        <v>208046000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21231661</v>
      </c>
      <c r="D121" s="180">
        <v>21736910</v>
      </c>
      <c r="E121" s="180">
        <v>21448732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57829</v>
      </c>
      <c r="D124" s="198">
        <v>59935</v>
      </c>
      <c r="E124" s="198">
        <v>59473</v>
      </c>
    </row>
    <row r="125" spans="1:8" ht="24" customHeight="1" x14ac:dyDescent="0.2">
      <c r="A125" s="44">
        <v>2</v>
      </c>
      <c r="B125" s="48" t="s">
        <v>385</v>
      </c>
      <c r="C125" s="198">
        <v>13918</v>
      </c>
      <c r="D125" s="198">
        <v>13855</v>
      </c>
      <c r="E125" s="198">
        <v>14158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4.1549791636729418</v>
      </c>
      <c r="D126" s="199">
        <f>IF(D125=0,0,D124/D125)</f>
        <v>4.3258751353302056</v>
      </c>
      <c r="E126" s="199">
        <f>IF(E125=0,0,E124/E125)</f>
        <v>4.2006639355841218</v>
      </c>
    </row>
    <row r="127" spans="1:8" ht="24" customHeight="1" x14ac:dyDescent="0.2">
      <c r="A127" s="44">
        <v>4</v>
      </c>
      <c r="B127" s="48" t="s">
        <v>387</v>
      </c>
      <c r="C127" s="198">
        <v>178</v>
      </c>
      <c r="D127" s="198">
        <v>183</v>
      </c>
      <c r="E127" s="198">
        <v>183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248</v>
      </c>
      <c r="E128" s="198">
        <v>260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297</v>
      </c>
      <c r="D129" s="198">
        <v>297</v>
      </c>
      <c r="E129" s="198">
        <v>297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0.89</v>
      </c>
      <c r="D130" s="171">
        <v>0.8972</v>
      </c>
      <c r="E130" s="171">
        <v>0.89029999999999998</v>
      </c>
    </row>
    <row r="131" spans="1:8" ht="24" customHeight="1" x14ac:dyDescent="0.2">
      <c r="A131" s="44">
        <v>7</v>
      </c>
      <c r="B131" s="48" t="s">
        <v>391</v>
      </c>
      <c r="C131" s="171">
        <v>0.74029999999999996</v>
      </c>
      <c r="D131" s="171">
        <v>0.66210000000000002</v>
      </c>
      <c r="E131" s="171">
        <v>0.62660000000000005</v>
      </c>
    </row>
    <row r="132" spans="1:8" ht="24" customHeight="1" x14ac:dyDescent="0.2">
      <c r="A132" s="44">
        <v>8</v>
      </c>
      <c r="B132" s="48" t="s">
        <v>392</v>
      </c>
      <c r="C132" s="199">
        <v>2021</v>
      </c>
      <c r="D132" s="199">
        <v>2056.6</v>
      </c>
      <c r="E132" s="199">
        <v>2080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0.405660734195466</v>
      </c>
      <c r="D135" s="203">
        <f>IF(D149=0,0,D143/D149)</f>
        <v>0.38310527311172565</v>
      </c>
      <c r="E135" s="203">
        <f>IF(E149=0,0,E143/E149)</f>
        <v>0.37098103247669384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0.4447776317044711</v>
      </c>
      <c r="D136" s="203">
        <f>IF(D149=0,0,D144/D149)</f>
        <v>0.46142641070939489</v>
      </c>
      <c r="E136" s="203">
        <f>IF(E149=0,0,E144/E149)</f>
        <v>0.46498425793628384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0.1055113293785913</v>
      </c>
      <c r="D137" s="203">
        <f>IF(D149=0,0,D145/D149)</f>
        <v>0.13263275564516369</v>
      </c>
      <c r="E137" s="203">
        <f>IF(E149=0,0,E145/E149)</f>
        <v>0.14258044070951797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1.8360658156854157E-2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2.266779098553165E-2</v>
      </c>
      <c r="D139" s="203">
        <f>IF(D149=0,0,D147/D149)</f>
        <v>1.9558178749076772E-2</v>
      </c>
      <c r="E139" s="203">
        <f>IF(E149=0,0,E147/E149)</f>
        <v>1.7910488319683473E-2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3.0218555790858317E-3</v>
      </c>
      <c r="D140" s="203">
        <f>IF(D149=0,0,D148/D149)</f>
        <v>3.2773817846389938E-3</v>
      </c>
      <c r="E140" s="203">
        <f>IF(E149=0,0,E148/E149)</f>
        <v>3.5437805578208679E-3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380567824</v>
      </c>
      <c r="D143" s="205">
        <f>+D46-D147</f>
        <v>396005336</v>
      </c>
      <c r="E143" s="205">
        <f>+E46-E147</f>
        <v>415183526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417265072</v>
      </c>
      <c r="D144" s="205">
        <f>+D51</f>
        <v>476963732</v>
      </c>
      <c r="E144" s="205">
        <f>+E51</f>
        <v>520387262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98984727</v>
      </c>
      <c r="D145" s="205">
        <f>+D55</f>
        <v>137098815</v>
      </c>
      <c r="E145" s="205">
        <f>+E55</f>
        <v>159568940</v>
      </c>
    </row>
    <row r="146" spans="1:7" ht="20.100000000000001" customHeight="1" x14ac:dyDescent="0.2">
      <c r="A146" s="202">
        <v>11</v>
      </c>
      <c r="B146" s="201" t="s">
        <v>404</v>
      </c>
      <c r="C146" s="204">
        <v>17224925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21265632</v>
      </c>
      <c r="D147" s="205">
        <f>+D47</f>
        <v>20216749</v>
      </c>
      <c r="E147" s="205">
        <f>+E47</f>
        <v>20044528</v>
      </c>
    </row>
    <row r="148" spans="1:7" ht="20.100000000000001" customHeight="1" x14ac:dyDescent="0.2">
      <c r="A148" s="202">
        <v>13</v>
      </c>
      <c r="B148" s="201" t="s">
        <v>406</v>
      </c>
      <c r="C148" s="206">
        <v>2834933</v>
      </c>
      <c r="D148" s="205">
        <v>3387739</v>
      </c>
      <c r="E148" s="205">
        <v>3966023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938143113</v>
      </c>
      <c r="D149" s="205">
        <f>SUM(D143:D148)</f>
        <v>1033672371</v>
      </c>
      <c r="E149" s="205">
        <f>SUM(E143:E148)</f>
        <v>1119150279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0.54293756363955026</v>
      </c>
      <c r="D152" s="203">
        <f>IF(D166=0,0,D160/D166)</f>
        <v>0.52932676630853015</v>
      </c>
      <c r="E152" s="203">
        <f>IF(E166=0,0,E160/E166)</f>
        <v>0.5311823880013401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0.34933150752216835</v>
      </c>
      <c r="D153" s="203">
        <f>IF(D166=0,0,D161/D166)</f>
        <v>0.34604374289072026</v>
      </c>
      <c r="E153" s="203">
        <f>IF(E166=0,0,E161/E166)</f>
        <v>0.3508337019689029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8.541376890726185E-2</v>
      </c>
      <c r="D154" s="203">
        <f>IF(D166=0,0,D162/D166)</f>
        <v>9.763151196559873E-2</v>
      </c>
      <c r="E154" s="203">
        <f>IF(E166=0,0,E162/E166)</f>
        <v>9.1587635922923766E-2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0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2.0350625224574235E-2</v>
      </c>
      <c r="D156" s="203">
        <f>IF(D166=0,0,D164/D166)</f>
        <v>2.461735192236043E-2</v>
      </c>
      <c r="E156" s="203">
        <f>IF(E166=0,0,E164/E166)</f>
        <v>2.2922804175850929E-2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1.9665347064452728E-3</v>
      </c>
      <c r="D157" s="203">
        <f>IF(D166=0,0,D165/D166)</f>
        <v>2.38062691279038E-3</v>
      </c>
      <c r="E157" s="203">
        <f>IF(E166=0,0,E165/E166)</f>
        <v>3.4734699309823696E-3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0.99999999999999989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174944289</v>
      </c>
      <c r="D160" s="208">
        <f>+D44-D164</f>
        <v>174968690</v>
      </c>
      <c r="E160" s="208">
        <f>+E44-E164</f>
        <v>180271421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112560921</v>
      </c>
      <c r="D161" s="208">
        <f>+D50</f>
        <v>114384581</v>
      </c>
      <c r="E161" s="208">
        <f>+E50</f>
        <v>119065111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27521859</v>
      </c>
      <c r="D162" s="208">
        <f>+D54</f>
        <v>32272046</v>
      </c>
      <c r="E162" s="208">
        <f>+E54</f>
        <v>31082795</v>
      </c>
    </row>
    <row r="163" spans="1:6" ht="20.100000000000001" customHeight="1" x14ac:dyDescent="0.2">
      <c r="A163" s="202">
        <v>11</v>
      </c>
      <c r="B163" s="201" t="s">
        <v>420</v>
      </c>
      <c r="C163" s="207">
        <v>0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6557339</v>
      </c>
      <c r="D164" s="208">
        <f>+D45</f>
        <v>8137253</v>
      </c>
      <c r="E164" s="208">
        <f>+E45</f>
        <v>7779487</v>
      </c>
    </row>
    <row r="165" spans="1:6" ht="20.100000000000001" customHeight="1" x14ac:dyDescent="0.2">
      <c r="A165" s="202">
        <v>13</v>
      </c>
      <c r="B165" s="201" t="s">
        <v>422</v>
      </c>
      <c r="C165" s="209">
        <v>633653</v>
      </c>
      <c r="D165" s="208">
        <v>786915</v>
      </c>
      <c r="E165" s="208">
        <v>1178818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322218061</v>
      </c>
      <c r="D166" s="208">
        <f>SUM(D160:D165)</f>
        <v>330549485</v>
      </c>
      <c r="E166" s="208">
        <f>SUM(E160:E165)</f>
        <v>339377632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4717</v>
      </c>
      <c r="D169" s="198">
        <v>4406</v>
      </c>
      <c r="E169" s="198">
        <v>4421</v>
      </c>
    </row>
    <row r="170" spans="1:6" ht="20.100000000000001" customHeight="1" x14ac:dyDescent="0.2">
      <c r="A170" s="202">
        <v>2</v>
      </c>
      <c r="B170" s="201" t="s">
        <v>426</v>
      </c>
      <c r="C170" s="198">
        <v>7204</v>
      </c>
      <c r="D170" s="198">
        <v>7373</v>
      </c>
      <c r="E170" s="198">
        <v>7537</v>
      </c>
    </row>
    <row r="171" spans="1:6" ht="20.100000000000001" customHeight="1" x14ac:dyDescent="0.2">
      <c r="A171" s="202">
        <v>3</v>
      </c>
      <c r="B171" s="201" t="s">
        <v>427</v>
      </c>
      <c r="C171" s="198">
        <v>1954</v>
      </c>
      <c r="D171" s="198">
        <v>2028</v>
      </c>
      <c r="E171" s="198">
        <v>2138</v>
      </c>
    </row>
    <row r="172" spans="1:6" ht="20.100000000000001" customHeight="1" x14ac:dyDescent="0.2">
      <c r="A172" s="202">
        <v>4</v>
      </c>
      <c r="B172" s="201" t="s">
        <v>428</v>
      </c>
      <c r="C172" s="198">
        <v>1665</v>
      </c>
      <c r="D172" s="198">
        <v>2028</v>
      </c>
      <c r="E172" s="198">
        <v>2138</v>
      </c>
    </row>
    <row r="173" spans="1:6" ht="20.100000000000001" customHeight="1" x14ac:dyDescent="0.2">
      <c r="A173" s="202">
        <v>5</v>
      </c>
      <c r="B173" s="201" t="s">
        <v>429</v>
      </c>
      <c r="C173" s="198">
        <v>289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43</v>
      </c>
      <c r="D174" s="198">
        <v>48</v>
      </c>
      <c r="E174" s="198">
        <v>62</v>
      </c>
    </row>
    <row r="175" spans="1:6" ht="20.100000000000001" customHeight="1" x14ac:dyDescent="0.2">
      <c r="A175" s="202">
        <v>7</v>
      </c>
      <c r="B175" s="201" t="s">
        <v>431</v>
      </c>
      <c r="C175" s="198">
        <v>242</v>
      </c>
      <c r="D175" s="198">
        <v>201</v>
      </c>
      <c r="E175" s="198">
        <v>182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13918</v>
      </c>
      <c r="D176" s="198">
        <f>+D169+D170+D171+D174</f>
        <v>13855</v>
      </c>
      <c r="E176" s="198">
        <f>+E169+E170+E171+E174</f>
        <v>14158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1.06819</v>
      </c>
      <c r="D179" s="210">
        <v>1.1259999999999999</v>
      </c>
      <c r="E179" s="210">
        <v>1.1101000000000001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1.3468100000000001</v>
      </c>
      <c r="D180" s="210">
        <v>1.3360000000000001</v>
      </c>
      <c r="E180" s="210">
        <v>1.38656</v>
      </c>
    </row>
    <row r="181" spans="1:6" ht="20.100000000000001" customHeight="1" x14ac:dyDescent="0.2">
      <c r="A181" s="202">
        <v>3</v>
      </c>
      <c r="B181" s="201" t="s">
        <v>427</v>
      </c>
      <c r="C181" s="210">
        <v>0.87055199999999999</v>
      </c>
      <c r="D181" s="210">
        <v>0.96599999999999997</v>
      </c>
      <c r="E181" s="210">
        <v>0.95591000000000004</v>
      </c>
    </row>
    <row r="182" spans="1:6" ht="20.100000000000001" customHeight="1" x14ac:dyDescent="0.2">
      <c r="A182" s="202">
        <v>4</v>
      </c>
      <c r="B182" s="201" t="s">
        <v>428</v>
      </c>
      <c r="C182" s="210">
        <v>0.83089000000000002</v>
      </c>
      <c r="D182" s="210">
        <v>0.96599999999999997</v>
      </c>
      <c r="E182" s="210">
        <v>0.95591000000000004</v>
      </c>
    </row>
    <row r="183" spans="1:6" ht="20.100000000000001" customHeight="1" x14ac:dyDescent="0.2">
      <c r="A183" s="202">
        <v>5</v>
      </c>
      <c r="B183" s="201" t="s">
        <v>429</v>
      </c>
      <c r="C183" s="210">
        <v>1.0990599999999999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0.81688000000000005</v>
      </c>
      <c r="D184" s="210">
        <v>0.876</v>
      </c>
      <c r="E184" s="210">
        <v>0.79674999999999996</v>
      </c>
    </row>
    <row r="185" spans="1:6" ht="20.100000000000001" customHeight="1" x14ac:dyDescent="0.2">
      <c r="A185" s="202">
        <v>7</v>
      </c>
      <c r="B185" s="201" t="s">
        <v>431</v>
      </c>
      <c r="C185" s="210">
        <v>1.0543800000000001</v>
      </c>
      <c r="D185" s="210">
        <v>1.08</v>
      </c>
      <c r="E185" s="210">
        <v>1.03321</v>
      </c>
    </row>
    <row r="186" spans="1:6" ht="20.100000000000001" customHeight="1" x14ac:dyDescent="0.2">
      <c r="A186" s="202">
        <v>8</v>
      </c>
      <c r="B186" s="201" t="s">
        <v>435</v>
      </c>
      <c r="C186" s="210">
        <v>1.183881</v>
      </c>
      <c r="D186" s="210">
        <v>1.2134659999999999</v>
      </c>
      <c r="E186" s="210">
        <v>1.2326159999999999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8487</v>
      </c>
      <c r="D189" s="198">
        <v>8487</v>
      </c>
      <c r="E189" s="198">
        <v>8809</v>
      </c>
    </row>
    <row r="190" spans="1:6" ht="20.100000000000001" customHeight="1" x14ac:dyDescent="0.2">
      <c r="A190" s="202">
        <v>2</v>
      </c>
      <c r="B190" s="201" t="s">
        <v>439</v>
      </c>
      <c r="C190" s="198">
        <v>85981</v>
      </c>
      <c r="D190" s="198">
        <v>86806</v>
      </c>
      <c r="E190" s="198">
        <v>85082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94468</v>
      </c>
      <c r="D191" s="198">
        <f>+D190+D189</f>
        <v>95293</v>
      </c>
      <c r="E191" s="198">
        <f>+E190+E189</f>
        <v>93891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FILING&amp;RMIDDLESEX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0</v>
      </c>
      <c r="D40" s="237">
        <v>4954853</v>
      </c>
      <c r="E40" s="237">
        <f t="shared" ref="E40:E50" si="4">D40-C40</f>
        <v>4954853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447</v>
      </c>
      <c r="C41" s="237">
        <v>0</v>
      </c>
      <c r="D41" s="237">
        <v>1216173</v>
      </c>
      <c r="E41" s="237">
        <f t="shared" si="4"/>
        <v>1216173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448</v>
      </c>
      <c r="C42" s="237">
        <v>0</v>
      </c>
      <c r="D42" s="237">
        <v>5479545</v>
      </c>
      <c r="E42" s="237">
        <f t="shared" si="4"/>
        <v>5479545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449</v>
      </c>
      <c r="C43" s="237">
        <v>0</v>
      </c>
      <c r="D43" s="237">
        <v>1138534</v>
      </c>
      <c r="E43" s="237">
        <f t="shared" si="4"/>
        <v>1138534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385</v>
      </c>
      <c r="C44" s="239">
        <v>0</v>
      </c>
      <c r="D44" s="239">
        <v>120</v>
      </c>
      <c r="E44" s="239">
        <f t="shared" si="4"/>
        <v>120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384</v>
      </c>
      <c r="C45" s="239">
        <v>0</v>
      </c>
      <c r="D45" s="239">
        <v>455</v>
      </c>
      <c r="E45" s="239">
        <f t="shared" si="4"/>
        <v>455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450</v>
      </c>
      <c r="C46" s="239">
        <v>0</v>
      </c>
      <c r="D46" s="239">
        <v>5201</v>
      </c>
      <c r="E46" s="239">
        <f t="shared" si="4"/>
        <v>5201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451</v>
      </c>
      <c r="C47" s="239">
        <v>0</v>
      </c>
      <c r="D47" s="239">
        <v>429</v>
      </c>
      <c r="E47" s="239">
        <f t="shared" si="4"/>
        <v>429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452</v>
      </c>
      <c r="C48" s="239">
        <v>0</v>
      </c>
      <c r="D48" s="239">
        <v>100</v>
      </c>
      <c r="E48" s="239">
        <f t="shared" si="4"/>
        <v>100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0</v>
      </c>
      <c r="D49" s="243">
        <f>+D40+D42</f>
        <v>10434398</v>
      </c>
      <c r="E49" s="243">
        <f t="shared" si="4"/>
        <v>10434398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0</v>
      </c>
      <c r="D50" s="243">
        <f>+D41+D43</f>
        <v>2354707</v>
      </c>
      <c r="E50" s="243">
        <f t="shared" si="4"/>
        <v>2354707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6505253</v>
      </c>
      <c r="D53" s="237">
        <v>0</v>
      </c>
      <c r="E53" s="237">
        <f t="shared" ref="E53:E63" si="6">D53-C53</f>
        <v>-6505253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1707890</v>
      </c>
      <c r="D54" s="237">
        <v>0</v>
      </c>
      <c r="E54" s="237">
        <f t="shared" si="6"/>
        <v>-1707890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5380032</v>
      </c>
      <c r="D55" s="237">
        <v>0</v>
      </c>
      <c r="E55" s="237">
        <f t="shared" si="6"/>
        <v>-5380032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1047232</v>
      </c>
      <c r="D56" s="237">
        <v>0</v>
      </c>
      <c r="E56" s="237">
        <f t="shared" si="6"/>
        <v>-1047232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134</v>
      </c>
      <c r="D57" s="239">
        <v>0</v>
      </c>
      <c r="E57" s="239">
        <f t="shared" si="6"/>
        <v>-134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679</v>
      </c>
      <c r="D58" s="239">
        <v>0</v>
      </c>
      <c r="E58" s="239">
        <f t="shared" si="6"/>
        <v>-679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5621</v>
      </c>
      <c r="D59" s="239">
        <v>0</v>
      </c>
      <c r="E59" s="239">
        <f t="shared" si="6"/>
        <v>-5621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464</v>
      </c>
      <c r="D60" s="239">
        <v>0</v>
      </c>
      <c r="E60" s="239">
        <f t="shared" si="6"/>
        <v>-464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104</v>
      </c>
      <c r="D61" s="239">
        <v>0</v>
      </c>
      <c r="E61" s="239">
        <f t="shared" si="6"/>
        <v>-104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11885285</v>
      </c>
      <c r="D62" s="243">
        <f>+D53+D55</f>
        <v>0</v>
      </c>
      <c r="E62" s="243">
        <f t="shared" si="6"/>
        <v>-11885285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2755122</v>
      </c>
      <c r="D63" s="243">
        <f>+D54+D56</f>
        <v>0</v>
      </c>
      <c r="E63" s="243">
        <f t="shared" si="6"/>
        <v>-2755122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30143433</v>
      </c>
      <c r="D66" s="237">
        <v>39958207</v>
      </c>
      <c r="E66" s="237">
        <f t="shared" ref="E66:E76" si="8">D66-C66</f>
        <v>9814774</v>
      </c>
      <c r="F66" s="238">
        <f t="shared" ref="F66:F76" si="9">IF(C66=0,0,E66/C66)</f>
        <v>0.32560239571916044</v>
      </c>
    </row>
    <row r="67" spans="1:6" ht="20.25" customHeight="1" x14ac:dyDescent="0.3">
      <c r="A67" s="235">
        <v>2</v>
      </c>
      <c r="B67" s="236" t="s">
        <v>447</v>
      </c>
      <c r="C67" s="237">
        <v>7913862</v>
      </c>
      <c r="D67" s="237">
        <v>9807781</v>
      </c>
      <c r="E67" s="237">
        <f t="shared" si="8"/>
        <v>1893919</v>
      </c>
      <c r="F67" s="238">
        <f t="shared" si="9"/>
        <v>0.23931665727807738</v>
      </c>
    </row>
    <row r="68" spans="1:6" ht="20.25" customHeight="1" x14ac:dyDescent="0.3">
      <c r="A68" s="235">
        <v>3</v>
      </c>
      <c r="B68" s="236" t="s">
        <v>448</v>
      </c>
      <c r="C68" s="237">
        <v>25510872</v>
      </c>
      <c r="D68" s="237">
        <v>34474638</v>
      </c>
      <c r="E68" s="237">
        <f t="shared" si="8"/>
        <v>8963766</v>
      </c>
      <c r="F68" s="238">
        <f t="shared" si="9"/>
        <v>0.35137042747891956</v>
      </c>
    </row>
    <row r="69" spans="1:6" ht="20.25" customHeight="1" x14ac:dyDescent="0.3">
      <c r="A69" s="235">
        <v>4</v>
      </c>
      <c r="B69" s="236" t="s">
        <v>449</v>
      </c>
      <c r="C69" s="237">
        <v>4965735</v>
      </c>
      <c r="D69" s="237">
        <v>7163104</v>
      </c>
      <c r="E69" s="237">
        <f t="shared" si="8"/>
        <v>2197369</v>
      </c>
      <c r="F69" s="238">
        <f t="shared" si="9"/>
        <v>0.44250629564404864</v>
      </c>
    </row>
    <row r="70" spans="1:6" ht="20.25" customHeight="1" x14ac:dyDescent="0.3">
      <c r="A70" s="235">
        <v>5</v>
      </c>
      <c r="B70" s="236" t="s">
        <v>385</v>
      </c>
      <c r="C70" s="239">
        <v>793</v>
      </c>
      <c r="D70" s="239">
        <v>950</v>
      </c>
      <c r="E70" s="239">
        <f t="shared" si="8"/>
        <v>157</v>
      </c>
      <c r="F70" s="238">
        <f t="shared" si="9"/>
        <v>0.19798234552332913</v>
      </c>
    </row>
    <row r="71" spans="1:6" ht="20.25" customHeight="1" x14ac:dyDescent="0.3">
      <c r="A71" s="235">
        <v>6</v>
      </c>
      <c r="B71" s="236" t="s">
        <v>384</v>
      </c>
      <c r="C71" s="239">
        <v>3527</v>
      </c>
      <c r="D71" s="239">
        <v>4245</v>
      </c>
      <c r="E71" s="239">
        <f t="shared" si="8"/>
        <v>718</v>
      </c>
      <c r="F71" s="238">
        <f t="shared" si="9"/>
        <v>0.20357244116813156</v>
      </c>
    </row>
    <row r="72" spans="1:6" ht="20.25" customHeight="1" x14ac:dyDescent="0.3">
      <c r="A72" s="235">
        <v>7</v>
      </c>
      <c r="B72" s="236" t="s">
        <v>450</v>
      </c>
      <c r="C72" s="239">
        <v>26655</v>
      </c>
      <c r="D72" s="239">
        <v>32719</v>
      </c>
      <c r="E72" s="239">
        <f t="shared" si="8"/>
        <v>6064</v>
      </c>
      <c r="F72" s="238">
        <f t="shared" si="9"/>
        <v>0.22749953104483212</v>
      </c>
    </row>
    <row r="73" spans="1:6" ht="20.25" customHeight="1" x14ac:dyDescent="0.3">
      <c r="A73" s="235">
        <v>8</v>
      </c>
      <c r="B73" s="236" t="s">
        <v>451</v>
      </c>
      <c r="C73" s="239">
        <v>2199</v>
      </c>
      <c r="D73" s="239">
        <v>2700</v>
      </c>
      <c r="E73" s="239">
        <f t="shared" si="8"/>
        <v>501</v>
      </c>
      <c r="F73" s="238">
        <f t="shared" si="9"/>
        <v>0.22783083219645292</v>
      </c>
    </row>
    <row r="74" spans="1:6" ht="20.25" customHeight="1" x14ac:dyDescent="0.3">
      <c r="A74" s="235">
        <v>9</v>
      </c>
      <c r="B74" s="236" t="s">
        <v>452</v>
      </c>
      <c r="C74" s="239">
        <v>665</v>
      </c>
      <c r="D74" s="239">
        <v>810</v>
      </c>
      <c r="E74" s="239">
        <f t="shared" si="8"/>
        <v>145</v>
      </c>
      <c r="F74" s="238">
        <f t="shared" si="9"/>
        <v>0.21804511278195488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55654305</v>
      </c>
      <c r="D75" s="243">
        <f>+D66+D68</f>
        <v>74432845</v>
      </c>
      <c r="E75" s="243">
        <f t="shared" si="8"/>
        <v>18778540</v>
      </c>
      <c r="F75" s="244">
        <f t="shared" si="9"/>
        <v>0.33741397004238938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12879597</v>
      </c>
      <c r="D76" s="243">
        <f>+D67+D69</f>
        <v>16970885</v>
      </c>
      <c r="E76" s="243">
        <f t="shared" si="8"/>
        <v>4091288</v>
      </c>
      <c r="F76" s="244">
        <f t="shared" si="9"/>
        <v>0.31765652294866059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447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448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449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385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384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450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451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447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448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449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385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384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450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451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452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449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36648686</v>
      </c>
      <c r="D198" s="243">
        <f t="shared" si="28"/>
        <v>44913060</v>
      </c>
      <c r="E198" s="243">
        <f t="shared" ref="E198:E208" si="29">D198-C198</f>
        <v>8264374</v>
      </c>
      <c r="F198" s="251">
        <f t="shared" ref="F198:F208" si="30">IF(C198=0,0,E198/C198)</f>
        <v>0.2255026005570841</v>
      </c>
    </row>
    <row r="199" spans="1:9" ht="20.25" customHeight="1" x14ac:dyDescent="0.3">
      <c r="A199" s="249"/>
      <c r="B199" s="250" t="s">
        <v>473</v>
      </c>
      <c r="C199" s="243">
        <f t="shared" si="28"/>
        <v>9621752</v>
      </c>
      <c r="D199" s="243">
        <f t="shared" si="28"/>
        <v>11023954</v>
      </c>
      <c r="E199" s="243">
        <f t="shared" si="29"/>
        <v>1402202</v>
      </c>
      <c r="F199" s="251">
        <f t="shared" si="30"/>
        <v>0.14573250277080516</v>
      </c>
    </row>
    <row r="200" spans="1:9" ht="20.25" customHeight="1" x14ac:dyDescent="0.3">
      <c r="A200" s="249"/>
      <c r="B200" s="250" t="s">
        <v>474</v>
      </c>
      <c r="C200" s="243">
        <f t="shared" si="28"/>
        <v>30890904</v>
      </c>
      <c r="D200" s="243">
        <f t="shared" si="28"/>
        <v>39954183</v>
      </c>
      <c r="E200" s="243">
        <f t="shared" si="29"/>
        <v>9063279</v>
      </c>
      <c r="F200" s="251">
        <f t="shared" si="30"/>
        <v>0.29339636677515168</v>
      </c>
    </row>
    <row r="201" spans="1:9" ht="20.25" customHeight="1" x14ac:dyDescent="0.3">
      <c r="A201" s="249"/>
      <c r="B201" s="250" t="s">
        <v>475</v>
      </c>
      <c r="C201" s="243">
        <f t="shared" si="28"/>
        <v>6012967</v>
      </c>
      <c r="D201" s="243">
        <f t="shared" si="28"/>
        <v>8301638</v>
      </c>
      <c r="E201" s="243">
        <f t="shared" si="29"/>
        <v>2288671</v>
      </c>
      <c r="F201" s="251">
        <f t="shared" si="30"/>
        <v>0.38062257783886061</v>
      </c>
    </row>
    <row r="202" spans="1:9" ht="20.25" customHeight="1" x14ac:dyDescent="0.3">
      <c r="A202" s="249"/>
      <c r="B202" s="250" t="s">
        <v>476</v>
      </c>
      <c r="C202" s="252">
        <f t="shared" si="28"/>
        <v>927</v>
      </c>
      <c r="D202" s="252">
        <f t="shared" si="28"/>
        <v>1070</v>
      </c>
      <c r="E202" s="252">
        <f t="shared" si="29"/>
        <v>143</v>
      </c>
      <c r="F202" s="251">
        <f t="shared" si="30"/>
        <v>0.15426105717367852</v>
      </c>
    </row>
    <row r="203" spans="1:9" ht="20.25" customHeight="1" x14ac:dyDescent="0.3">
      <c r="A203" s="249"/>
      <c r="B203" s="250" t="s">
        <v>477</v>
      </c>
      <c r="C203" s="252">
        <f t="shared" si="28"/>
        <v>4206</v>
      </c>
      <c r="D203" s="252">
        <f t="shared" si="28"/>
        <v>4700</v>
      </c>
      <c r="E203" s="252">
        <f t="shared" si="29"/>
        <v>494</v>
      </c>
      <c r="F203" s="251">
        <f t="shared" si="30"/>
        <v>0.11745126010461246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32276</v>
      </c>
      <c r="D204" s="252">
        <f t="shared" si="28"/>
        <v>37920</v>
      </c>
      <c r="E204" s="252">
        <f t="shared" si="29"/>
        <v>5644</v>
      </c>
      <c r="F204" s="251">
        <f t="shared" si="30"/>
        <v>0.17486677407361506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2663</v>
      </c>
      <c r="D205" s="252">
        <f t="shared" si="28"/>
        <v>3129</v>
      </c>
      <c r="E205" s="252">
        <f t="shared" si="29"/>
        <v>466</v>
      </c>
      <c r="F205" s="251">
        <f t="shared" si="30"/>
        <v>0.17499061209162597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769</v>
      </c>
      <c r="D206" s="252">
        <f t="shared" si="28"/>
        <v>910</v>
      </c>
      <c r="E206" s="252">
        <f t="shared" si="29"/>
        <v>141</v>
      </c>
      <c r="F206" s="251">
        <f t="shared" si="30"/>
        <v>0.18335500650195058</v>
      </c>
    </row>
    <row r="207" spans="1:9" ht="20.25" customHeight="1" x14ac:dyDescent="0.3">
      <c r="A207" s="249"/>
      <c r="B207" s="242" t="s">
        <v>481</v>
      </c>
      <c r="C207" s="243">
        <f>+C198+C200</f>
        <v>67539590</v>
      </c>
      <c r="D207" s="243">
        <f>+D198+D200</f>
        <v>84867243</v>
      </c>
      <c r="E207" s="243">
        <f t="shared" si="29"/>
        <v>17327653</v>
      </c>
      <c r="F207" s="251">
        <f t="shared" si="30"/>
        <v>0.25655549582104364</v>
      </c>
    </row>
    <row r="208" spans="1:9" ht="20.25" customHeight="1" x14ac:dyDescent="0.3">
      <c r="A208" s="249"/>
      <c r="B208" s="242" t="s">
        <v>482</v>
      </c>
      <c r="C208" s="243">
        <f>+C199+C201</f>
        <v>15634719</v>
      </c>
      <c r="D208" s="243">
        <f>+D199+D201</f>
        <v>19325592</v>
      </c>
      <c r="E208" s="243">
        <f t="shared" si="29"/>
        <v>3690873</v>
      </c>
      <c r="F208" s="251">
        <f t="shared" si="30"/>
        <v>0.23606903328419271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FILING&amp;RMIDDLESEX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297998</v>
      </c>
      <c r="D16" s="237">
        <v>0</v>
      </c>
      <c r="E16" s="237">
        <f t="shared" si="0"/>
        <v>-297998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449</v>
      </c>
      <c r="C17" s="237">
        <v>86723</v>
      </c>
      <c r="D17" s="237">
        <v>0</v>
      </c>
      <c r="E17" s="237">
        <f t="shared" si="0"/>
        <v>-86723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292</v>
      </c>
      <c r="D20" s="239">
        <v>0</v>
      </c>
      <c r="E20" s="239">
        <f t="shared" si="0"/>
        <v>-292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451</v>
      </c>
      <c r="C21" s="239">
        <v>90</v>
      </c>
      <c r="D21" s="239">
        <v>0</v>
      </c>
      <c r="E21" s="239">
        <f t="shared" si="0"/>
        <v>-90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297998</v>
      </c>
      <c r="D23" s="243">
        <f>+D14+D16</f>
        <v>0</v>
      </c>
      <c r="E23" s="243">
        <f t="shared" si="0"/>
        <v>-297998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86723</v>
      </c>
      <c r="D24" s="243">
        <f>+D15+D17</f>
        <v>0</v>
      </c>
      <c r="E24" s="243">
        <f t="shared" si="0"/>
        <v>-86723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9312583</v>
      </c>
      <c r="D26" s="237">
        <v>1901665</v>
      </c>
      <c r="E26" s="237">
        <f t="shared" ref="E26:E36" si="2">D26-C26</f>
        <v>-7410918</v>
      </c>
      <c r="F26" s="238">
        <f t="shared" ref="F26:F36" si="3">IF(C26=0,0,E26/C26)</f>
        <v>-0.79579618243402506</v>
      </c>
    </row>
    <row r="27" spans="1:6" ht="20.25" customHeight="1" x14ac:dyDescent="0.3">
      <c r="A27" s="235">
        <v>2</v>
      </c>
      <c r="B27" s="236" t="s">
        <v>447</v>
      </c>
      <c r="C27" s="237">
        <v>2157016</v>
      </c>
      <c r="D27" s="237">
        <v>380063</v>
      </c>
      <c r="E27" s="237">
        <f t="shared" si="2"/>
        <v>-1776953</v>
      </c>
      <c r="F27" s="238">
        <f t="shared" si="3"/>
        <v>-0.82380149243213774</v>
      </c>
    </row>
    <row r="28" spans="1:6" ht="20.25" customHeight="1" x14ac:dyDescent="0.3">
      <c r="A28" s="235">
        <v>3</v>
      </c>
      <c r="B28" s="236" t="s">
        <v>448</v>
      </c>
      <c r="C28" s="237">
        <v>20646888</v>
      </c>
      <c r="D28" s="237">
        <v>6636381</v>
      </c>
      <c r="E28" s="237">
        <f t="shared" si="2"/>
        <v>-14010507</v>
      </c>
      <c r="F28" s="238">
        <f t="shared" si="3"/>
        <v>-0.67857717831374875</v>
      </c>
    </row>
    <row r="29" spans="1:6" ht="20.25" customHeight="1" x14ac:dyDescent="0.3">
      <c r="A29" s="235">
        <v>4</v>
      </c>
      <c r="B29" s="236" t="s">
        <v>449</v>
      </c>
      <c r="C29" s="237">
        <v>6008619</v>
      </c>
      <c r="D29" s="237">
        <v>2189219</v>
      </c>
      <c r="E29" s="237">
        <f t="shared" si="2"/>
        <v>-3819400</v>
      </c>
      <c r="F29" s="238">
        <f t="shared" si="3"/>
        <v>-0.63565355034160098</v>
      </c>
    </row>
    <row r="30" spans="1:6" ht="20.25" customHeight="1" x14ac:dyDescent="0.3">
      <c r="A30" s="235">
        <v>5</v>
      </c>
      <c r="B30" s="236" t="s">
        <v>385</v>
      </c>
      <c r="C30" s="239">
        <v>531</v>
      </c>
      <c r="D30" s="239">
        <v>104</v>
      </c>
      <c r="E30" s="239">
        <f t="shared" si="2"/>
        <v>-427</v>
      </c>
      <c r="F30" s="238">
        <f t="shared" si="3"/>
        <v>-0.80414312617702444</v>
      </c>
    </row>
    <row r="31" spans="1:6" ht="20.25" customHeight="1" x14ac:dyDescent="0.3">
      <c r="A31" s="235">
        <v>6</v>
      </c>
      <c r="B31" s="236" t="s">
        <v>384</v>
      </c>
      <c r="C31" s="239">
        <v>1423</v>
      </c>
      <c r="D31" s="239">
        <v>281</v>
      </c>
      <c r="E31" s="239">
        <f t="shared" si="2"/>
        <v>-1142</v>
      </c>
      <c r="F31" s="238">
        <f t="shared" si="3"/>
        <v>-0.80252986647926916</v>
      </c>
    </row>
    <row r="32" spans="1:6" ht="20.25" customHeight="1" x14ac:dyDescent="0.3">
      <c r="A32" s="235">
        <v>7</v>
      </c>
      <c r="B32" s="236" t="s">
        <v>450</v>
      </c>
      <c r="C32" s="239">
        <v>20244</v>
      </c>
      <c r="D32" s="239">
        <v>5896</v>
      </c>
      <c r="E32" s="239">
        <f t="shared" si="2"/>
        <v>-14348</v>
      </c>
      <c r="F32" s="238">
        <f t="shared" si="3"/>
        <v>-0.70875321082789966</v>
      </c>
    </row>
    <row r="33" spans="1:6" ht="20.25" customHeight="1" x14ac:dyDescent="0.3">
      <c r="A33" s="235">
        <v>8</v>
      </c>
      <c r="B33" s="236" t="s">
        <v>451</v>
      </c>
      <c r="C33" s="239">
        <v>6223</v>
      </c>
      <c r="D33" s="239">
        <v>1730</v>
      </c>
      <c r="E33" s="239">
        <f t="shared" si="2"/>
        <v>-4493</v>
      </c>
      <c r="F33" s="238">
        <f t="shared" si="3"/>
        <v>-0.7219990358348064</v>
      </c>
    </row>
    <row r="34" spans="1:6" ht="20.25" customHeight="1" x14ac:dyDescent="0.3">
      <c r="A34" s="235">
        <v>9</v>
      </c>
      <c r="B34" s="236" t="s">
        <v>452</v>
      </c>
      <c r="C34" s="239">
        <v>105</v>
      </c>
      <c r="D34" s="239">
        <v>21</v>
      </c>
      <c r="E34" s="239">
        <f t="shared" si="2"/>
        <v>-84</v>
      </c>
      <c r="F34" s="238">
        <f t="shared" si="3"/>
        <v>-0.8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29959471</v>
      </c>
      <c r="D35" s="243">
        <f>+D26+D28</f>
        <v>8538046</v>
      </c>
      <c r="E35" s="243">
        <f t="shared" si="2"/>
        <v>-21421425</v>
      </c>
      <c r="F35" s="244">
        <f t="shared" si="3"/>
        <v>-0.71501345934979965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8165635</v>
      </c>
      <c r="D36" s="243">
        <f>+D27+D29</f>
        <v>2569282</v>
      </c>
      <c r="E36" s="243">
        <f t="shared" si="2"/>
        <v>-5596353</v>
      </c>
      <c r="F36" s="244">
        <f t="shared" si="3"/>
        <v>-0.68535429271575332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1267328</v>
      </c>
      <c r="D50" s="237">
        <v>215951</v>
      </c>
      <c r="E50" s="237">
        <f t="shared" ref="E50:E60" si="6">D50-C50</f>
        <v>-1051377</v>
      </c>
      <c r="F50" s="238">
        <f t="shared" ref="F50:F60" si="7">IF(C50=0,0,E50/C50)</f>
        <v>-0.82960133446116557</v>
      </c>
    </row>
    <row r="51" spans="1:6" ht="20.25" customHeight="1" x14ac:dyDescent="0.3">
      <c r="A51" s="235">
        <v>2</v>
      </c>
      <c r="B51" s="236" t="s">
        <v>447</v>
      </c>
      <c r="C51" s="237">
        <v>293543</v>
      </c>
      <c r="D51" s="237">
        <v>43160</v>
      </c>
      <c r="E51" s="237">
        <f t="shared" si="6"/>
        <v>-250383</v>
      </c>
      <c r="F51" s="238">
        <f t="shared" si="7"/>
        <v>-0.85296873030527043</v>
      </c>
    </row>
    <row r="52" spans="1:6" ht="20.25" customHeight="1" x14ac:dyDescent="0.3">
      <c r="A52" s="235">
        <v>3</v>
      </c>
      <c r="B52" s="236" t="s">
        <v>448</v>
      </c>
      <c r="C52" s="237">
        <v>5300801</v>
      </c>
      <c r="D52" s="237">
        <v>3393426</v>
      </c>
      <c r="E52" s="237">
        <f t="shared" si="6"/>
        <v>-1907375</v>
      </c>
      <c r="F52" s="238">
        <f t="shared" si="7"/>
        <v>-0.35982769396549691</v>
      </c>
    </row>
    <row r="53" spans="1:6" ht="20.25" customHeight="1" x14ac:dyDescent="0.3">
      <c r="A53" s="235">
        <v>4</v>
      </c>
      <c r="B53" s="236" t="s">
        <v>449</v>
      </c>
      <c r="C53" s="237">
        <v>1542629</v>
      </c>
      <c r="D53" s="237">
        <v>1119428</v>
      </c>
      <c r="E53" s="237">
        <f t="shared" si="6"/>
        <v>-423201</v>
      </c>
      <c r="F53" s="238">
        <f t="shared" si="7"/>
        <v>-0.27433751083377794</v>
      </c>
    </row>
    <row r="54" spans="1:6" ht="20.25" customHeight="1" x14ac:dyDescent="0.3">
      <c r="A54" s="235">
        <v>5</v>
      </c>
      <c r="B54" s="236" t="s">
        <v>385</v>
      </c>
      <c r="C54" s="239">
        <v>56</v>
      </c>
      <c r="D54" s="239">
        <v>11</v>
      </c>
      <c r="E54" s="239">
        <f t="shared" si="6"/>
        <v>-45</v>
      </c>
      <c r="F54" s="238">
        <f t="shared" si="7"/>
        <v>-0.8035714285714286</v>
      </c>
    </row>
    <row r="55" spans="1:6" ht="20.25" customHeight="1" x14ac:dyDescent="0.3">
      <c r="A55" s="235">
        <v>6</v>
      </c>
      <c r="B55" s="236" t="s">
        <v>384</v>
      </c>
      <c r="C55" s="239">
        <v>353</v>
      </c>
      <c r="D55" s="239">
        <v>63</v>
      </c>
      <c r="E55" s="239">
        <f t="shared" si="6"/>
        <v>-290</v>
      </c>
      <c r="F55" s="238">
        <f t="shared" si="7"/>
        <v>-0.82152974504249288</v>
      </c>
    </row>
    <row r="56" spans="1:6" ht="20.25" customHeight="1" x14ac:dyDescent="0.3">
      <c r="A56" s="235">
        <v>7</v>
      </c>
      <c r="B56" s="236" t="s">
        <v>450</v>
      </c>
      <c r="C56" s="239">
        <v>5197</v>
      </c>
      <c r="D56" s="239">
        <v>3015</v>
      </c>
      <c r="E56" s="239">
        <f t="shared" si="6"/>
        <v>-2182</v>
      </c>
      <c r="F56" s="238">
        <f t="shared" si="7"/>
        <v>-0.41985761015970752</v>
      </c>
    </row>
    <row r="57" spans="1:6" ht="20.25" customHeight="1" x14ac:dyDescent="0.3">
      <c r="A57" s="235">
        <v>8</v>
      </c>
      <c r="B57" s="236" t="s">
        <v>451</v>
      </c>
      <c r="C57" s="239">
        <v>1598</v>
      </c>
      <c r="D57" s="239">
        <v>0</v>
      </c>
      <c r="E57" s="239">
        <f t="shared" si="6"/>
        <v>-1598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452</v>
      </c>
      <c r="C58" s="239">
        <v>55</v>
      </c>
      <c r="D58" s="239">
        <v>11</v>
      </c>
      <c r="E58" s="239">
        <f t="shared" si="6"/>
        <v>-44</v>
      </c>
      <c r="F58" s="238">
        <f t="shared" si="7"/>
        <v>-0.8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6568129</v>
      </c>
      <c r="D59" s="243">
        <f>+D50+D52</f>
        <v>3609377</v>
      </c>
      <c r="E59" s="243">
        <f t="shared" si="6"/>
        <v>-2958752</v>
      </c>
      <c r="F59" s="244">
        <f t="shared" si="7"/>
        <v>-0.45047105499907203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1836172</v>
      </c>
      <c r="D60" s="243">
        <f>+D51+D53</f>
        <v>1162588</v>
      </c>
      <c r="E60" s="243">
        <f t="shared" si="6"/>
        <v>-673584</v>
      </c>
      <c r="F60" s="244">
        <f t="shared" si="7"/>
        <v>-0.36684145058306084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1367022</v>
      </c>
      <c r="D86" s="237">
        <v>244225</v>
      </c>
      <c r="E86" s="237">
        <f t="shared" ref="E86:E96" si="12">D86-C86</f>
        <v>-1122797</v>
      </c>
      <c r="F86" s="238">
        <f t="shared" ref="F86:F96" si="13">IF(C86=0,0,E86/C86)</f>
        <v>-0.82134523072781562</v>
      </c>
    </row>
    <row r="87" spans="1:6" ht="20.25" customHeight="1" x14ac:dyDescent="0.3">
      <c r="A87" s="235">
        <v>2</v>
      </c>
      <c r="B87" s="236" t="s">
        <v>447</v>
      </c>
      <c r="C87" s="237">
        <v>316635</v>
      </c>
      <c r="D87" s="237">
        <v>48810</v>
      </c>
      <c r="E87" s="237">
        <f t="shared" si="12"/>
        <v>-267825</v>
      </c>
      <c r="F87" s="238">
        <f t="shared" si="13"/>
        <v>-0.84584774266900375</v>
      </c>
    </row>
    <row r="88" spans="1:6" ht="20.25" customHeight="1" x14ac:dyDescent="0.3">
      <c r="A88" s="235">
        <v>3</v>
      </c>
      <c r="B88" s="236" t="s">
        <v>448</v>
      </c>
      <c r="C88" s="237">
        <v>2664888</v>
      </c>
      <c r="D88" s="237">
        <v>864602</v>
      </c>
      <c r="E88" s="237">
        <f t="shared" si="12"/>
        <v>-1800286</v>
      </c>
      <c r="F88" s="238">
        <f t="shared" si="13"/>
        <v>-0.67555784708400501</v>
      </c>
    </row>
    <row r="89" spans="1:6" ht="20.25" customHeight="1" x14ac:dyDescent="0.3">
      <c r="A89" s="235">
        <v>4</v>
      </c>
      <c r="B89" s="236" t="s">
        <v>449</v>
      </c>
      <c r="C89" s="237">
        <v>775531</v>
      </c>
      <c r="D89" s="237">
        <v>285216</v>
      </c>
      <c r="E89" s="237">
        <f t="shared" si="12"/>
        <v>-490315</v>
      </c>
      <c r="F89" s="238">
        <f t="shared" si="13"/>
        <v>-0.63223133569128764</v>
      </c>
    </row>
    <row r="90" spans="1:6" ht="20.25" customHeight="1" x14ac:dyDescent="0.3">
      <c r="A90" s="235">
        <v>5</v>
      </c>
      <c r="B90" s="236" t="s">
        <v>385</v>
      </c>
      <c r="C90" s="239">
        <v>95</v>
      </c>
      <c r="D90" s="239">
        <v>11</v>
      </c>
      <c r="E90" s="239">
        <f t="shared" si="12"/>
        <v>-84</v>
      </c>
      <c r="F90" s="238">
        <f t="shared" si="13"/>
        <v>-0.88421052631578945</v>
      </c>
    </row>
    <row r="91" spans="1:6" ht="20.25" customHeight="1" x14ac:dyDescent="0.3">
      <c r="A91" s="235">
        <v>6</v>
      </c>
      <c r="B91" s="236" t="s">
        <v>384</v>
      </c>
      <c r="C91" s="239">
        <v>255</v>
      </c>
      <c r="D91" s="239">
        <v>28</v>
      </c>
      <c r="E91" s="239">
        <f t="shared" si="12"/>
        <v>-227</v>
      </c>
      <c r="F91" s="238">
        <f t="shared" si="13"/>
        <v>-0.8901960784313725</v>
      </c>
    </row>
    <row r="92" spans="1:6" ht="20.25" customHeight="1" x14ac:dyDescent="0.3">
      <c r="A92" s="235">
        <v>7</v>
      </c>
      <c r="B92" s="236" t="s">
        <v>450</v>
      </c>
      <c r="C92" s="239">
        <v>2613</v>
      </c>
      <c r="D92" s="239">
        <v>768</v>
      </c>
      <c r="E92" s="239">
        <f t="shared" si="12"/>
        <v>-1845</v>
      </c>
      <c r="F92" s="238">
        <f t="shared" si="13"/>
        <v>-0.70608495981630315</v>
      </c>
    </row>
    <row r="93" spans="1:6" ht="20.25" customHeight="1" x14ac:dyDescent="0.3">
      <c r="A93" s="235">
        <v>8</v>
      </c>
      <c r="B93" s="236" t="s">
        <v>451</v>
      </c>
      <c r="C93" s="239">
        <v>803</v>
      </c>
      <c r="D93" s="239">
        <v>247</v>
      </c>
      <c r="E93" s="239">
        <f t="shared" si="12"/>
        <v>-556</v>
      </c>
      <c r="F93" s="238">
        <f t="shared" si="13"/>
        <v>-0.69240348692403486</v>
      </c>
    </row>
    <row r="94" spans="1:6" ht="20.25" customHeight="1" x14ac:dyDescent="0.3">
      <c r="A94" s="235">
        <v>9</v>
      </c>
      <c r="B94" s="236" t="s">
        <v>452</v>
      </c>
      <c r="C94" s="239">
        <v>7</v>
      </c>
      <c r="D94" s="239">
        <v>2</v>
      </c>
      <c r="E94" s="239">
        <f t="shared" si="12"/>
        <v>-5</v>
      </c>
      <c r="F94" s="238">
        <f t="shared" si="13"/>
        <v>-0.7142857142857143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4031910</v>
      </c>
      <c r="D95" s="243">
        <f>+D86+D88</f>
        <v>1108827</v>
      </c>
      <c r="E95" s="243">
        <f t="shared" si="12"/>
        <v>-2923083</v>
      </c>
      <c r="F95" s="244">
        <f t="shared" si="13"/>
        <v>-0.72498716489207349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1092166</v>
      </c>
      <c r="D96" s="243">
        <f>+D87+D89</f>
        <v>334026</v>
      </c>
      <c r="E96" s="243">
        <f t="shared" si="12"/>
        <v>-758140</v>
      </c>
      <c r="F96" s="244">
        <f t="shared" si="13"/>
        <v>-0.69416187649130257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3804690</v>
      </c>
      <c r="D98" s="237">
        <v>710703</v>
      </c>
      <c r="E98" s="237">
        <f t="shared" ref="E98:E108" si="14">D98-C98</f>
        <v>-3093987</v>
      </c>
      <c r="F98" s="238">
        <f t="shared" ref="F98:F108" si="15">IF(C98=0,0,E98/C98)</f>
        <v>-0.81320344101621944</v>
      </c>
    </row>
    <row r="99" spans="1:7" ht="20.25" customHeight="1" x14ac:dyDescent="0.3">
      <c r="A99" s="235">
        <v>2</v>
      </c>
      <c r="B99" s="236" t="s">
        <v>447</v>
      </c>
      <c r="C99" s="237">
        <v>881257</v>
      </c>
      <c r="D99" s="237">
        <v>142040</v>
      </c>
      <c r="E99" s="237">
        <f t="shared" si="14"/>
        <v>-739217</v>
      </c>
      <c r="F99" s="238">
        <f t="shared" si="15"/>
        <v>-0.83882113844202089</v>
      </c>
    </row>
    <row r="100" spans="1:7" ht="20.25" customHeight="1" x14ac:dyDescent="0.3">
      <c r="A100" s="235">
        <v>3</v>
      </c>
      <c r="B100" s="236" t="s">
        <v>448</v>
      </c>
      <c r="C100" s="237">
        <v>8134020</v>
      </c>
      <c r="D100" s="237">
        <v>2432954</v>
      </c>
      <c r="E100" s="237">
        <f t="shared" si="14"/>
        <v>-5701066</v>
      </c>
      <c r="F100" s="238">
        <f t="shared" si="15"/>
        <v>-0.70089156407286923</v>
      </c>
    </row>
    <row r="101" spans="1:7" ht="20.25" customHeight="1" x14ac:dyDescent="0.3">
      <c r="A101" s="235">
        <v>4</v>
      </c>
      <c r="B101" s="236" t="s">
        <v>449</v>
      </c>
      <c r="C101" s="237">
        <v>2367147</v>
      </c>
      <c r="D101" s="237">
        <v>802586</v>
      </c>
      <c r="E101" s="237">
        <f t="shared" si="14"/>
        <v>-1564561</v>
      </c>
      <c r="F101" s="238">
        <f t="shared" si="15"/>
        <v>-0.66094796816589763</v>
      </c>
    </row>
    <row r="102" spans="1:7" ht="20.25" customHeight="1" x14ac:dyDescent="0.3">
      <c r="A102" s="235">
        <v>5</v>
      </c>
      <c r="B102" s="236" t="s">
        <v>385</v>
      </c>
      <c r="C102" s="239">
        <v>225</v>
      </c>
      <c r="D102" s="239">
        <v>34</v>
      </c>
      <c r="E102" s="239">
        <f t="shared" si="14"/>
        <v>-191</v>
      </c>
      <c r="F102" s="238">
        <f t="shared" si="15"/>
        <v>-0.84888888888888892</v>
      </c>
    </row>
    <row r="103" spans="1:7" ht="20.25" customHeight="1" x14ac:dyDescent="0.3">
      <c r="A103" s="235">
        <v>6</v>
      </c>
      <c r="B103" s="236" t="s">
        <v>384</v>
      </c>
      <c r="C103" s="239">
        <v>613</v>
      </c>
      <c r="D103" s="239">
        <v>107</v>
      </c>
      <c r="E103" s="239">
        <f t="shared" si="14"/>
        <v>-506</v>
      </c>
      <c r="F103" s="238">
        <f t="shared" si="15"/>
        <v>-0.82544861337683528</v>
      </c>
    </row>
    <row r="104" spans="1:7" ht="20.25" customHeight="1" x14ac:dyDescent="0.3">
      <c r="A104" s="235">
        <v>7</v>
      </c>
      <c r="B104" s="236" t="s">
        <v>450</v>
      </c>
      <c r="C104" s="239">
        <v>7975</v>
      </c>
      <c r="D104" s="239">
        <v>2161</v>
      </c>
      <c r="E104" s="239">
        <f t="shared" si="14"/>
        <v>-5814</v>
      </c>
      <c r="F104" s="238">
        <f t="shared" si="15"/>
        <v>-0.72902821316614419</v>
      </c>
    </row>
    <row r="105" spans="1:7" ht="20.25" customHeight="1" x14ac:dyDescent="0.3">
      <c r="A105" s="235">
        <v>8</v>
      </c>
      <c r="B105" s="236" t="s">
        <v>451</v>
      </c>
      <c r="C105" s="239">
        <v>2451</v>
      </c>
      <c r="D105" s="239">
        <v>668</v>
      </c>
      <c r="E105" s="239">
        <f t="shared" si="14"/>
        <v>-1783</v>
      </c>
      <c r="F105" s="238">
        <f t="shared" si="15"/>
        <v>-0.72745818033455734</v>
      </c>
    </row>
    <row r="106" spans="1:7" ht="20.25" customHeight="1" x14ac:dyDescent="0.3">
      <c r="A106" s="235">
        <v>9</v>
      </c>
      <c r="B106" s="236" t="s">
        <v>452</v>
      </c>
      <c r="C106" s="239">
        <v>27</v>
      </c>
      <c r="D106" s="239">
        <v>4</v>
      </c>
      <c r="E106" s="239">
        <f t="shared" si="14"/>
        <v>-23</v>
      </c>
      <c r="F106" s="238">
        <f t="shared" si="15"/>
        <v>-0.85185185185185186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11938710</v>
      </c>
      <c r="D107" s="243">
        <f>+D98+D100</f>
        <v>3143657</v>
      </c>
      <c r="E107" s="243">
        <f t="shared" si="14"/>
        <v>-8795053</v>
      </c>
      <c r="F107" s="244">
        <f t="shared" si="15"/>
        <v>-0.73668369530711442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3248404</v>
      </c>
      <c r="D108" s="243">
        <f>+D99+D101</f>
        <v>944626</v>
      </c>
      <c r="E108" s="243">
        <f t="shared" si="14"/>
        <v>-2303778</v>
      </c>
      <c r="F108" s="244">
        <f t="shared" si="15"/>
        <v>-0.70920304247870647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15751623</v>
      </c>
      <c r="D112" s="243">
        <f t="shared" si="16"/>
        <v>3072544</v>
      </c>
      <c r="E112" s="243">
        <f t="shared" ref="E112:E122" si="17">D112-C112</f>
        <v>-12679079</v>
      </c>
      <c r="F112" s="244">
        <f t="shared" ref="F112:F122" si="18">IF(C112=0,0,E112/C112)</f>
        <v>-0.80493794195048984</v>
      </c>
    </row>
    <row r="113" spans="1:6" ht="20.25" customHeight="1" x14ac:dyDescent="0.3">
      <c r="A113" s="249"/>
      <c r="B113" s="250" t="s">
        <v>473</v>
      </c>
      <c r="C113" s="243">
        <f t="shared" si="16"/>
        <v>3648451</v>
      </c>
      <c r="D113" s="243">
        <f t="shared" si="16"/>
        <v>614073</v>
      </c>
      <c r="E113" s="243">
        <f t="shared" si="17"/>
        <v>-3034378</v>
      </c>
      <c r="F113" s="244">
        <f t="shared" si="18"/>
        <v>-0.83168939366322858</v>
      </c>
    </row>
    <row r="114" spans="1:6" ht="20.25" customHeight="1" x14ac:dyDescent="0.3">
      <c r="A114" s="249"/>
      <c r="B114" s="250" t="s">
        <v>474</v>
      </c>
      <c r="C114" s="243">
        <f t="shared" si="16"/>
        <v>37044595</v>
      </c>
      <c r="D114" s="243">
        <f t="shared" si="16"/>
        <v>13327363</v>
      </c>
      <c r="E114" s="243">
        <f t="shared" si="17"/>
        <v>-23717232</v>
      </c>
      <c r="F114" s="244">
        <f t="shared" si="18"/>
        <v>-0.64023461452338726</v>
      </c>
    </row>
    <row r="115" spans="1:6" ht="20.25" customHeight="1" x14ac:dyDescent="0.3">
      <c r="A115" s="249"/>
      <c r="B115" s="250" t="s">
        <v>475</v>
      </c>
      <c r="C115" s="243">
        <f t="shared" si="16"/>
        <v>10780649</v>
      </c>
      <c r="D115" s="243">
        <f t="shared" si="16"/>
        <v>4396449</v>
      </c>
      <c r="E115" s="243">
        <f t="shared" si="17"/>
        <v>-6384200</v>
      </c>
      <c r="F115" s="244">
        <f t="shared" si="18"/>
        <v>-0.59219069278667735</v>
      </c>
    </row>
    <row r="116" spans="1:6" ht="20.25" customHeight="1" x14ac:dyDescent="0.3">
      <c r="A116" s="249"/>
      <c r="B116" s="250" t="s">
        <v>476</v>
      </c>
      <c r="C116" s="252">
        <f t="shared" si="16"/>
        <v>907</v>
      </c>
      <c r="D116" s="252">
        <f t="shared" si="16"/>
        <v>160</v>
      </c>
      <c r="E116" s="252">
        <f t="shared" si="17"/>
        <v>-747</v>
      </c>
      <c r="F116" s="244">
        <f t="shared" si="18"/>
        <v>-0.82359426681367143</v>
      </c>
    </row>
    <row r="117" spans="1:6" ht="20.25" customHeight="1" x14ac:dyDescent="0.3">
      <c r="A117" s="249"/>
      <c r="B117" s="250" t="s">
        <v>477</v>
      </c>
      <c r="C117" s="252">
        <f t="shared" si="16"/>
        <v>2644</v>
      </c>
      <c r="D117" s="252">
        <f t="shared" si="16"/>
        <v>479</v>
      </c>
      <c r="E117" s="252">
        <f t="shared" si="17"/>
        <v>-2165</v>
      </c>
      <c r="F117" s="244">
        <f t="shared" si="18"/>
        <v>-0.81883509833585477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36321</v>
      </c>
      <c r="D118" s="252">
        <f t="shared" si="16"/>
        <v>11840</v>
      </c>
      <c r="E118" s="252">
        <f t="shared" si="17"/>
        <v>-24481</v>
      </c>
      <c r="F118" s="244">
        <f t="shared" si="18"/>
        <v>-0.6740177858539137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11165</v>
      </c>
      <c r="D119" s="252">
        <f t="shared" si="16"/>
        <v>2645</v>
      </c>
      <c r="E119" s="252">
        <f t="shared" si="17"/>
        <v>-8520</v>
      </c>
      <c r="F119" s="244">
        <f t="shared" si="18"/>
        <v>-0.76309896999552174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194</v>
      </c>
      <c r="D120" s="252">
        <f t="shared" si="16"/>
        <v>38</v>
      </c>
      <c r="E120" s="252">
        <f t="shared" si="17"/>
        <v>-156</v>
      </c>
      <c r="F120" s="244">
        <f t="shared" si="18"/>
        <v>-0.80412371134020622</v>
      </c>
    </row>
    <row r="121" spans="1:6" ht="39.950000000000003" customHeight="1" x14ac:dyDescent="0.3">
      <c r="A121" s="249"/>
      <c r="B121" s="242" t="s">
        <v>453</v>
      </c>
      <c r="C121" s="243">
        <f>+C112+C114</f>
        <v>52796218</v>
      </c>
      <c r="D121" s="243">
        <f>+D112+D114</f>
        <v>16399907</v>
      </c>
      <c r="E121" s="243">
        <f t="shared" si="17"/>
        <v>-36396311</v>
      </c>
      <c r="F121" s="244">
        <f t="shared" si="18"/>
        <v>-0.68937345095438463</v>
      </c>
    </row>
    <row r="122" spans="1:6" ht="39.950000000000003" customHeight="1" x14ac:dyDescent="0.3">
      <c r="A122" s="249"/>
      <c r="B122" s="242" t="s">
        <v>482</v>
      </c>
      <c r="C122" s="243">
        <f>+C113+C115</f>
        <v>14429100</v>
      </c>
      <c r="D122" s="243">
        <f>+D113+D115</f>
        <v>5010522</v>
      </c>
      <c r="E122" s="243">
        <f t="shared" si="17"/>
        <v>-9418578</v>
      </c>
      <c r="F122" s="244">
        <f t="shared" si="18"/>
        <v>-0.65274882009272928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FILING&amp;RMIDDLESEX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59543000</v>
      </c>
      <c r="D13" s="23">
        <v>58568000</v>
      </c>
      <c r="E13" s="23">
        <f t="shared" ref="E13:E22" si="0">D13-C13</f>
        <v>-975000</v>
      </c>
      <c r="F13" s="24">
        <f t="shared" ref="F13:F22" si="1">IF(C13=0,0,E13/C13)</f>
        <v>-1.6374720790017297E-2</v>
      </c>
    </row>
    <row r="14" spans="1:8" ht="24" customHeight="1" x14ac:dyDescent="0.2">
      <c r="A14" s="21">
        <v>2</v>
      </c>
      <c r="B14" s="22" t="s">
        <v>17</v>
      </c>
      <c r="C14" s="23">
        <v>10647000</v>
      </c>
      <c r="D14" s="23">
        <v>10187000</v>
      </c>
      <c r="E14" s="23">
        <f t="shared" si="0"/>
        <v>-460000</v>
      </c>
      <c r="F14" s="24">
        <f t="shared" si="1"/>
        <v>-4.3204658589273977E-2</v>
      </c>
    </row>
    <row r="15" spans="1:8" ht="35.1" customHeight="1" x14ac:dyDescent="0.2">
      <c r="A15" s="21">
        <v>3</v>
      </c>
      <c r="B15" s="22" t="s">
        <v>18</v>
      </c>
      <c r="C15" s="23">
        <v>43838000</v>
      </c>
      <c r="D15" s="23">
        <v>45951000</v>
      </c>
      <c r="E15" s="23">
        <f t="shared" si="0"/>
        <v>2113000</v>
      </c>
      <c r="F15" s="24">
        <f t="shared" si="1"/>
        <v>4.8200191614580959E-2</v>
      </c>
    </row>
    <row r="16" spans="1:8" ht="35.1" customHeight="1" x14ac:dyDescent="0.2">
      <c r="A16" s="21">
        <v>4</v>
      </c>
      <c r="B16" s="22" t="s">
        <v>19</v>
      </c>
      <c r="C16" s="23">
        <v>4188000</v>
      </c>
      <c r="D16" s="23">
        <v>4613000</v>
      </c>
      <c r="E16" s="23">
        <f t="shared" si="0"/>
        <v>425000</v>
      </c>
      <c r="F16" s="24">
        <f t="shared" si="1"/>
        <v>0.10148042024832855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1436000</v>
      </c>
      <c r="D19" s="23">
        <v>1347000</v>
      </c>
      <c r="E19" s="23">
        <f t="shared" si="0"/>
        <v>-89000</v>
      </c>
      <c r="F19" s="24">
        <f t="shared" si="1"/>
        <v>-6.1977715877437327E-2</v>
      </c>
    </row>
    <row r="20" spans="1:11" ht="24" customHeight="1" x14ac:dyDescent="0.2">
      <c r="A20" s="21">
        <v>8</v>
      </c>
      <c r="B20" s="22" t="s">
        <v>23</v>
      </c>
      <c r="C20" s="23">
        <v>2309000</v>
      </c>
      <c r="D20" s="23">
        <v>2425000</v>
      </c>
      <c r="E20" s="23">
        <f t="shared" si="0"/>
        <v>116000</v>
      </c>
      <c r="F20" s="24">
        <f t="shared" si="1"/>
        <v>5.0238198354265913E-2</v>
      </c>
    </row>
    <row r="21" spans="1:11" ht="24" customHeight="1" x14ac:dyDescent="0.2">
      <c r="A21" s="21">
        <v>9</v>
      </c>
      <c r="B21" s="22" t="s">
        <v>24</v>
      </c>
      <c r="C21" s="23">
        <v>2867000</v>
      </c>
      <c r="D21" s="23">
        <v>3716000</v>
      </c>
      <c r="E21" s="23">
        <f t="shared" si="0"/>
        <v>849000</v>
      </c>
      <c r="F21" s="24">
        <f t="shared" si="1"/>
        <v>0.29612835716777119</v>
      </c>
    </row>
    <row r="22" spans="1:11" ht="24" customHeight="1" x14ac:dyDescent="0.25">
      <c r="A22" s="25"/>
      <c r="B22" s="26" t="s">
        <v>25</v>
      </c>
      <c r="C22" s="27">
        <f>SUM(C13:C21)</f>
        <v>124828000</v>
      </c>
      <c r="D22" s="27">
        <f>SUM(D13:D21)</f>
        <v>126807000</v>
      </c>
      <c r="E22" s="27">
        <f t="shared" si="0"/>
        <v>1979000</v>
      </c>
      <c r="F22" s="28">
        <f t="shared" si="1"/>
        <v>1.5853814849232543E-2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8120000</v>
      </c>
      <c r="D25" s="23">
        <v>8207000</v>
      </c>
      <c r="E25" s="23">
        <f>D25-C25</f>
        <v>87000</v>
      </c>
      <c r="F25" s="24">
        <f>IF(C25=0,0,E25/C25)</f>
        <v>1.0714285714285714E-2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80737000</v>
      </c>
      <c r="D26" s="23">
        <v>95568000</v>
      </c>
      <c r="E26" s="23">
        <f>D26-C26</f>
        <v>14831000</v>
      </c>
      <c r="F26" s="24">
        <f>IF(C26=0,0,E26/C26)</f>
        <v>0.18369520789724661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13591000</v>
      </c>
      <c r="D28" s="23">
        <v>15313000</v>
      </c>
      <c r="E28" s="23">
        <f>D28-C28</f>
        <v>1722000</v>
      </c>
      <c r="F28" s="24">
        <f>IF(C28=0,0,E28/C28)</f>
        <v>0.12670149363549407</v>
      </c>
    </row>
    <row r="29" spans="1:11" ht="35.1" customHeight="1" x14ac:dyDescent="0.25">
      <c r="A29" s="25"/>
      <c r="B29" s="26" t="s">
        <v>32</v>
      </c>
      <c r="C29" s="27">
        <f>SUM(C25:C28)</f>
        <v>102448000</v>
      </c>
      <c r="D29" s="27">
        <f>SUM(D25:D28)</f>
        <v>119088000</v>
      </c>
      <c r="E29" s="27">
        <f>D29-C29</f>
        <v>16640000</v>
      </c>
      <c r="F29" s="28">
        <f>IF(C29=0,0,E29/C29)</f>
        <v>0.16242386381383728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2019000</v>
      </c>
      <c r="D32" s="23">
        <v>16627000</v>
      </c>
      <c r="E32" s="23">
        <f>D32-C32</f>
        <v>14608000</v>
      </c>
      <c r="F32" s="24">
        <f>IF(C32=0,0,E32/C32)</f>
        <v>7.2352649826646855</v>
      </c>
    </row>
    <row r="33" spans="1:8" ht="24" customHeight="1" x14ac:dyDescent="0.2">
      <c r="A33" s="21">
        <v>7</v>
      </c>
      <c r="B33" s="22" t="s">
        <v>35</v>
      </c>
      <c r="C33" s="23">
        <v>3011000</v>
      </c>
      <c r="D33" s="23">
        <v>2879000</v>
      </c>
      <c r="E33" s="23">
        <f>D33-C33</f>
        <v>-132000</v>
      </c>
      <c r="F33" s="24">
        <f>IF(C33=0,0,E33/C33)</f>
        <v>-4.3839256061109264E-2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428470000</v>
      </c>
      <c r="D36" s="23">
        <v>390097000</v>
      </c>
      <c r="E36" s="23">
        <f>D36-C36</f>
        <v>-38373000</v>
      </c>
      <c r="F36" s="24">
        <f>IF(C36=0,0,E36/C36)</f>
        <v>-8.9558195439587374E-2</v>
      </c>
    </row>
    <row r="37" spans="1:8" ht="24" customHeight="1" x14ac:dyDescent="0.2">
      <c r="A37" s="21">
        <v>2</v>
      </c>
      <c r="B37" s="22" t="s">
        <v>39</v>
      </c>
      <c r="C37" s="23">
        <v>265372000</v>
      </c>
      <c r="D37" s="23">
        <v>215805000</v>
      </c>
      <c r="E37" s="23">
        <f>D37-C37</f>
        <v>-49567000</v>
      </c>
      <c r="F37" s="23">
        <f>IF(C37=0,0,E37/C37)</f>
        <v>-0.18678308186244216</v>
      </c>
    </row>
    <row r="38" spans="1:8" ht="24" customHeight="1" x14ac:dyDescent="0.25">
      <c r="A38" s="25"/>
      <c r="B38" s="26" t="s">
        <v>40</v>
      </c>
      <c r="C38" s="27">
        <f>C36-C37</f>
        <v>163098000</v>
      </c>
      <c r="D38" s="27">
        <f>D36-D37</f>
        <v>174292000</v>
      </c>
      <c r="E38" s="27">
        <f>D38-C38</f>
        <v>11194000</v>
      </c>
      <c r="F38" s="28">
        <f>IF(C38=0,0,E38/C38)</f>
        <v>6.8633582263424447E-2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21322000</v>
      </c>
      <c r="D40" s="23">
        <v>14694000</v>
      </c>
      <c r="E40" s="23">
        <f>D40-C40</f>
        <v>-6628000</v>
      </c>
      <c r="F40" s="24">
        <f>IF(C40=0,0,E40/C40)</f>
        <v>-0.31085264046524719</v>
      </c>
    </row>
    <row r="41" spans="1:8" ht="24" customHeight="1" x14ac:dyDescent="0.25">
      <c r="A41" s="25"/>
      <c r="B41" s="26" t="s">
        <v>42</v>
      </c>
      <c r="C41" s="27">
        <f>+C38+C40</f>
        <v>184420000</v>
      </c>
      <c r="D41" s="27">
        <f>+D38+D40</f>
        <v>188986000</v>
      </c>
      <c r="E41" s="27">
        <f>D41-C41</f>
        <v>4566000</v>
      </c>
      <c r="F41" s="28">
        <f>IF(C41=0,0,E41/C41)</f>
        <v>2.4758702960633337E-2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416726000</v>
      </c>
      <c r="D43" s="27">
        <f>D22+D29+D31+D32+D33+D41</f>
        <v>454387000</v>
      </c>
      <c r="E43" s="27">
        <f>D43-C43</f>
        <v>37661000</v>
      </c>
      <c r="F43" s="28">
        <f>IF(C43=0,0,E43/C43)</f>
        <v>9.0373530809212774E-2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19224000</v>
      </c>
      <c r="D49" s="23">
        <v>19616000</v>
      </c>
      <c r="E49" s="23">
        <f t="shared" ref="E49:E56" si="2">D49-C49</f>
        <v>392000</v>
      </c>
      <c r="F49" s="24">
        <f t="shared" ref="F49:F56" si="3">IF(C49=0,0,E49/C49)</f>
        <v>2.0391177694548481E-2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30639000</v>
      </c>
      <c r="D50" s="23">
        <v>33912000</v>
      </c>
      <c r="E50" s="23">
        <f t="shared" si="2"/>
        <v>3273000</v>
      </c>
      <c r="F50" s="24">
        <f t="shared" si="3"/>
        <v>0.10682463526877509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207000</v>
      </c>
      <c r="D51" s="23">
        <v>2944000</v>
      </c>
      <c r="E51" s="23">
        <f t="shared" si="2"/>
        <v>2737000</v>
      </c>
      <c r="F51" s="24">
        <f t="shared" si="3"/>
        <v>13.222222222222221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3330000</v>
      </c>
      <c r="D53" s="23">
        <v>3300000</v>
      </c>
      <c r="E53" s="23">
        <f t="shared" si="2"/>
        <v>-30000</v>
      </c>
      <c r="F53" s="24">
        <f t="shared" si="3"/>
        <v>-9.0090090090090089E-3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292000</v>
      </c>
      <c r="D54" s="23">
        <v>1615000</v>
      </c>
      <c r="E54" s="23">
        <f t="shared" si="2"/>
        <v>1323000</v>
      </c>
      <c r="F54" s="24">
        <f t="shared" si="3"/>
        <v>4.5308219178082192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9563000</v>
      </c>
      <c r="D55" s="23">
        <v>10485000</v>
      </c>
      <c r="E55" s="23">
        <f t="shared" si="2"/>
        <v>922000</v>
      </c>
      <c r="F55" s="24">
        <f t="shared" si="3"/>
        <v>9.6413259437415036E-2</v>
      </c>
    </row>
    <row r="56" spans="1:6" ht="24" customHeight="1" x14ac:dyDescent="0.25">
      <c r="A56" s="25"/>
      <c r="B56" s="26" t="s">
        <v>54</v>
      </c>
      <c r="C56" s="27">
        <f>SUM(C49:C55)</f>
        <v>63255000</v>
      </c>
      <c r="D56" s="27">
        <f>SUM(D49:D55)</f>
        <v>71872000</v>
      </c>
      <c r="E56" s="27">
        <f t="shared" si="2"/>
        <v>8617000</v>
      </c>
      <c r="F56" s="28">
        <f t="shared" si="3"/>
        <v>0.13622638526598688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71808000</v>
      </c>
      <c r="D59" s="23">
        <v>68388000</v>
      </c>
      <c r="E59" s="23">
        <f>D59-C59</f>
        <v>-3420000</v>
      </c>
      <c r="F59" s="24">
        <f>IF(C59=0,0,E59/C59)</f>
        <v>-4.7627005347593586E-2</v>
      </c>
    </row>
    <row r="60" spans="1:6" ht="24" customHeight="1" x14ac:dyDescent="0.2">
      <c r="A60" s="21">
        <v>2</v>
      </c>
      <c r="B60" s="22" t="s">
        <v>57</v>
      </c>
      <c r="C60" s="23">
        <v>926000</v>
      </c>
      <c r="D60" s="23">
        <v>995000</v>
      </c>
      <c r="E60" s="23">
        <f>D60-C60</f>
        <v>69000</v>
      </c>
      <c r="F60" s="24">
        <f>IF(C60=0,0,E60/C60)</f>
        <v>7.4514038876889843E-2</v>
      </c>
    </row>
    <row r="61" spans="1:6" ht="24" customHeight="1" x14ac:dyDescent="0.25">
      <c r="A61" s="25"/>
      <c r="B61" s="26" t="s">
        <v>58</v>
      </c>
      <c r="C61" s="27">
        <f>SUM(C59:C60)</f>
        <v>72734000</v>
      </c>
      <c r="D61" s="27">
        <f>SUM(D59:D60)</f>
        <v>69383000</v>
      </c>
      <c r="E61" s="27">
        <f>D61-C61</f>
        <v>-3351000</v>
      </c>
      <c r="F61" s="28">
        <f>IF(C61=0,0,E61/C61)</f>
        <v>-4.6071988341078451E-2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117232000</v>
      </c>
      <c r="D63" s="23">
        <v>129719000</v>
      </c>
      <c r="E63" s="23">
        <f>D63-C63</f>
        <v>12487000</v>
      </c>
      <c r="F63" s="24">
        <f>IF(C63=0,0,E63/C63)</f>
        <v>0.10651528592875666</v>
      </c>
    </row>
    <row r="64" spans="1:6" ht="24" customHeight="1" x14ac:dyDescent="0.2">
      <c r="A64" s="21">
        <v>4</v>
      </c>
      <c r="B64" s="22" t="s">
        <v>60</v>
      </c>
      <c r="C64" s="23">
        <v>19960000</v>
      </c>
      <c r="D64" s="23">
        <v>16603000</v>
      </c>
      <c r="E64" s="23">
        <f>D64-C64</f>
        <v>-3357000</v>
      </c>
      <c r="F64" s="24">
        <f>IF(C64=0,0,E64/C64)</f>
        <v>-0.16818637274549098</v>
      </c>
    </row>
    <row r="65" spans="1:6" ht="24" customHeight="1" x14ac:dyDescent="0.25">
      <c r="A65" s="25"/>
      <c r="B65" s="26" t="s">
        <v>61</v>
      </c>
      <c r="C65" s="27">
        <f>SUM(C61:C64)</f>
        <v>209926000</v>
      </c>
      <c r="D65" s="27">
        <f>SUM(D61:D64)</f>
        <v>215705000</v>
      </c>
      <c r="E65" s="27">
        <f>D65-C65</f>
        <v>5779000</v>
      </c>
      <c r="F65" s="28">
        <f>IF(C65=0,0,E65/C65)</f>
        <v>2.7528748225565201E-2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130362000</v>
      </c>
      <c r="D70" s="23">
        <v>150651000</v>
      </c>
      <c r="E70" s="23">
        <f>D70-C70</f>
        <v>20289000</v>
      </c>
      <c r="F70" s="24">
        <f>IF(C70=0,0,E70/C70)</f>
        <v>0.15563584480139919</v>
      </c>
    </row>
    <row r="71" spans="1:6" ht="24" customHeight="1" x14ac:dyDescent="0.2">
      <c r="A71" s="21">
        <v>2</v>
      </c>
      <c r="B71" s="22" t="s">
        <v>65</v>
      </c>
      <c r="C71" s="23">
        <v>6303000</v>
      </c>
      <c r="D71" s="23">
        <v>9195000</v>
      </c>
      <c r="E71" s="23">
        <f>D71-C71</f>
        <v>2892000</v>
      </c>
      <c r="F71" s="24">
        <f>IF(C71=0,0,E71/C71)</f>
        <v>0.45882912898619704</v>
      </c>
    </row>
    <row r="72" spans="1:6" ht="24" customHeight="1" x14ac:dyDescent="0.2">
      <c r="A72" s="21">
        <v>3</v>
      </c>
      <c r="B72" s="22" t="s">
        <v>66</v>
      </c>
      <c r="C72" s="23">
        <v>6880000</v>
      </c>
      <c r="D72" s="23">
        <v>6964000</v>
      </c>
      <c r="E72" s="23">
        <f>D72-C72</f>
        <v>84000</v>
      </c>
      <c r="F72" s="24">
        <f>IF(C72=0,0,E72/C72)</f>
        <v>1.2209302325581395E-2</v>
      </c>
    </row>
    <row r="73" spans="1:6" ht="24" customHeight="1" x14ac:dyDescent="0.25">
      <c r="A73" s="21"/>
      <c r="B73" s="26" t="s">
        <v>67</v>
      </c>
      <c r="C73" s="27">
        <f>SUM(C70:C72)</f>
        <v>143545000</v>
      </c>
      <c r="D73" s="27">
        <f>SUM(D70:D72)</f>
        <v>166810000</v>
      </c>
      <c r="E73" s="27">
        <f>D73-C73</f>
        <v>23265000</v>
      </c>
      <c r="F73" s="28">
        <f>IF(C73=0,0,E73/C73)</f>
        <v>0.1620746107492424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416726000</v>
      </c>
      <c r="D75" s="27">
        <f>D56+D65+D67+D73</f>
        <v>454387000</v>
      </c>
      <c r="E75" s="27">
        <f>D75-C75</f>
        <v>37661000</v>
      </c>
      <c r="F75" s="28">
        <f>IF(C75=0,0,E75/C75)</f>
        <v>9.0373530809212774E-2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FILING&amp;RMIDDLESEX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1053422000</v>
      </c>
      <c r="D12" s="51">
        <v>1140027000</v>
      </c>
      <c r="E12" s="51">
        <f t="shared" ref="E12:E19" si="0">D12-C12</f>
        <v>86605000</v>
      </c>
      <c r="F12" s="70">
        <f t="shared" ref="F12:F19" si="1">IF(C12=0,0,E12/C12)</f>
        <v>8.2213016246100806E-2</v>
      </c>
    </row>
    <row r="13" spans="1:8" ht="23.1" customHeight="1" x14ac:dyDescent="0.2">
      <c r="A13" s="25">
        <v>2</v>
      </c>
      <c r="B13" s="48" t="s">
        <v>72</v>
      </c>
      <c r="C13" s="51">
        <v>701534000</v>
      </c>
      <c r="D13" s="51">
        <v>771052000</v>
      </c>
      <c r="E13" s="51">
        <f t="shared" si="0"/>
        <v>69518000</v>
      </c>
      <c r="F13" s="70">
        <f t="shared" si="1"/>
        <v>9.909427055566801E-2</v>
      </c>
    </row>
    <row r="14" spans="1:8" ht="23.1" customHeight="1" x14ac:dyDescent="0.2">
      <c r="A14" s="25">
        <v>3</v>
      </c>
      <c r="B14" s="48" t="s">
        <v>73</v>
      </c>
      <c r="C14" s="51">
        <v>6856000</v>
      </c>
      <c r="D14" s="51">
        <v>7509000</v>
      </c>
      <c r="E14" s="51">
        <f t="shared" si="0"/>
        <v>653000</v>
      </c>
      <c r="F14" s="70">
        <f t="shared" si="1"/>
        <v>9.524504084014003E-2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345032000</v>
      </c>
      <c r="D16" s="27">
        <f>D12-D13-D14-D15</f>
        <v>361466000</v>
      </c>
      <c r="E16" s="27">
        <f t="shared" si="0"/>
        <v>16434000</v>
      </c>
      <c r="F16" s="28">
        <f t="shared" si="1"/>
        <v>4.7630364719794108E-2</v>
      </c>
    </row>
    <row r="17" spans="1:7" ht="23.1" customHeight="1" x14ac:dyDescent="0.2">
      <c r="A17" s="25">
        <v>5</v>
      </c>
      <c r="B17" s="48" t="s">
        <v>76</v>
      </c>
      <c r="C17" s="51">
        <v>14403000</v>
      </c>
      <c r="D17" s="51">
        <v>12534000</v>
      </c>
      <c r="E17" s="51">
        <f t="shared" si="0"/>
        <v>-1869000</v>
      </c>
      <c r="F17" s="70">
        <f t="shared" si="1"/>
        <v>-0.12976463236825661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359435000</v>
      </c>
      <c r="D19" s="27">
        <f>SUM(D16:D18)</f>
        <v>374000000</v>
      </c>
      <c r="E19" s="27">
        <f t="shared" si="0"/>
        <v>14565000</v>
      </c>
      <c r="F19" s="28">
        <f t="shared" si="1"/>
        <v>4.0521930251644946E-2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165100000</v>
      </c>
      <c r="D22" s="51">
        <v>171970000</v>
      </c>
      <c r="E22" s="51">
        <f t="shared" ref="E22:E31" si="2">D22-C22</f>
        <v>6870000</v>
      </c>
      <c r="F22" s="70">
        <f t="shared" ref="F22:F31" si="3">IF(C22=0,0,E22/C22)</f>
        <v>4.1611144760751062E-2</v>
      </c>
    </row>
    <row r="23" spans="1:7" ht="23.1" customHeight="1" x14ac:dyDescent="0.2">
      <c r="A23" s="25">
        <v>2</v>
      </c>
      <c r="B23" s="48" t="s">
        <v>81</v>
      </c>
      <c r="C23" s="51">
        <v>44396000</v>
      </c>
      <c r="D23" s="51">
        <v>39621000</v>
      </c>
      <c r="E23" s="51">
        <f t="shared" si="2"/>
        <v>-4775000</v>
      </c>
      <c r="F23" s="70">
        <f t="shared" si="3"/>
        <v>-0.10755473466078025</v>
      </c>
    </row>
    <row r="24" spans="1:7" ht="23.1" customHeight="1" x14ac:dyDescent="0.2">
      <c r="A24" s="25">
        <v>3</v>
      </c>
      <c r="B24" s="48" t="s">
        <v>82</v>
      </c>
      <c r="C24" s="51">
        <v>3006000</v>
      </c>
      <c r="D24" s="51">
        <v>3405000</v>
      </c>
      <c r="E24" s="51">
        <f t="shared" si="2"/>
        <v>399000</v>
      </c>
      <c r="F24" s="70">
        <f t="shared" si="3"/>
        <v>0.13273453093812376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33893000</v>
      </c>
      <c r="D25" s="51">
        <v>35376000</v>
      </c>
      <c r="E25" s="51">
        <f t="shared" si="2"/>
        <v>1483000</v>
      </c>
      <c r="F25" s="70">
        <f t="shared" si="3"/>
        <v>4.3755347711916914E-2</v>
      </c>
    </row>
    <row r="26" spans="1:7" ht="23.1" customHeight="1" x14ac:dyDescent="0.2">
      <c r="A26" s="25">
        <v>5</v>
      </c>
      <c r="B26" s="48" t="s">
        <v>84</v>
      </c>
      <c r="C26" s="51">
        <v>22454000</v>
      </c>
      <c r="D26" s="51">
        <v>22115000</v>
      </c>
      <c r="E26" s="51">
        <f t="shared" si="2"/>
        <v>-339000</v>
      </c>
      <c r="F26" s="70">
        <f t="shared" si="3"/>
        <v>-1.5097532733588671E-2</v>
      </c>
    </row>
    <row r="27" spans="1:7" ht="23.1" customHeight="1" x14ac:dyDescent="0.2">
      <c r="A27" s="25">
        <v>6</v>
      </c>
      <c r="B27" s="48" t="s">
        <v>85</v>
      </c>
      <c r="C27" s="51">
        <v>13720000</v>
      </c>
      <c r="D27" s="51">
        <v>12256000</v>
      </c>
      <c r="E27" s="51">
        <f t="shared" si="2"/>
        <v>-1464000</v>
      </c>
      <c r="F27" s="70">
        <f t="shared" si="3"/>
        <v>-0.10670553935860058</v>
      </c>
    </row>
    <row r="28" spans="1:7" ht="23.1" customHeight="1" x14ac:dyDescent="0.2">
      <c r="A28" s="25">
        <v>7</v>
      </c>
      <c r="B28" s="48" t="s">
        <v>86</v>
      </c>
      <c r="C28" s="51">
        <v>3614000</v>
      </c>
      <c r="D28" s="51">
        <v>3405000</v>
      </c>
      <c r="E28" s="51">
        <f t="shared" si="2"/>
        <v>-209000</v>
      </c>
      <c r="F28" s="70">
        <f t="shared" si="3"/>
        <v>-5.7830658550083014E-2</v>
      </c>
    </row>
    <row r="29" spans="1:7" ht="23.1" customHeight="1" x14ac:dyDescent="0.2">
      <c r="A29" s="25">
        <v>8</v>
      </c>
      <c r="B29" s="48" t="s">
        <v>87</v>
      </c>
      <c r="C29" s="51">
        <v>2859000</v>
      </c>
      <c r="D29" s="51">
        <v>2078000</v>
      </c>
      <c r="E29" s="51">
        <f t="shared" si="2"/>
        <v>-781000</v>
      </c>
      <c r="F29" s="70">
        <f t="shared" si="3"/>
        <v>-0.273172437915355</v>
      </c>
    </row>
    <row r="30" spans="1:7" ht="23.1" customHeight="1" x14ac:dyDescent="0.2">
      <c r="A30" s="25">
        <v>9</v>
      </c>
      <c r="B30" s="48" t="s">
        <v>88</v>
      </c>
      <c r="C30" s="51">
        <v>55581000</v>
      </c>
      <c r="D30" s="51">
        <v>61431000</v>
      </c>
      <c r="E30" s="51">
        <f t="shared" si="2"/>
        <v>5850000</v>
      </c>
      <c r="F30" s="70">
        <f t="shared" si="3"/>
        <v>0.10525179467803746</v>
      </c>
    </row>
    <row r="31" spans="1:7" ht="23.1" customHeight="1" x14ac:dyDescent="0.25">
      <c r="A31" s="29"/>
      <c r="B31" s="71" t="s">
        <v>89</v>
      </c>
      <c r="C31" s="27">
        <f>SUM(C22:C30)</f>
        <v>344623000</v>
      </c>
      <c r="D31" s="27">
        <f>SUM(D22:D30)</f>
        <v>351657000</v>
      </c>
      <c r="E31" s="27">
        <f t="shared" si="2"/>
        <v>7034000</v>
      </c>
      <c r="F31" s="28">
        <f t="shared" si="3"/>
        <v>2.0410709674049614E-2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14812000</v>
      </c>
      <c r="D33" s="27">
        <f>+D19-D31</f>
        <v>22343000</v>
      </c>
      <c r="E33" s="27">
        <f>D33-C33</f>
        <v>7531000</v>
      </c>
      <c r="F33" s="28">
        <f>IF(C33=0,0,E33/C33)</f>
        <v>0.5084391034296516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5968000</v>
      </c>
      <c r="D36" s="51">
        <v>2161000</v>
      </c>
      <c r="E36" s="51">
        <f>D36-C36</f>
        <v>-3807000</v>
      </c>
      <c r="F36" s="70">
        <f>IF(C36=0,0,E36/C36)</f>
        <v>-0.63790214477211793</v>
      </c>
    </row>
    <row r="37" spans="1:6" ht="23.1" customHeight="1" x14ac:dyDescent="0.2">
      <c r="A37" s="44">
        <v>2</v>
      </c>
      <c r="B37" s="48" t="s">
        <v>93</v>
      </c>
      <c r="C37" s="51">
        <v>471000</v>
      </c>
      <c r="D37" s="51">
        <v>467000</v>
      </c>
      <c r="E37" s="51">
        <f>D37-C37</f>
        <v>-4000</v>
      </c>
      <c r="F37" s="70">
        <f>IF(C37=0,0,E37/C37)</f>
        <v>-8.4925690021231421E-3</v>
      </c>
    </row>
    <row r="38" spans="1:6" ht="23.1" customHeight="1" x14ac:dyDescent="0.2">
      <c r="A38" s="44">
        <v>3</v>
      </c>
      <c r="B38" s="48" t="s">
        <v>94</v>
      </c>
      <c r="C38" s="51">
        <v>-1288000</v>
      </c>
      <c r="D38" s="51">
        <v>1278000</v>
      </c>
      <c r="E38" s="51">
        <f>D38-C38</f>
        <v>2566000</v>
      </c>
      <c r="F38" s="70">
        <f>IF(C38=0,0,E38/C38)</f>
        <v>-1.9922360248447204</v>
      </c>
    </row>
    <row r="39" spans="1:6" ht="23.1" customHeight="1" x14ac:dyDescent="0.25">
      <c r="A39" s="20"/>
      <c r="B39" s="71" t="s">
        <v>95</v>
      </c>
      <c r="C39" s="27">
        <f>SUM(C36:C38)</f>
        <v>5151000</v>
      </c>
      <c r="D39" s="27">
        <f>SUM(D36:D38)</f>
        <v>3906000</v>
      </c>
      <c r="E39" s="27">
        <f>D39-C39</f>
        <v>-1245000</v>
      </c>
      <c r="F39" s="28">
        <f>IF(C39=0,0,E39/C39)</f>
        <v>-0.24170064065230051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19963000</v>
      </c>
      <c r="D41" s="27">
        <f>D33+D39</f>
        <v>26249000</v>
      </c>
      <c r="E41" s="27">
        <f>D41-C41</f>
        <v>6286000</v>
      </c>
      <c r="F41" s="28">
        <f>IF(C41=0,0,E41/C41)</f>
        <v>0.31488253268546812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19963000</v>
      </c>
      <c r="D48" s="27">
        <f>D41+D46</f>
        <v>26249000</v>
      </c>
      <c r="E48" s="27">
        <f>D48-C48</f>
        <v>6286000</v>
      </c>
      <c r="F48" s="28">
        <f>IF(C48=0,0,E48/C48)</f>
        <v>0.31488253268546812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FILING&amp;R&amp;8MIDDLESEX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2013-09-11T12:18:28Z</cp:lastPrinted>
  <dcterms:created xsi:type="dcterms:W3CDTF">2006-08-03T13:49:12Z</dcterms:created>
  <dcterms:modified xsi:type="dcterms:W3CDTF">2013-09-12T14:58:23Z</dcterms:modified>
</cp:coreProperties>
</file>