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E88" i="22"/>
  <c r="D86" i="22"/>
  <c r="D88" i="22" s="1"/>
  <c r="C86" i="22"/>
  <c r="E83" i="22"/>
  <c r="E101" i="22"/>
  <c r="E103" i="22" s="1"/>
  <c r="D83" i="22"/>
  <c r="D102" i="22"/>
  <c r="C83" i="22"/>
  <c r="C101" i="22" s="1"/>
  <c r="E76" i="22"/>
  <c r="D76" i="22"/>
  <c r="C76" i="22"/>
  <c r="C77" i="22" s="1"/>
  <c r="E75" i="22"/>
  <c r="E77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23" i="22" s="1"/>
  <c r="E33" i="22"/>
  <c r="D12" i="22"/>
  <c r="D34" i="22"/>
  <c r="C12" i="22"/>
  <c r="D21" i="21"/>
  <c r="E21" i="21" s="1"/>
  <c r="C21" i="21"/>
  <c r="F21" i="21" s="1"/>
  <c r="D19" i="21"/>
  <c r="E19" i="21"/>
  <c r="F19" i="21" s="1"/>
  <c r="C19" i="21"/>
  <c r="E17" i="21"/>
  <c r="F17" i="21" s="1"/>
  <c r="F15" i="21"/>
  <c r="E15" i="21"/>
  <c r="D45" i="20"/>
  <c r="E45" i="20"/>
  <c r="F45" i="20"/>
  <c r="C45" i="20"/>
  <c r="D44" i="20"/>
  <c r="C44" i="20"/>
  <c r="D43" i="20"/>
  <c r="D46" i="20"/>
  <c r="C43" i="20"/>
  <c r="D36" i="20"/>
  <c r="D40" i="20" s="1"/>
  <c r="C36" i="20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F27" i="20"/>
  <c r="E27" i="20"/>
  <c r="D25" i="20"/>
  <c r="D39" i="20" s="1"/>
  <c r="C25" i="20"/>
  <c r="C39" i="20" s="1"/>
  <c r="E24" i="20"/>
  <c r="F24" i="20" s="1"/>
  <c r="F23" i="20"/>
  <c r="E23" i="20"/>
  <c r="F22" i="20"/>
  <c r="E22" i="20"/>
  <c r="D19" i="20"/>
  <c r="D20" i="20"/>
  <c r="E20" i="20"/>
  <c r="C19" i="20"/>
  <c r="C20" i="20"/>
  <c r="F18" i="20"/>
  <c r="E18" i="20"/>
  <c r="D16" i="20"/>
  <c r="E16" i="20" s="1"/>
  <c r="F16" i="20" s="1"/>
  <c r="C16" i="20"/>
  <c r="E15" i="20"/>
  <c r="F15" i="20" s="1"/>
  <c r="F13" i="20"/>
  <c r="E13" i="20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/>
  <c r="C63" i="19"/>
  <c r="C59" i="19"/>
  <c r="C48" i="19"/>
  <c r="C49" i="19" s="1"/>
  <c r="C36" i="19"/>
  <c r="C32" i="19"/>
  <c r="C37" i="19" s="1"/>
  <c r="C33" i="19"/>
  <c r="C21" i="19"/>
  <c r="E328" i="18"/>
  <c r="E325" i="18"/>
  <c r="D324" i="18"/>
  <c r="C324" i="18"/>
  <c r="C326" i="18" s="1"/>
  <c r="C330" i="18" s="1"/>
  <c r="E318" i="18"/>
  <c r="E315" i="18"/>
  <c r="D314" i="18"/>
  <c r="D316" i="18" s="1"/>
  <c r="C314" i="18"/>
  <c r="C316" i="18"/>
  <c r="E308" i="18"/>
  <c r="E305" i="18"/>
  <c r="D301" i="18"/>
  <c r="E301" i="18" s="1"/>
  <c r="C301" i="18"/>
  <c r="C303" i="18" s="1"/>
  <c r="C306" i="18" s="1"/>
  <c r="C310" i="18" s="1"/>
  <c r="D293" i="18"/>
  <c r="C293" i="18"/>
  <c r="E293" i="18" s="1"/>
  <c r="D292" i="18"/>
  <c r="E292" i="18"/>
  <c r="C292" i="18"/>
  <c r="D291" i="18"/>
  <c r="C291" i="18"/>
  <c r="D290" i="18"/>
  <c r="E290" i="18" s="1"/>
  <c r="C290" i="18"/>
  <c r="D288" i="18"/>
  <c r="C288" i="18"/>
  <c r="D287" i="18"/>
  <c r="C287" i="18"/>
  <c r="E287" i="18"/>
  <c r="D282" i="18"/>
  <c r="E282" i="18" s="1"/>
  <c r="C282" i="18"/>
  <c r="D281" i="18"/>
  <c r="C281" i="18"/>
  <c r="E281" i="18"/>
  <c r="D280" i="18"/>
  <c r="C280" i="18"/>
  <c r="E280" i="18" s="1"/>
  <c r="D279" i="18"/>
  <c r="E279" i="18" s="1"/>
  <c r="C279" i="18"/>
  <c r="D278" i="18"/>
  <c r="E278" i="18" s="1"/>
  <c r="C278" i="18"/>
  <c r="D277" i="18"/>
  <c r="E277" i="18" s="1"/>
  <c r="C277" i="18"/>
  <c r="D276" i="18"/>
  <c r="C276" i="18"/>
  <c r="E270" i="18"/>
  <c r="D265" i="18"/>
  <c r="D302" i="18"/>
  <c r="E302" i="18"/>
  <c r="C265" i="18"/>
  <c r="C302" i="18"/>
  <c r="D262" i="18"/>
  <c r="E262" i="18"/>
  <c r="C262" i="18"/>
  <c r="D251" i="18"/>
  <c r="C251" i="18"/>
  <c r="D233" i="18"/>
  <c r="E233" i="18" s="1"/>
  <c r="C233" i="18"/>
  <c r="D232" i="18"/>
  <c r="C232" i="18"/>
  <c r="E232" i="18"/>
  <c r="D231" i="18"/>
  <c r="C231" i="18"/>
  <c r="D230" i="18"/>
  <c r="E230" i="18" s="1"/>
  <c r="C230" i="18"/>
  <c r="D228" i="18"/>
  <c r="C228" i="18"/>
  <c r="E228" i="18"/>
  <c r="D227" i="18"/>
  <c r="C227" i="18"/>
  <c r="E227" i="18" s="1"/>
  <c r="D221" i="18"/>
  <c r="D245" i="18"/>
  <c r="E245" i="18" s="1"/>
  <c r="C221" i="18"/>
  <c r="C245" i="18" s="1"/>
  <c r="D220" i="18"/>
  <c r="E220" i="18"/>
  <c r="C220" i="18"/>
  <c r="C244" i="18" s="1"/>
  <c r="D219" i="18"/>
  <c r="D243" i="18" s="1"/>
  <c r="C219" i="18"/>
  <c r="D218" i="18"/>
  <c r="C218" i="18"/>
  <c r="C242" i="18"/>
  <c r="D216" i="18"/>
  <c r="E216" i="18" s="1"/>
  <c r="C216" i="18"/>
  <c r="C240" i="18"/>
  <c r="D215" i="18"/>
  <c r="C215" i="18"/>
  <c r="C239" i="18" s="1"/>
  <c r="C210" i="18"/>
  <c r="C211" i="18" s="1"/>
  <c r="E209" i="18"/>
  <c r="E208" i="18"/>
  <c r="E207" i="18"/>
  <c r="E206" i="18"/>
  <c r="D205" i="18"/>
  <c r="D210" i="18" s="1"/>
  <c r="D234" i="18" s="1"/>
  <c r="E234" i="18" s="1"/>
  <c r="C205" i="18"/>
  <c r="C229" i="18"/>
  <c r="E229" i="18" s="1"/>
  <c r="E204" i="18"/>
  <c r="E203" i="18"/>
  <c r="E197" i="18"/>
  <c r="E196" i="18"/>
  <c r="D195" i="18"/>
  <c r="D260" i="18" s="1"/>
  <c r="C195" i="18"/>
  <c r="E194" i="18"/>
  <c r="E193" i="18"/>
  <c r="E192" i="18"/>
  <c r="E191" i="18"/>
  <c r="E190" i="18"/>
  <c r="D188" i="18"/>
  <c r="C188" i="18"/>
  <c r="C261" i="18" s="1"/>
  <c r="E186" i="18"/>
  <c r="E185" i="18"/>
  <c r="D179" i="18"/>
  <c r="E179" i="18" s="1"/>
  <c r="C179" i="18"/>
  <c r="D178" i="18"/>
  <c r="C178" i="18"/>
  <c r="E178" i="18" s="1"/>
  <c r="D177" i="18"/>
  <c r="C177" i="18"/>
  <c r="E177" i="18"/>
  <c r="D176" i="18"/>
  <c r="C176" i="18"/>
  <c r="E176" i="18" s="1"/>
  <c r="C175" i="18"/>
  <c r="D174" i="18"/>
  <c r="C174" i="18"/>
  <c r="D173" i="18"/>
  <c r="E173" i="18" s="1"/>
  <c r="C173" i="18"/>
  <c r="D167" i="18"/>
  <c r="E167" i="18"/>
  <c r="C167" i="18"/>
  <c r="D166" i="18"/>
  <c r="C166" i="18"/>
  <c r="E166" i="18"/>
  <c r="D165" i="18"/>
  <c r="C165" i="18"/>
  <c r="E165" i="18" s="1"/>
  <c r="D164" i="18"/>
  <c r="E164" i="18" s="1"/>
  <c r="C164" i="18"/>
  <c r="D162" i="18"/>
  <c r="E162" i="18" s="1"/>
  <c r="C162" i="18"/>
  <c r="D161" i="18"/>
  <c r="C161" i="18"/>
  <c r="E161" i="18" s="1"/>
  <c r="D156" i="18"/>
  <c r="D157" i="18" s="1"/>
  <c r="E155" i="18"/>
  <c r="E154" i="18"/>
  <c r="E153" i="18"/>
  <c r="E152" i="18"/>
  <c r="D151" i="18"/>
  <c r="C151" i="18"/>
  <c r="C163" i="18" s="1"/>
  <c r="C156" i="18"/>
  <c r="C157" i="18" s="1"/>
  <c r="E157" i="18" s="1"/>
  <c r="E150" i="18"/>
  <c r="E149" i="18"/>
  <c r="E143" i="18"/>
  <c r="E142" i="18"/>
  <c r="E141" i="18"/>
  <c r="E140" i="18"/>
  <c r="D139" i="18"/>
  <c r="D175" i="18"/>
  <c r="E175" i="18" s="1"/>
  <c r="C139" i="18"/>
  <c r="C144" i="18" s="1"/>
  <c r="E138" i="18"/>
  <c r="E137" i="18"/>
  <c r="D75" i="18"/>
  <c r="C75" i="18"/>
  <c r="E75" i="18" s="1"/>
  <c r="D74" i="18"/>
  <c r="C74" i="18"/>
  <c r="E74" i="18" s="1"/>
  <c r="D73" i="18"/>
  <c r="C73" i="18"/>
  <c r="D72" i="18"/>
  <c r="E72" i="18" s="1"/>
  <c r="C72" i="18"/>
  <c r="D70" i="18"/>
  <c r="E70" i="18"/>
  <c r="C70" i="18"/>
  <c r="D69" i="18"/>
  <c r="C69" i="18"/>
  <c r="E64" i="18"/>
  <c r="E63" i="18"/>
  <c r="E62" i="18"/>
  <c r="E61" i="18"/>
  <c r="D60" i="18"/>
  <c r="C60" i="18"/>
  <c r="E59" i="18"/>
  <c r="E58" i="18"/>
  <c r="C55" i="18"/>
  <c r="D54" i="18"/>
  <c r="D283" i="18" s="1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E41" i="18"/>
  <c r="D40" i="18"/>
  <c r="E40" i="18" s="1"/>
  <c r="C40" i="18"/>
  <c r="D39" i="18"/>
  <c r="C39" i="18"/>
  <c r="D38" i="18"/>
  <c r="C38" i="18"/>
  <c r="E38" i="18" s="1"/>
  <c r="D37" i="18"/>
  <c r="C37" i="18"/>
  <c r="C43" i="18"/>
  <c r="D36" i="18"/>
  <c r="C36" i="18"/>
  <c r="C33" i="18"/>
  <c r="D32" i="18"/>
  <c r="C32" i="18"/>
  <c r="E31" i="18"/>
  <c r="E30" i="18"/>
  <c r="E29" i="18"/>
  <c r="E28" i="18"/>
  <c r="E27" i="18"/>
  <c r="E26" i="18"/>
  <c r="E25" i="18"/>
  <c r="D22" i="18"/>
  <c r="D21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E330" i="17"/>
  <c r="F330" i="17" s="1"/>
  <c r="F329" i="17"/>
  <c r="E329" i="17"/>
  <c r="F316" i="17"/>
  <c r="E316" i="17"/>
  <c r="F311" i="17"/>
  <c r="D311" i="17"/>
  <c r="E311" i="17" s="1"/>
  <c r="C311" i="17"/>
  <c r="E308" i="17"/>
  <c r="F308" i="17" s="1"/>
  <c r="D307" i="17"/>
  <c r="E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E306" i="17"/>
  <c r="C250" i="17"/>
  <c r="C306" i="17" s="1"/>
  <c r="F249" i="17"/>
  <c r="E249" i="17"/>
  <c r="E248" i="17"/>
  <c r="F248" i="17" s="1"/>
  <c r="F245" i="17"/>
  <c r="E245" i="17"/>
  <c r="F244" i="17"/>
  <c r="E244" i="17"/>
  <c r="E243" i="17"/>
  <c r="F243" i="17" s="1"/>
  <c r="D238" i="17"/>
  <c r="E238" i="17" s="1"/>
  <c r="C238" i="17"/>
  <c r="D237" i="17"/>
  <c r="D239" i="17" s="1"/>
  <c r="C237" i="17"/>
  <c r="C239" i="17"/>
  <c r="E239" i="17" s="1"/>
  <c r="F234" i="17"/>
  <c r="E234" i="17"/>
  <c r="E233" i="17"/>
  <c r="F233" i="17" s="1"/>
  <c r="D230" i="17"/>
  <c r="E230" i="17" s="1"/>
  <c r="C230" i="17"/>
  <c r="D229" i="17"/>
  <c r="C229" i="17"/>
  <c r="F228" i="17"/>
  <c r="E228" i="17"/>
  <c r="D226" i="17"/>
  <c r="E226" i="17" s="1"/>
  <c r="F226" i="17" s="1"/>
  <c r="D227" i="17"/>
  <c r="E227" i="17" s="1"/>
  <c r="F227" i="17" s="1"/>
  <c r="C226" i="17"/>
  <c r="C227" i="17" s="1"/>
  <c r="E225" i="17"/>
  <c r="F225" i="17" s="1"/>
  <c r="F224" i="17"/>
  <c r="E224" i="17"/>
  <c r="D223" i="17"/>
  <c r="E223" i="17" s="1"/>
  <c r="F223" i="17" s="1"/>
  <c r="C223" i="17"/>
  <c r="E222" i="17"/>
  <c r="F222" i="17" s="1"/>
  <c r="F221" i="17"/>
  <c r="E221" i="17"/>
  <c r="D204" i="17"/>
  <c r="E204" i="17"/>
  <c r="F204" i="17" s="1"/>
  <c r="C204" i="17"/>
  <c r="C285" i="17" s="1"/>
  <c r="D203" i="17"/>
  <c r="C203" i="17"/>
  <c r="D198" i="17"/>
  <c r="E198" i="17" s="1"/>
  <c r="C198" i="17"/>
  <c r="D191" i="17"/>
  <c r="D280" i="17" s="1"/>
  <c r="C191" i="17"/>
  <c r="C280" i="17" s="1"/>
  <c r="D189" i="17"/>
  <c r="D278" i="17" s="1"/>
  <c r="C189" i="17"/>
  <c r="C278" i="17"/>
  <c r="D188" i="17"/>
  <c r="D277" i="17" s="1"/>
  <c r="C188" i="17"/>
  <c r="C277" i="17"/>
  <c r="D180" i="17"/>
  <c r="E180" i="17" s="1"/>
  <c r="C180" i="17"/>
  <c r="F180" i="17" s="1"/>
  <c r="F179" i="17"/>
  <c r="D179" i="17"/>
  <c r="C179" i="17"/>
  <c r="C181" i="17" s="1"/>
  <c r="F181" i="17" s="1"/>
  <c r="D171" i="17"/>
  <c r="E171" i="17"/>
  <c r="C171" i="17"/>
  <c r="F171" i="17" s="1"/>
  <c r="C172" i="17"/>
  <c r="C173" i="17"/>
  <c r="F173" i="17" s="1"/>
  <c r="D170" i="17"/>
  <c r="C170" i="17"/>
  <c r="F170" i="17" s="1"/>
  <c r="F169" i="17"/>
  <c r="E169" i="17"/>
  <c r="F168" i="17"/>
  <c r="E168" i="17"/>
  <c r="D165" i="17"/>
  <c r="E165" i="17"/>
  <c r="C165" i="17"/>
  <c r="F165" i="17" s="1"/>
  <c r="F164" i="17"/>
  <c r="D164" i="17"/>
  <c r="E164" i="17"/>
  <c r="C164" i="17"/>
  <c r="F163" i="17"/>
  <c r="E163" i="17"/>
  <c r="F158" i="17"/>
  <c r="D158" i="17"/>
  <c r="C158" i="17"/>
  <c r="C159" i="17" s="1"/>
  <c r="F159" i="17" s="1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 s="1"/>
  <c r="F145" i="17" s="1"/>
  <c r="C145" i="17"/>
  <c r="D144" i="17"/>
  <c r="C144" i="17"/>
  <c r="C146" i="17" s="1"/>
  <c r="D136" i="17"/>
  <c r="D137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C129" i="17"/>
  <c r="F129" i="17" s="1"/>
  <c r="E128" i="17"/>
  <c r="F128" i="17"/>
  <c r="D123" i="17"/>
  <c r="C123" i="17"/>
  <c r="E122" i="17"/>
  <c r="F122" i="17" s="1"/>
  <c r="E121" i="17"/>
  <c r="F121" i="17" s="1"/>
  <c r="D120" i="17"/>
  <c r="E120" i="17"/>
  <c r="C120" i="17"/>
  <c r="E119" i="17"/>
  <c r="F119" i="17" s="1"/>
  <c r="E118" i="17"/>
  <c r="F118" i="17" s="1"/>
  <c r="D110" i="17"/>
  <c r="E110" i="17" s="1"/>
  <c r="C110" i="17"/>
  <c r="D109" i="17"/>
  <c r="C109" i="17"/>
  <c r="C111" i="17"/>
  <c r="D101" i="17"/>
  <c r="D102" i="17" s="1"/>
  <c r="C101" i="17"/>
  <c r="C102" i="17"/>
  <c r="C103" i="17" s="1"/>
  <c r="D100" i="17"/>
  <c r="E100" i="17" s="1"/>
  <c r="C100" i="17"/>
  <c r="E99" i="17"/>
  <c r="F99" i="17" s="1"/>
  <c r="E98" i="17"/>
  <c r="F98" i="17" s="1"/>
  <c r="D95" i="17"/>
  <c r="E95" i="17" s="1"/>
  <c r="C95" i="17"/>
  <c r="D94" i="17"/>
  <c r="E94" i="17" s="1"/>
  <c r="F94" i="17"/>
  <c r="C94" i="17"/>
  <c r="E93" i="17"/>
  <c r="F93" i="17" s="1"/>
  <c r="D88" i="17"/>
  <c r="D89" i="17"/>
  <c r="C88" i="17"/>
  <c r="C89" i="17"/>
  <c r="E89" i="17" s="1"/>
  <c r="E87" i="17"/>
  <c r="F87" i="17" s="1"/>
  <c r="E86" i="17"/>
  <c r="F86" i="17" s="1"/>
  <c r="D85" i="17"/>
  <c r="E85" i="17"/>
  <c r="C85" i="17"/>
  <c r="E84" i="17"/>
  <c r="F84" i="17" s="1"/>
  <c r="E83" i="17"/>
  <c r="F83" i="17" s="1"/>
  <c r="D76" i="17"/>
  <c r="D77" i="17"/>
  <c r="C76" i="17"/>
  <c r="C77" i="17"/>
  <c r="E74" i="17"/>
  <c r="F74" i="17" s="1"/>
  <c r="E73" i="17"/>
  <c r="F73" i="17"/>
  <c r="D67" i="17"/>
  <c r="C67" i="17"/>
  <c r="E67" i="17"/>
  <c r="D66" i="17"/>
  <c r="D68" i="17" s="1"/>
  <c r="C66" i="17"/>
  <c r="C68" i="17"/>
  <c r="D59" i="17"/>
  <c r="D60" i="17" s="1"/>
  <c r="C59" i="17"/>
  <c r="C60" i="17" s="1"/>
  <c r="D58" i="17"/>
  <c r="E58" i="17" s="1"/>
  <c r="C58" i="17"/>
  <c r="E57" i="17"/>
  <c r="F57" i="17"/>
  <c r="E56" i="17"/>
  <c r="F56" i="17"/>
  <c r="D53" i="17"/>
  <c r="E53" i="17" s="1"/>
  <c r="C53" i="17"/>
  <c r="D52" i="17"/>
  <c r="C52" i="17"/>
  <c r="E51" i="17"/>
  <c r="F51" i="17" s="1"/>
  <c r="D47" i="17"/>
  <c r="D48" i="17" s="1"/>
  <c r="C47" i="17"/>
  <c r="C48" i="17" s="1"/>
  <c r="E46" i="17"/>
  <c r="F46" i="17"/>
  <c r="E45" i="17"/>
  <c r="F45" i="17" s="1"/>
  <c r="D44" i="17"/>
  <c r="C44" i="17"/>
  <c r="E43" i="17"/>
  <c r="F43" i="17" s="1"/>
  <c r="E42" i="17"/>
  <c r="F42" i="17"/>
  <c r="D36" i="17"/>
  <c r="C36" i="17"/>
  <c r="D35" i="17"/>
  <c r="D37" i="17" s="1"/>
  <c r="C35" i="17"/>
  <c r="D30" i="17"/>
  <c r="D31" i="17" s="1"/>
  <c r="C30" i="17"/>
  <c r="C31" i="17" s="1"/>
  <c r="D29" i="17"/>
  <c r="C29" i="17"/>
  <c r="E28" i="17"/>
  <c r="F28" i="17" s="1"/>
  <c r="E27" i="17"/>
  <c r="F27" i="17" s="1"/>
  <c r="D24" i="17"/>
  <c r="C24" i="17"/>
  <c r="D23" i="17"/>
  <c r="C23" i="17"/>
  <c r="E22" i="17"/>
  <c r="F22" i="17" s="1"/>
  <c r="D20" i="17"/>
  <c r="C20" i="17"/>
  <c r="E19" i="17"/>
  <c r="F19" i="17" s="1"/>
  <c r="E18" i="17"/>
  <c r="F18" i="17"/>
  <c r="D17" i="17"/>
  <c r="E17" i="17" s="1"/>
  <c r="C17" i="17"/>
  <c r="E16" i="17"/>
  <c r="F16" i="17"/>
  <c r="E15" i="17"/>
  <c r="F15" i="17" s="1"/>
  <c r="D23" i="16"/>
  <c r="E23" i="16"/>
  <c r="C23" i="16"/>
  <c r="F22" i="16"/>
  <c r="E22" i="16"/>
  <c r="F21" i="16"/>
  <c r="E21" i="16"/>
  <c r="E20" i="16"/>
  <c r="F20" i="16" s="1"/>
  <c r="D17" i="16"/>
  <c r="E17" i="16" s="1"/>
  <c r="C17" i="16"/>
  <c r="F17" i="16" s="1"/>
  <c r="F16" i="16"/>
  <c r="E16" i="16"/>
  <c r="D13" i="16"/>
  <c r="E13" i="16"/>
  <c r="F13" i="16"/>
  <c r="C13" i="16"/>
  <c r="E12" i="16"/>
  <c r="F12" i="16" s="1"/>
  <c r="D107" i="15"/>
  <c r="E107" i="15" s="1"/>
  <c r="C107" i="15"/>
  <c r="F106" i="15"/>
  <c r="E106" i="15"/>
  <c r="E105" i="15"/>
  <c r="F105" i="15" s="1"/>
  <c r="E104" i="15"/>
  <c r="F104" i="15" s="1"/>
  <c r="D100" i="15"/>
  <c r="C100" i="15"/>
  <c r="E99" i="15"/>
  <c r="F99" i="15" s="1"/>
  <c r="E98" i="15"/>
  <c r="F98" i="15" s="1"/>
  <c r="F97" i="15"/>
  <c r="E97" i="15"/>
  <c r="F96" i="15"/>
  <c r="E96" i="15"/>
  <c r="E95" i="15"/>
  <c r="F95" i="15" s="1"/>
  <c r="D92" i="15"/>
  <c r="E92" i="15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3" i="15"/>
  <c r="E73" i="15"/>
  <c r="D70" i="15"/>
  <c r="C70" i="15"/>
  <c r="F69" i="15"/>
  <c r="E69" i="15"/>
  <c r="F68" i="15"/>
  <c r="E68" i="15"/>
  <c r="D65" i="15"/>
  <c r="C65" i="15"/>
  <c r="F64" i="15"/>
  <c r="E64" i="15"/>
  <c r="F63" i="15"/>
  <c r="E63" i="15"/>
  <c r="D60" i="15"/>
  <c r="C60" i="15"/>
  <c r="F60" i="15" s="1"/>
  <c r="F59" i="15"/>
  <c r="E59" i="15"/>
  <c r="F58" i="15"/>
  <c r="E58" i="15"/>
  <c r="E60" i="15"/>
  <c r="D55" i="15"/>
  <c r="C55" i="15"/>
  <c r="F54" i="15"/>
  <c r="E54" i="15"/>
  <c r="F53" i="15"/>
  <c r="E53" i="15"/>
  <c r="D50" i="15"/>
  <c r="C50" i="15"/>
  <c r="F49" i="15"/>
  <c r="E49" i="15"/>
  <c r="F48" i="15"/>
  <c r="E48" i="15"/>
  <c r="D45" i="15"/>
  <c r="C45" i="15"/>
  <c r="F44" i="15"/>
  <c r="E44" i="15"/>
  <c r="F43" i="15"/>
  <c r="E43" i="15"/>
  <c r="D37" i="15"/>
  <c r="C37" i="15"/>
  <c r="F36" i="15"/>
  <c r="E36" i="15"/>
  <c r="F35" i="15"/>
  <c r="E35" i="15"/>
  <c r="E34" i="15"/>
  <c r="F34" i="15" s="1"/>
  <c r="E33" i="15"/>
  <c r="F33" i="15" s="1"/>
  <c r="D30" i="15"/>
  <c r="E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F20" i="15"/>
  <c r="E20" i="15"/>
  <c r="E19" i="15"/>
  <c r="F19" i="15" s="1"/>
  <c r="D16" i="15"/>
  <c r="E16" i="15" s="1"/>
  <c r="F16" i="15" s="1"/>
  <c r="C16" i="15"/>
  <c r="F15" i="15"/>
  <c r="E15" i="15"/>
  <c r="E14" i="15"/>
  <c r="F14" i="15" s="1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I17" i="14" s="1"/>
  <c r="F17" i="14"/>
  <c r="F33" i="14" s="1"/>
  <c r="E17" i="14"/>
  <c r="E31" i="14"/>
  <c r="D17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C79" i="13"/>
  <c r="E78" i="13"/>
  <c r="E80" i="13"/>
  <c r="E77" i="13" s="1"/>
  <c r="D78" i="13"/>
  <c r="D77" i="13"/>
  <c r="C78" i="13"/>
  <c r="C80" i="13" s="1"/>
  <c r="C77" i="13" s="1"/>
  <c r="E75" i="13"/>
  <c r="E73" i="13"/>
  <c r="D73" i="13"/>
  <c r="D75" i="13"/>
  <c r="C73" i="13"/>
  <c r="C75" i="13" s="1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C50" i="13"/>
  <c r="D50" i="13"/>
  <c r="E48" i="13"/>
  <c r="E42" i="13"/>
  <c r="C48" i="13"/>
  <c r="E46" i="13"/>
  <c r="E59" i="13"/>
  <c r="E61" i="13"/>
  <c r="E57" i="13" s="1"/>
  <c r="D46" i="13"/>
  <c r="D59" i="13"/>
  <c r="D61" i="13" s="1"/>
  <c r="D57" i="13" s="1"/>
  <c r="C46" i="13"/>
  <c r="C59" i="13"/>
  <c r="C61" i="13"/>
  <c r="C57" i="13" s="1"/>
  <c r="E45" i="13"/>
  <c r="D45" i="13"/>
  <c r="C45" i="13"/>
  <c r="E38" i="13"/>
  <c r="D38" i="13"/>
  <c r="C38" i="13"/>
  <c r="E33" i="13"/>
  <c r="E34" i="13" s="1"/>
  <c r="D33" i="13"/>
  <c r="D34" i="13"/>
  <c r="E26" i="13"/>
  <c r="E27" i="13" s="1"/>
  <c r="D26" i="13"/>
  <c r="C26" i="13"/>
  <c r="C25" i="13"/>
  <c r="C27" i="13" s="1"/>
  <c r="E15" i="13"/>
  <c r="E24" i="13" s="1"/>
  <c r="E13" i="13"/>
  <c r="E25" i="13" s="1"/>
  <c r="D13" i="13"/>
  <c r="D15" i="13" s="1"/>
  <c r="D25" i="13"/>
  <c r="D27" i="13" s="1"/>
  <c r="C13" i="13"/>
  <c r="C15" i="13" s="1"/>
  <c r="C24" i="13" s="1"/>
  <c r="D47" i="12"/>
  <c r="E47" i="12" s="1"/>
  <c r="C47" i="12"/>
  <c r="F46" i="12"/>
  <c r="E46" i="12"/>
  <c r="F45" i="12"/>
  <c r="E45" i="12"/>
  <c r="D40" i="12"/>
  <c r="E40" i="12" s="1"/>
  <c r="C40" i="12"/>
  <c r="F39" i="12"/>
  <c r="E39" i="12"/>
  <c r="F38" i="12"/>
  <c r="E38" i="12"/>
  <c r="F37" i="12"/>
  <c r="E37" i="12"/>
  <c r="D32" i="12"/>
  <c r="C32" i="12"/>
  <c r="E31" i="12"/>
  <c r="F31" i="12" s="1"/>
  <c r="F30" i="12"/>
  <c r="E30" i="12"/>
  <c r="E29" i="12"/>
  <c r="F29" i="12" s="1"/>
  <c r="F28" i="12"/>
  <c r="E28" i="12"/>
  <c r="E27" i="12"/>
  <c r="F27" i="12" s="1"/>
  <c r="F26" i="12"/>
  <c r="E26" i="12"/>
  <c r="E25" i="12"/>
  <c r="F25" i="12" s="1"/>
  <c r="F24" i="12"/>
  <c r="E24" i="12"/>
  <c r="E23" i="12"/>
  <c r="F23" i="12" s="1"/>
  <c r="F19" i="12"/>
  <c r="E19" i="12"/>
  <c r="E18" i="12"/>
  <c r="F18" i="12" s="1"/>
  <c r="F16" i="12"/>
  <c r="E16" i="12"/>
  <c r="D15" i="12"/>
  <c r="D17" i="12"/>
  <c r="C15" i="12"/>
  <c r="C17" i="12" s="1"/>
  <c r="F14" i="12"/>
  <c r="E14" i="12"/>
  <c r="F13" i="12"/>
  <c r="E13" i="12"/>
  <c r="E12" i="12"/>
  <c r="F12" i="12" s="1"/>
  <c r="F11" i="12"/>
  <c r="E11" i="12"/>
  <c r="D73" i="11"/>
  <c r="F73" i="11"/>
  <c r="C73" i="11"/>
  <c r="E73" i="11" s="1"/>
  <c r="E72" i="11"/>
  <c r="F72" i="11" s="1"/>
  <c r="F71" i="11"/>
  <c r="E71" i="11"/>
  <c r="E70" i="11"/>
  <c r="F70" i="11" s="1"/>
  <c r="F67" i="11"/>
  <c r="E67" i="11"/>
  <c r="E64" i="11"/>
  <c r="F64" i="11" s="1"/>
  <c r="F63" i="11"/>
  <c r="E63" i="11"/>
  <c r="D61" i="11"/>
  <c r="D65" i="11"/>
  <c r="E65" i="11"/>
  <c r="C61" i="11"/>
  <c r="C65" i="11" s="1"/>
  <c r="F60" i="11"/>
  <c r="E60" i="11"/>
  <c r="E59" i="11"/>
  <c r="F59" i="11" s="1"/>
  <c r="D56" i="11"/>
  <c r="D75" i="11"/>
  <c r="E75" i="11" s="1"/>
  <c r="C56" i="11"/>
  <c r="C75" i="11"/>
  <c r="F55" i="11"/>
  <c r="E55" i="11"/>
  <c r="F54" i="11"/>
  <c r="E54" i="11"/>
  <c r="F53" i="11"/>
  <c r="E53" i="11"/>
  <c r="E52" i="11"/>
  <c r="F52" i="11"/>
  <c r="F51" i="11"/>
  <c r="E51" i="1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D41" i="11"/>
  <c r="E41" i="11"/>
  <c r="C38" i="11"/>
  <c r="C41" i="11" s="1"/>
  <c r="E37" i="11"/>
  <c r="F37" i="11" s="1"/>
  <c r="F36" i="11"/>
  <c r="E36" i="11"/>
  <c r="F33" i="11"/>
  <c r="E33" i="11"/>
  <c r="F32" i="11"/>
  <c r="E32" i="11"/>
  <c r="E31" i="11"/>
  <c r="F31" i="11" s="1"/>
  <c r="D29" i="11"/>
  <c r="C29" i="11"/>
  <c r="E28" i="11"/>
  <c r="F28" i="11" s="1"/>
  <c r="E27" i="11"/>
  <c r="F27" i="11" s="1"/>
  <c r="F26" i="11"/>
  <c r="E26" i="11"/>
  <c r="E25" i="11"/>
  <c r="F25" i="11" s="1"/>
  <c r="D22" i="11"/>
  <c r="C22" i="11"/>
  <c r="C43" i="11" s="1"/>
  <c r="E21" i="11"/>
  <c r="F21" i="11" s="1"/>
  <c r="F20" i="11"/>
  <c r="E20" i="11"/>
  <c r="E19" i="11"/>
  <c r="F19" i="11" s="1"/>
  <c r="F18" i="11"/>
  <c r="E18" i="11"/>
  <c r="E17" i="11"/>
  <c r="F17" i="11" s="1"/>
  <c r="F16" i="11"/>
  <c r="E16" i="11"/>
  <c r="E15" i="11"/>
  <c r="F15" i="11" s="1"/>
  <c r="F14" i="11"/>
  <c r="E14" i="11"/>
  <c r="E13" i="11"/>
  <c r="F13" i="11" s="1"/>
  <c r="F120" i="10"/>
  <c r="D120" i="10"/>
  <c r="E120" i="10" s="1"/>
  <c r="C120" i="10"/>
  <c r="D119" i="10"/>
  <c r="C119" i="10"/>
  <c r="F119" i="10" s="1"/>
  <c r="F118" i="10"/>
  <c r="D118" i="10"/>
  <c r="E118" i="10" s="1"/>
  <c r="C118" i="10"/>
  <c r="F117" i="10"/>
  <c r="D117" i="10"/>
  <c r="E117" i="10" s="1"/>
  <c r="C117" i="10"/>
  <c r="F116" i="10"/>
  <c r="D116" i="10"/>
  <c r="E116" i="10" s="1"/>
  <c r="C116" i="10"/>
  <c r="D115" i="10"/>
  <c r="C115" i="10"/>
  <c r="F115" i="10" s="1"/>
  <c r="F114" i="10"/>
  <c r="D114" i="10"/>
  <c r="E114" i="10" s="1"/>
  <c r="C114" i="10"/>
  <c r="F113" i="10"/>
  <c r="D113" i="10"/>
  <c r="D122" i="10" s="1"/>
  <c r="C113" i="10"/>
  <c r="F112" i="10"/>
  <c r="D112" i="10"/>
  <c r="D121" i="10" s="1"/>
  <c r="C112" i="10"/>
  <c r="C121" i="10"/>
  <c r="D108" i="10"/>
  <c r="C108" i="10"/>
  <c r="D107" i="10"/>
  <c r="C107" i="10"/>
  <c r="E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E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C205" i="9"/>
  <c r="F205" i="9" s="1"/>
  <c r="D204" i="9"/>
  <c r="C204" i="9"/>
  <c r="D203" i="9"/>
  <c r="E203" i="9" s="1"/>
  <c r="C203" i="9"/>
  <c r="D202" i="9"/>
  <c r="E202" i="9" s="1"/>
  <c r="C202" i="9"/>
  <c r="D201" i="9"/>
  <c r="C201" i="9"/>
  <c r="D200" i="9"/>
  <c r="E200" i="9" s="1"/>
  <c r="C200" i="9"/>
  <c r="D199" i="9"/>
  <c r="C199" i="9"/>
  <c r="D198" i="9"/>
  <c r="D207" i="9"/>
  <c r="E207" i="9"/>
  <c r="C198" i="9"/>
  <c r="C207" i="9" s="1"/>
  <c r="D193" i="9"/>
  <c r="E193" i="9"/>
  <c r="F193" i="9" s="1"/>
  <c r="C193" i="9"/>
  <c r="D192" i="9"/>
  <c r="E192" i="9"/>
  <c r="F192" i="9" s="1"/>
  <c r="C192" i="9"/>
  <c r="F191" i="9"/>
  <c r="E191" i="9"/>
  <c r="F190" i="9"/>
  <c r="E190" i="9"/>
  <c r="E189" i="9"/>
  <c r="F189" i="9" s="1"/>
  <c r="F188" i="9"/>
  <c r="E188" i="9"/>
  <c r="E187" i="9"/>
  <c r="F187" i="9" s="1"/>
  <c r="F186" i="9"/>
  <c r="E186" i="9"/>
  <c r="E185" i="9"/>
  <c r="F185" i="9" s="1"/>
  <c r="F184" i="9"/>
  <c r="E184" i="9"/>
  <c r="E183" i="9"/>
  <c r="F183" i="9" s="1"/>
  <c r="D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C154" i="9"/>
  <c r="F154" i="9" s="1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 s="1"/>
  <c r="C141" i="9"/>
  <c r="F140" i="9"/>
  <c r="D140" i="9"/>
  <c r="E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E127" i="9" s="1"/>
  <c r="F127" i="9" s="1"/>
  <c r="C127" i="9"/>
  <c r="F126" i="9"/>
  <c r="E126" i="9"/>
  <c r="E125" i="9"/>
  <c r="F125" i="9" s="1"/>
  <c r="F124" i="9"/>
  <c r="E124" i="9"/>
  <c r="F123" i="9"/>
  <c r="E123" i="9"/>
  <c r="F122" i="9"/>
  <c r="E122" i="9"/>
  <c r="E121" i="9"/>
  <c r="F121" i="9" s="1"/>
  <c r="F120" i="9"/>
  <c r="E120" i="9"/>
  <c r="F119" i="9"/>
  <c r="E119" i="9"/>
  <c r="F118" i="9"/>
  <c r="E118" i="9"/>
  <c r="D115" i="9"/>
  <c r="E115" i="9"/>
  <c r="F115" i="9" s="1"/>
  <c r="C115" i="9"/>
  <c r="D114" i="9"/>
  <c r="E114" i="9" s="1"/>
  <c r="F114" i="9" s="1"/>
  <c r="C114" i="9"/>
  <c r="E113" i="9"/>
  <c r="F113" i="9" s="1"/>
  <c r="F112" i="9"/>
  <c r="E112" i="9"/>
  <c r="E111" i="9"/>
  <c r="F111" i="9" s="1"/>
  <c r="F110" i="9"/>
  <c r="E110" i="9"/>
  <c r="E109" i="9"/>
  <c r="F109" i="9" s="1"/>
  <c r="F108" i="9"/>
  <c r="E108" i="9"/>
  <c r="F107" i="9"/>
  <c r="E107" i="9"/>
  <c r="F106" i="9"/>
  <c r="E106" i="9"/>
  <c r="E105" i="9"/>
  <c r="F105" i="9" s="1"/>
  <c r="D102" i="9"/>
  <c r="C102" i="9"/>
  <c r="D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 s="1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/>
  <c r="C76" i="9"/>
  <c r="D75" i="9"/>
  <c r="E75" i="9" s="1"/>
  <c r="F75" i="9"/>
  <c r="C75" i="9"/>
  <c r="F74" i="9"/>
  <c r="E74" i="9"/>
  <c r="E73" i="9"/>
  <c r="F73" i="9" s="1"/>
  <c r="F72" i="9"/>
  <c r="E72" i="9"/>
  <c r="F71" i="9"/>
  <c r="E71" i="9"/>
  <c r="F70" i="9"/>
  <c r="E70" i="9"/>
  <c r="E69" i="9"/>
  <c r="F69" i="9" s="1"/>
  <c r="E68" i="9"/>
  <c r="F68" i="9" s="1"/>
  <c r="F67" i="9"/>
  <c r="E67" i="9"/>
  <c r="F66" i="9"/>
  <c r="E66" i="9"/>
  <c r="D63" i="9"/>
  <c r="C63" i="9"/>
  <c r="F63" i="9" s="1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 s="1"/>
  <c r="F49" i="9" s="1"/>
  <c r="C49" i="9"/>
  <c r="E48" i="9"/>
  <c r="F48" i="9" s="1"/>
  <c r="E47" i="9"/>
  <c r="F47" i="9" s="1"/>
  <c r="F46" i="9"/>
  <c r="E46" i="9"/>
  <c r="F45" i="9"/>
  <c r="E45" i="9"/>
  <c r="F44" i="9"/>
  <c r="E44" i="9"/>
  <c r="E43" i="9"/>
  <c r="F43" i="9" s="1"/>
  <c r="F42" i="9"/>
  <c r="E42" i="9"/>
  <c r="F41" i="9"/>
  <c r="E41" i="9"/>
  <c r="E40" i="9"/>
  <c r="F40" i="9" s="1"/>
  <c r="F37" i="9"/>
  <c r="D37" i="9"/>
  <c r="E37" i="9" s="1"/>
  <c r="C37" i="9"/>
  <c r="D36" i="9"/>
  <c r="E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E23" i="9"/>
  <c r="F23" i="9"/>
  <c r="C23" i="9"/>
  <c r="F22" i="9"/>
  <c r="E22" i="9"/>
  <c r="F21" i="9"/>
  <c r="E21" i="9"/>
  <c r="E20" i="9"/>
  <c r="F20" i="9" s="1"/>
  <c r="F19" i="9"/>
  <c r="E19" i="9"/>
  <c r="F18" i="9"/>
  <c r="E18" i="9"/>
  <c r="F17" i="9"/>
  <c r="E17" i="9"/>
  <c r="E16" i="9"/>
  <c r="F16" i="9" s="1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/>
  <c r="D166" i="8" s="1"/>
  <c r="D157" i="8" s="1"/>
  <c r="C164" i="8"/>
  <c r="E162" i="8"/>
  <c r="D162" i="8"/>
  <c r="C162" i="8"/>
  <c r="E161" i="8"/>
  <c r="D161" i="8"/>
  <c r="C161" i="8"/>
  <c r="C160" i="8"/>
  <c r="C166" i="8" s="1"/>
  <c r="E147" i="8"/>
  <c r="D147" i="8"/>
  <c r="D143" i="8" s="1"/>
  <c r="D149" i="8"/>
  <c r="C147" i="8"/>
  <c r="E145" i="8"/>
  <c r="D145" i="8"/>
  <c r="C145" i="8"/>
  <c r="E144" i="8"/>
  <c r="D144" i="8"/>
  <c r="C144" i="8"/>
  <c r="E143" i="8"/>
  <c r="C143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E109" i="8" s="1"/>
  <c r="E106" i="8"/>
  <c r="D107" i="8"/>
  <c r="D109" i="8" s="1"/>
  <c r="D106" i="8" s="1"/>
  <c r="C107" i="8"/>
  <c r="C104" i="8"/>
  <c r="E102" i="8"/>
  <c r="E104" i="8" s="1"/>
  <c r="D102" i="8"/>
  <c r="D104" i="8" s="1"/>
  <c r="C102" i="8"/>
  <c r="E100" i="8"/>
  <c r="D100" i="8"/>
  <c r="C100" i="8"/>
  <c r="E95" i="8"/>
  <c r="E94" i="8" s="1"/>
  <c r="D95" i="8"/>
  <c r="C95" i="8"/>
  <c r="C94" i="8" s="1"/>
  <c r="D94" i="8"/>
  <c r="E89" i="8"/>
  <c r="D89" i="8"/>
  <c r="C89" i="8"/>
  <c r="E88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C77" i="8"/>
  <c r="C71" i="8" s="1"/>
  <c r="E75" i="8"/>
  <c r="D75" i="8"/>
  <c r="D88" i="8"/>
  <c r="D90" i="8" s="1"/>
  <c r="C75" i="8"/>
  <c r="C88" i="8" s="1"/>
  <c r="C90" i="8" s="1"/>
  <c r="E74" i="8"/>
  <c r="D74" i="8"/>
  <c r="C74" i="8"/>
  <c r="E67" i="8"/>
  <c r="D67" i="8"/>
  <c r="C67" i="8"/>
  <c r="E38" i="8"/>
  <c r="E43" i="8" s="1"/>
  <c r="E57" i="8"/>
  <c r="E62" i="8" s="1"/>
  <c r="D38" i="8"/>
  <c r="C38" i="8"/>
  <c r="C57" i="8" s="1"/>
  <c r="C62" i="8" s="1"/>
  <c r="E33" i="8"/>
  <c r="E34" i="8" s="1"/>
  <c r="D33" i="8"/>
  <c r="D34" i="8"/>
  <c r="E26" i="8"/>
  <c r="D26" i="8"/>
  <c r="C26" i="8"/>
  <c r="E13" i="8"/>
  <c r="D13" i="8"/>
  <c r="C13" i="8"/>
  <c r="F186" i="7"/>
  <c r="E186" i="7"/>
  <c r="D183" i="7"/>
  <c r="D188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E175" i="7"/>
  <c r="F175" i="7" s="1"/>
  <c r="F174" i="7"/>
  <c r="E174" i="7"/>
  <c r="F173" i="7"/>
  <c r="E173" i="7"/>
  <c r="F172" i="7"/>
  <c r="E172" i="7"/>
  <c r="F171" i="7"/>
  <c r="E171" i="7"/>
  <c r="F170" i="7"/>
  <c r="E170" i="7"/>
  <c r="D167" i="7"/>
  <c r="C167" i="7"/>
  <c r="E166" i="7"/>
  <c r="F166" i="7" s="1"/>
  <c r="F165" i="7"/>
  <c r="E165" i="7"/>
  <c r="F164" i="7"/>
  <c r="E164" i="7"/>
  <c r="E163" i="7"/>
  <c r="F163" i="7" s="1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E150" i="7"/>
  <c r="F150" i="7" s="1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E142" i="7"/>
  <c r="F142" i="7" s="1"/>
  <c r="F141" i="7"/>
  <c r="E141" i="7"/>
  <c r="F140" i="7"/>
  <c r="E140" i="7"/>
  <c r="F139" i="7"/>
  <c r="E139" i="7"/>
  <c r="E138" i="7"/>
  <c r="F138" i="7" s="1"/>
  <c r="F137" i="7"/>
  <c r="E137" i="7"/>
  <c r="F136" i="7"/>
  <c r="E136" i="7"/>
  <c r="F135" i="7"/>
  <c r="E135" i="7"/>
  <c r="E134" i="7"/>
  <c r="F134" i="7" s="1"/>
  <c r="F133" i="7"/>
  <c r="E133" i="7"/>
  <c r="D130" i="7"/>
  <c r="E130" i="7" s="1"/>
  <c r="C130" i="7"/>
  <c r="E129" i="7"/>
  <c r="F129" i="7" s="1"/>
  <c r="F128" i="7"/>
  <c r="E128" i="7"/>
  <c r="F127" i="7"/>
  <c r="E127" i="7"/>
  <c r="F126" i="7"/>
  <c r="E126" i="7"/>
  <c r="F125" i="7"/>
  <c r="E125" i="7"/>
  <c r="F124" i="7"/>
  <c r="E124" i="7"/>
  <c r="D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E113" i="7"/>
  <c r="F113" i="7" s="1"/>
  <c r="E112" i="7"/>
  <c r="F112" i="7" s="1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E104" i="7"/>
  <c r="F104" i="7" s="1"/>
  <c r="F103" i="7"/>
  <c r="E103" i="7"/>
  <c r="F93" i="7"/>
  <c r="E93" i="7"/>
  <c r="D90" i="7"/>
  <c r="C90" i="7"/>
  <c r="E89" i="7"/>
  <c r="F89" i="7" s="1"/>
  <c r="F88" i="7"/>
  <c r="E88" i="7"/>
  <c r="F87" i="7"/>
  <c r="E87" i="7"/>
  <c r="F86" i="7"/>
  <c r="E86" i="7"/>
  <c r="F85" i="7"/>
  <c r="E85" i="7"/>
  <c r="E84" i="7"/>
  <c r="F84" i="7" s="1"/>
  <c r="F83" i="7"/>
  <c r="E83" i="7"/>
  <c r="E82" i="7"/>
  <c r="F82" i="7" s="1"/>
  <c r="E81" i="7"/>
  <c r="F81" i="7" s="1"/>
  <c r="E80" i="7"/>
  <c r="F80" i="7" s="1"/>
  <c r="F79" i="7"/>
  <c r="E79" i="7"/>
  <c r="F78" i="7"/>
  <c r="E78" i="7"/>
  <c r="E77" i="7"/>
  <c r="F77" i="7" s="1"/>
  <c r="E76" i="7"/>
  <c r="F76" i="7" s="1"/>
  <c r="F75" i="7"/>
  <c r="E75" i="7"/>
  <c r="E74" i="7"/>
  <c r="F74" i="7" s="1"/>
  <c r="E73" i="7"/>
  <c r="F73" i="7" s="1"/>
  <c r="E72" i="7"/>
  <c r="F72" i="7" s="1"/>
  <c r="F71" i="7"/>
  <c r="E71" i="7"/>
  <c r="E70" i="7"/>
  <c r="F70" i="7" s="1"/>
  <c r="E69" i="7"/>
  <c r="F69" i="7" s="1"/>
  <c r="E68" i="7"/>
  <c r="F68" i="7" s="1"/>
  <c r="F67" i="7"/>
  <c r="E67" i="7"/>
  <c r="E66" i="7"/>
  <c r="F66" i="7" s="1"/>
  <c r="E65" i="7"/>
  <c r="F65" i="7" s="1"/>
  <c r="E64" i="7"/>
  <c r="F64" i="7" s="1"/>
  <c r="F63" i="7"/>
  <c r="E63" i="7"/>
  <c r="F62" i="7"/>
  <c r="E62" i="7"/>
  <c r="D59" i="7"/>
  <c r="C59" i="7"/>
  <c r="F58" i="7"/>
  <c r="E58" i="7"/>
  <c r="E57" i="7"/>
  <c r="F57" i="7" s="1"/>
  <c r="E56" i="7"/>
  <c r="F56" i="7" s="1"/>
  <c r="E55" i="7"/>
  <c r="F55" i="7" s="1"/>
  <c r="F54" i="7"/>
  <c r="E54" i="7"/>
  <c r="E53" i="7"/>
  <c r="F53" i="7" s="1"/>
  <c r="E50" i="7"/>
  <c r="F50" i="7" s="1"/>
  <c r="E47" i="7"/>
  <c r="F47" i="7" s="1"/>
  <c r="F44" i="7"/>
  <c r="E44" i="7"/>
  <c r="D41" i="7"/>
  <c r="E41" i="7"/>
  <c r="C41" i="7"/>
  <c r="E40" i="7"/>
  <c r="F40" i="7" s="1"/>
  <c r="F39" i="7"/>
  <c r="E39" i="7"/>
  <c r="E38" i="7"/>
  <c r="F38" i="7" s="1"/>
  <c r="D35" i="7"/>
  <c r="C35" i="7"/>
  <c r="F34" i="7"/>
  <c r="E34" i="7"/>
  <c r="E33" i="7"/>
  <c r="F33" i="7" s="1"/>
  <c r="D30" i="7"/>
  <c r="C30" i="7"/>
  <c r="F29" i="7"/>
  <c r="E29" i="7"/>
  <c r="E28" i="7"/>
  <c r="F28" i="7" s="1"/>
  <c r="E27" i="7"/>
  <c r="F27" i="7" s="1"/>
  <c r="D24" i="7"/>
  <c r="E24" i="7"/>
  <c r="F24" i="7" s="1"/>
  <c r="C24" i="7"/>
  <c r="E23" i="7"/>
  <c r="F23" i="7" s="1"/>
  <c r="E22" i="7"/>
  <c r="F22" i="7" s="1"/>
  <c r="E21" i="7"/>
  <c r="F21" i="7" s="1"/>
  <c r="D18" i="7"/>
  <c r="C18" i="7"/>
  <c r="C95" i="7" s="1"/>
  <c r="E17" i="7"/>
  <c r="F17" i="7" s="1"/>
  <c r="E16" i="7"/>
  <c r="F16" i="7" s="1"/>
  <c r="F15" i="7"/>
  <c r="E15" i="7"/>
  <c r="D179" i="6"/>
  <c r="E179" i="6"/>
  <c r="F179" i="6" s="1"/>
  <c r="C179" i="6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E172" i="6"/>
  <c r="F172" i="6" s="1"/>
  <c r="F171" i="6"/>
  <c r="E171" i="6"/>
  <c r="E170" i="6"/>
  <c r="F170" i="6" s="1"/>
  <c r="E169" i="6"/>
  <c r="F169" i="6" s="1"/>
  <c r="E168" i="6"/>
  <c r="F168" i="6" s="1"/>
  <c r="D166" i="6"/>
  <c r="E166" i="6" s="1"/>
  <c r="C166" i="6"/>
  <c r="F166" i="6" s="1"/>
  <c r="F165" i="6"/>
  <c r="E165" i="6"/>
  <c r="F164" i="6"/>
  <c r="E164" i="6"/>
  <c r="F163" i="6"/>
  <c r="E163" i="6"/>
  <c r="E162" i="6"/>
  <c r="F162" i="6" s="1"/>
  <c r="F161" i="6"/>
  <c r="E161" i="6"/>
  <c r="E160" i="6"/>
  <c r="F160" i="6" s="1"/>
  <c r="F159" i="6"/>
  <c r="E159" i="6"/>
  <c r="F158" i="6"/>
  <c r="E158" i="6"/>
  <c r="E157" i="6"/>
  <c r="F157" i="6" s="1"/>
  <c r="E156" i="6"/>
  <c r="F156" i="6" s="1"/>
  <c r="F155" i="6"/>
  <c r="E155" i="6"/>
  <c r="D153" i="6"/>
  <c r="C153" i="6"/>
  <c r="E153" i="6" s="1"/>
  <c r="F152" i="6"/>
  <c r="E152" i="6"/>
  <c r="F151" i="6"/>
  <c r="E151" i="6"/>
  <c r="E150" i="6"/>
  <c r="F150" i="6" s="1"/>
  <c r="E149" i="6"/>
  <c r="F149" i="6" s="1"/>
  <c r="E148" i="6"/>
  <c r="F148" i="6" s="1"/>
  <c r="F147" i="6"/>
  <c r="E147" i="6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F132" i="6"/>
  <c r="E132" i="6"/>
  <c r="E131" i="6"/>
  <c r="F131" i="6" s="1"/>
  <c r="F130" i="6"/>
  <c r="E130" i="6"/>
  <c r="F129" i="6"/>
  <c r="E129" i="6"/>
  <c r="F128" i="6"/>
  <c r="E128" i="6"/>
  <c r="E127" i="6"/>
  <c r="F127" i="6" s="1"/>
  <c r="E126" i="6"/>
  <c r="F126" i="6" s="1"/>
  <c r="D124" i="6"/>
  <c r="E124" i="6"/>
  <c r="F124" i="6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E111" i="6" s="1"/>
  <c r="C111" i="6"/>
  <c r="F111" i="6" s="1"/>
  <c r="F110" i="6"/>
  <c r="E110" i="6"/>
  <c r="F109" i="6"/>
  <c r="E109" i="6"/>
  <c r="F108" i="6"/>
  <c r="E108" i="6"/>
  <c r="E107" i="6"/>
  <c r="F107" i="6" s="1"/>
  <c r="E106" i="6"/>
  <c r="F106" i="6" s="1"/>
  <c r="E105" i="6"/>
  <c r="F105" i="6" s="1"/>
  <c r="F104" i="6"/>
  <c r="E104" i="6"/>
  <c r="F103" i="6"/>
  <c r="E103" i="6"/>
  <c r="E102" i="6"/>
  <c r="F102" i="6" s="1"/>
  <c r="E101" i="6"/>
  <c r="F101" i="6" s="1"/>
  <c r="F100" i="6"/>
  <c r="E100" i="6"/>
  <c r="D94" i="6"/>
  <c r="C94" i="6"/>
  <c r="F93" i="6"/>
  <c r="D93" i="6"/>
  <c r="E93" i="6"/>
  <c r="C93" i="6"/>
  <c r="D92" i="6"/>
  <c r="C92" i="6"/>
  <c r="E92" i="6" s="1"/>
  <c r="D91" i="6"/>
  <c r="E91" i="6"/>
  <c r="F91" i="6"/>
  <c r="C91" i="6"/>
  <c r="D90" i="6"/>
  <c r="C90" i="6"/>
  <c r="E90" i="6" s="1"/>
  <c r="D89" i="6"/>
  <c r="E89" i="6"/>
  <c r="F89" i="6" s="1"/>
  <c r="C89" i="6"/>
  <c r="D88" i="6"/>
  <c r="F88" i="6"/>
  <c r="C88" i="6"/>
  <c r="E88" i="6" s="1"/>
  <c r="F87" i="6"/>
  <c r="D87" i="6"/>
  <c r="E87" i="6"/>
  <c r="C87" i="6"/>
  <c r="D86" i="6"/>
  <c r="F86" i="6"/>
  <c r="C86" i="6"/>
  <c r="E86" i="6" s="1"/>
  <c r="D85" i="6"/>
  <c r="E85" i="6"/>
  <c r="F85" i="6"/>
  <c r="C85" i="6"/>
  <c r="D84" i="6"/>
  <c r="C84" i="6"/>
  <c r="C95" i="6"/>
  <c r="D81" i="6"/>
  <c r="E81" i="6"/>
  <c r="F81" i="6"/>
  <c r="C81" i="6"/>
  <c r="F80" i="6"/>
  <c r="E80" i="6"/>
  <c r="F79" i="6"/>
  <c r="E79" i="6"/>
  <c r="E78" i="6"/>
  <c r="F78" i="6" s="1"/>
  <c r="F77" i="6"/>
  <c r="E77" i="6"/>
  <c r="E76" i="6"/>
  <c r="F76" i="6" s="1"/>
  <c r="F75" i="6"/>
  <c r="E75" i="6"/>
  <c r="E74" i="6"/>
  <c r="F74" i="6" s="1"/>
  <c r="F73" i="6"/>
  <c r="E73" i="6"/>
  <c r="E72" i="6"/>
  <c r="F72" i="6" s="1"/>
  <c r="E71" i="6"/>
  <c r="F71" i="6" s="1"/>
  <c r="E70" i="6"/>
  <c r="F70" i="6" s="1"/>
  <c r="D68" i="6"/>
  <c r="E68" i="6" s="1"/>
  <c r="C68" i="6"/>
  <c r="F68" i="6" s="1"/>
  <c r="F67" i="6"/>
  <c r="E67" i="6"/>
  <c r="F66" i="6"/>
  <c r="E66" i="6"/>
  <c r="F65" i="6"/>
  <c r="E65" i="6"/>
  <c r="E64" i="6"/>
  <c r="F64" i="6" s="1"/>
  <c r="E63" i="6"/>
  <c r="F63" i="6" s="1"/>
  <c r="E62" i="6"/>
  <c r="F62" i="6" s="1"/>
  <c r="F61" i="6"/>
  <c r="E61" i="6"/>
  <c r="F60" i="6"/>
  <c r="E60" i="6"/>
  <c r="E59" i="6"/>
  <c r="F59" i="6" s="1"/>
  <c r="E58" i="6"/>
  <c r="F58" i="6" s="1"/>
  <c r="F57" i="6"/>
  <c r="E57" i="6"/>
  <c r="D51" i="6"/>
  <c r="C51" i="6"/>
  <c r="F50" i="6"/>
  <c r="D50" i="6"/>
  <c r="E50" i="6"/>
  <c r="C50" i="6"/>
  <c r="D49" i="6"/>
  <c r="C49" i="6"/>
  <c r="E49" i="6" s="1"/>
  <c r="D48" i="6"/>
  <c r="E48" i="6"/>
  <c r="F48" i="6"/>
  <c r="C48" i="6"/>
  <c r="D47" i="6"/>
  <c r="C47" i="6"/>
  <c r="E47" i="6" s="1"/>
  <c r="D46" i="6"/>
  <c r="E46" i="6"/>
  <c r="F46" i="6" s="1"/>
  <c r="C46" i="6"/>
  <c r="D45" i="6"/>
  <c r="F45" i="6"/>
  <c r="C45" i="6"/>
  <c r="E45" i="6" s="1"/>
  <c r="F44" i="6"/>
  <c r="D44" i="6"/>
  <c r="E44" i="6"/>
  <c r="C44" i="6"/>
  <c r="D43" i="6"/>
  <c r="C43" i="6"/>
  <c r="E43" i="6" s="1"/>
  <c r="D42" i="6"/>
  <c r="E42" i="6"/>
  <c r="F42" i="6"/>
  <c r="C42" i="6"/>
  <c r="D41" i="6"/>
  <c r="C41" i="6"/>
  <c r="D38" i="6"/>
  <c r="E38" i="6" s="1"/>
  <c r="C38" i="6"/>
  <c r="F37" i="6"/>
  <c r="E37" i="6"/>
  <c r="F36" i="6"/>
  <c r="E36" i="6"/>
  <c r="F35" i="6"/>
  <c r="E35" i="6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F27" i="6"/>
  <c r="E27" i="6"/>
  <c r="D25" i="6"/>
  <c r="C25" i="6"/>
  <c r="F24" i="6"/>
  <c r="E24" i="6"/>
  <c r="F23" i="6"/>
  <c r="E23" i="6"/>
  <c r="E22" i="6"/>
  <c r="F22" i="6" s="1"/>
  <c r="E21" i="6"/>
  <c r="F21" i="6" s="1"/>
  <c r="F20" i="6"/>
  <c r="E20" i="6"/>
  <c r="F19" i="6"/>
  <c r="E19" i="6"/>
  <c r="E18" i="6"/>
  <c r="F18" i="6" s="1"/>
  <c r="F17" i="6"/>
  <c r="E17" i="6"/>
  <c r="F16" i="6"/>
  <c r="E16" i="6"/>
  <c r="E15" i="6"/>
  <c r="F15" i="6" s="1"/>
  <c r="E14" i="6"/>
  <c r="F14" i="6" s="1"/>
  <c r="E51" i="5"/>
  <c r="F51" i="5" s="1"/>
  <c r="D48" i="5"/>
  <c r="E48" i="5" s="1"/>
  <c r="F48" i="5"/>
  <c r="C48" i="5"/>
  <c r="E47" i="5"/>
  <c r="F47" i="5" s="1"/>
  <c r="F46" i="5"/>
  <c r="E46" i="5"/>
  <c r="D41" i="5"/>
  <c r="C41" i="5"/>
  <c r="E40" i="5"/>
  <c r="F40" i="5" s="1"/>
  <c r="F39" i="5"/>
  <c r="E39" i="5"/>
  <c r="F38" i="5"/>
  <c r="E38" i="5"/>
  <c r="D33" i="5"/>
  <c r="E33" i="5" s="1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E25" i="5"/>
  <c r="F25" i="5" s="1"/>
  <c r="F24" i="5"/>
  <c r="E24" i="5"/>
  <c r="F20" i="5"/>
  <c r="E20" i="5"/>
  <c r="F19" i="5"/>
  <c r="E19" i="5"/>
  <c r="E17" i="5"/>
  <c r="F17" i="5" s="1"/>
  <c r="D16" i="5"/>
  <c r="D18" i="5"/>
  <c r="D21" i="5" s="1"/>
  <c r="C16" i="5"/>
  <c r="C18" i="5"/>
  <c r="E18" i="5" s="1"/>
  <c r="F18" i="5" s="1"/>
  <c r="F15" i="5"/>
  <c r="E15" i="5"/>
  <c r="E14" i="5"/>
  <c r="F14" i="5" s="1"/>
  <c r="F13" i="5"/>
  <c r="E13" i="5"/>
  <c r="F12" i="5"/>
  <c r="E12" i="5"/>
  <c r="D73" i="4"/>
  <c r="E73" i="4" s="1"/>
  <c r="F73" i="4" s="1"/>
  <c r="C73" i="4"/>
  <c r="F72" i="4"/>
  <c r="E72" i="4"/>
  <c r="F71" i="4"/>
  <c r="E71" i="4"/>
  <c r="E70" i="4"/>
  <c r="F70" i="4" s="1"/>
  <c r="F67" i="4"/>
  <c r="E67" i="4"/>
  <c r="F64" i="4"/>
  <c r="E64" i="4"/>
  <c r="F63" i="4"/>
  <c r="E63" i="4"/>
  <c r="D61" i="4"/>
  <c r="E61" i="4"/>
  <c r="F61" i="4" s="1"/>
  <c r="C61" i="4"/>
  <c r="C65" i="4"/>
  <c r="F60" i="4"/>
  <c r="E60" i="4"/>
  <c r="E59" i="4"/>
  <c r="F59" i="4" s="1"/>
  <c r="D56" i="4"/>
  <c r="E56" i="4"/>
  <c r="C56" i="4"/>
  <c r="F55" i="4"/>
  <c r="E55" i="4"/>
  <c r="F54" i="4"/>
  <c r="E54" i="4"/>
  <c r="F53" i="4"/>
  <c r="E53" i="4"/>
  <c r="E52" i="4"/>
  <c r="F52" i="4" s="1"/>
  <c r="F51" i="4"/>
  <c r="E51" i="4"/>
  <c r="A51" i="4"/>
  <c r="A52" i="4"/>
  <c r="A53" i="4" s="1"/>
  <c r="A54" i="4" s="1"/>
  <c r="A55" i="4" s="1"/>
  <c r="E50" i="4"/>
  <c r="F50" i="4"/>
  <c r="A50" i="4"/>
  <c r="E49" i="4"/>
  <c r="F49" i="4" s="1"/>
  <c r="F40" i="4"/>
  <c r="E40" i="4"/>
  <c r="D38" i="4"/>
  <c r="E38" i="4" s="1"/>
  <c r="F38" i="4"/>
  <c r="C38" i="4"/>
  <c r="C41" i="4"/>
  <c r="E37" i="4"/>
  <c r="F37" i="4" s="1"/>
  <c r="E36" i="4"/>
  <c r="F36" i="4" s="1"/>
  <c r="E33" i="4"/>
  <c r="F33" i="4" s="1"/>
  <c r="F32" i="4"/>
  <c r="E32" i="4"/>
  <c r="E31" i="4"/>
  <c r="F31" i="4" s="1"/>
  <c r="D29" i="4"/>
  <c r="C29" i="4"/>
  <c r="E28" i="4"/>
  <c r="F28" i="4" s="1"/>
  <c r="F27" i="4"/>
  <c r="E27" i="4"/>
  <c r="F26" i="4"/>
  <c r="E26" i="4"/>
  <c r="E25" i="4"/>
  <c r="F25" i="4" s="1"/>
  <c r="D22" i="4"/>
  <c r="C22" i="4"/>
  <c r="F21" i="4"/>
  <c r="E21" i="4"/>
  <c r="F20" i="4"/>
  <c r="E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F13" i="4"/>
  <c r="E13" i="4"/>
  <c r="C109" i="22"/>
  <c r="C108" i="22"/>
  <c r="D22" i="22"/>
  <c r="D45" i="22" s="1"/>
  <c r="E30" i="22"/>
  <c r="E38" i="22" s="1"/>
  <c r="D33" i="22"/>
  <c r="C34" i="22"/>
  <c r="E34" i="22"/>
  <c r="E36" i="22"/>
  <c r="E40" i="22"/>
  <c r="E46" i="22"/>
  <c r="E54" i="22"/>
  <c r="C102" i="22"/>
  <c r="C103" i="22" s="1"/>
  <c r="E102" i="22"/>
  <c r="E52" i="17"/>
  <c r="F52" i="17"/>
  <c r="E22" i="22"/>
  <c r="D23" i="22"/>
  <c r="F20" i="20"/>
  <c r="D41" i="20"/>
  <c r="E39" i="20"/>
  <c r="E19" i="20"/>
  <c r="F19" i="20" s="1"/>
  <c r="E43" i="20"/>
  <c r="C38" i="19"/>
  <c r="C127" i="19"/>
  <c r="C129" i="19" s="1"/>
  <c r="C133" i="19"/>
  <c r="C22" i="19"/>
  <c r="E21" i="18"/>
  <c r="E37" i="18"/>
  <c r="E23" i="17"/>
  <c r="E24" i="17"/>
  <c r="F24" i="17"/>
  <c r="E29" i="17"/>
  <c r="E36" i="17"/>
  <c r="F36" i="17" s="1"/>
  <c r="E44" i="17"/>
  <c r="F44" i="17" s="1"/>
  <c r="E294" i="17"/>
  <c r="E295" i="17"/>
  <c r="F295" i="17" s="1"/>
  <c r="E297" i="17"/>
  <c r="F297" i="17" s="1"/>
  <c r="E298" i="17"/>
  <c r="E299" i="17"/>
  <c r="E283" i="18"/>
  <c r="C22" i="18"/>
  <c r="E32" i="18"/>
  <c r="D33" i="18"/>
  <c r="D43" i="18"/>
  <c r="D55" i="18"/>
  <c r="D284" i="18" s="1"/>
  <c r="E55" i="18"/>
  <c r="E54" i="18"/>
  <c r="D289" i="18"/>
  <c r="D71" i="18"/>
  <c r="D65" i="18"/>
  <c r="E60" i="18"/>
  <c r="E69" i="18"/>
  <c r="E151" i="18"/>
  <c r="D163" i="18"/>
  <c r="E163" i="18"/>
  <c r="C168" i="18"/>
  <c r="D261" i="18"/>
  <c r="E261" i="18"/>
  <c r="D189" i="18"/>
  <c r="E188" i="18"/>
  <c r="D211" i="18"/>
  <c r="D235" i="18" s="1"/>
  <c r="D252" i="18"/>
  <c r="E139" i="18"/>
  <c r="D144" i="18"/>
  <c r="C145" i="18"/>
  <c r="E156" i="18"/>
  <c r="C189" i="18"/>
  <c r="C253" i="18"/>
  <c r="D320" i="18"/>
  <c r="E221" i="18"/>
  <c r="D222" i="18"/>
  <c r="D246" i="18" s="1"/>
  <c r="D229" i="18"/>
  <c r="C234" i="18"/>
  <c r="D240" i="18"/>
  <c r="D244" i="18"/>
  <c r="E244" i="18" s="1"/>
  <c r="E265" i="18"/>
  <c r="D303" i="18"/>
  <c r="E314" i="18"/>
  <c r="D326" i="18"/>
  <c r="E205" i="18"/>
  <c r="E231" i="18"/>
  <c r="E251" i="18"/>
  <c r="C61" i="17"/>
  <c r="F89" i="17"/>
  <c r="C207" i="17"/>
  <c r="C138" i="17"/>
  <c r="C32" i="17"/>
  <c r="C160" i="17"/>
  <c r="C90" i="17"/>
  <c r="D61" i="17"/>
  <c r="D103" i="17"/>
  <c r="E102" i="17"/>
  <c r="F102" i="17"/>
  <c r="D138" i="17"/>
  <c r="F17" i="17"/>
  <c r="D21" i="17"/>
  <c r="F23" i="17"/>
  <c r="F29" i="17"/>
  <c r="F53" i="17"/>
  <c r="F58" i="17"/>
  <c r="F67" i="17"/>
  <c r="E88" i="17"/>
  <c r="F88" i="17" s="1"/>
  <c r="E101" i="17"/>
  <c r="F101" i="17"/>
  <c r="C192" i="17"/>
  <c r="C124" i="17"/>
  <c r="E136" i="17"/>
  <c r="F136" i="17" s="1"/>
  <c r="D146" i="17"/>
  <c r="E146" i="17" s="1"/>
  <c r="F146" i="17" s="1"/>
  <c r="D159" i="17"/>
  <c r="E159" i="17"/>
  <c r="D172" i="17"/>
  <c r="D173" i="17" s="1"/>
  <c r="E173" i="17" s="1"/>
  <c r="D181" i="17"/>
  <c r="E181" i="17" s="1"/>
  <c r="F239" i="17"/>
  <c r="E20" i="17"/>
  <c r="F20" i="17"/>
  <c r="C21" i="17"/>
  <c r="E30" i="17"/>
  <c r="F30" i="17"/>
  <c r="E35" i="17"/>
  <c r="F35" i="17" s="1"/>
  <c r="C37" i="17"/>
  <c r="E37" i="17"/>
  <c r="E47" i="17"/>
  <c r="F47" i="17" s="1"/>
  <c r="E59" i="17"/>
  <c r="F59" i="17" s="1"/>
  <c r="E66" i="17"/>
  <c r="F66" i="17" s="1"/>
  <c r="E76" i="17"/>
  <c r="F76" i="17" s="1"/>
  <c r="D124" i="17"/>
  <c r="F172" i="17"/>
  <c r="E188" i="17"/>
  <c r="F188" i="17" s="1"/>
  <c r="C288" i="17"/>
  <c r="E189" i="17"/>
  <c r="F189" i="17"/>
  <c r="C190" i="17"/>
  <c r="E191" i="17"/>
  <c r="F191" i="17"/>
  <c r="C290" i="17"/>
  <c r="E290" i="17" s="1"/>
  <c r="C274" i="17"/>
  <c r="C199" i="17"/>
  <c r="C200" i="17"/>
  <c r="C206" i="17"/>
  <c r="C215" i="17"/>
  <c r="E237" i="17"/>
  <c r="F237" i="17"/>
  <c r="E250" i="17"/>
  <c r="F250" i="17"/>
  <c r="C254" i="17"/>
  <c r="F254" i="17" s="1"/>
  <c r="C255" i="17"/>
  <c r="C261" i="17"/>
  <c r="C262" i="17"/>
  <c r="C264" i="17"/>
  <c r="C267" i="17"/>
  <c r="C269" i="17"/>
  <c r="E277" i="17"/>
  <c r="F277" i="17"/>
  <c r="D279" i="17"/>
  <c r="E278" i="17"/>
  <c r="F278" i="17" s="1"/>
  <c r="D190" i="17"/>
  <c r="E280" i="17"/>
  <c r="F280" i="17"/>
  <c r="D290" i="17"/>
  <c r="D274" i="17"/>
  <c r="E274" i="17" s="1"/>
  <c r="F274" i="17" s="1"/>
  <c r="D199" i="17"/>
  <c r="D200" i="17"/>
  <c r="E200" i="17"/>
  <c r="D283" i="17"/>
  <c r="D267" i="17"/>
  <c r="D285" i="17"/>
  <c r="E285" i="17" s="1"/>
  <c r="F285" i="17"/>
  <c r="D269" i="17"/>
  <c r="E269" i="17"/>
  <c r="D205" i="17"/>
  <c r="D206" i="17"/>
  <c r="D214" i="17"/>
  <c r="D215" i="17"/>
  <c r="D261" i="17"/>
  <c r="D262" i="17"/>
  <c r="D272" i="17" s="1"/>
  <c r="D264" i="17"/>
  <c r="F294" i="17"/>
  <c r="F298" i="17"/>
  <c r="F299" i="17"/>
  <c r="F23" i="16"/>
  <c r="F107" i="15"/>
  <c r="F36" i="14"/>
  <c r="F38" i="14" s="1"/>
  <c r="F40" i="14" s="1"/>
  <c r="F31" i="14"/>
  <c r="H31" i="14" s="1"/>
  <c r="C33" i="14"/>
  <c r="E33" i="14"/>
  <c r="E36" i="14" s="1"/>
  <c r="E38" i="14"/>
  <c r="E40" i="14"/>
  <c r="H17" i="14"/>
  <c r="C20" i="13"/>
  <c r="C21" i="13"/>
  <c r="C17" i="13"/>
  <c r="C28" i="13" s="1"/>
  <c r="C22" i="13" s="1"/>
  <c r="E17" i="13"/>
  <c r="E28" i="13" s="1"/>
  <c r="E70" i="13" s="1"/>
  <c r="E72" i="13" s="1"/>
  <c r="E69" i="13" s="1"/>
  <c r="D48" i="13"/>
  <c r="D42" i="13"/>
  <c r="C20" i="12"/>
  <c r="D20" i="12"/>
  <c r="E20" i="12" s="1"/>
  <c r="F20" i="12" s="1"/>
  <c r="E17" i="12"/>
  <c r="F17" i="12" s="1"/>
  <c r="E15" i="12"/>
  <c r="F15" i="12"/>
  <c r="F41" i="11"/>
  <c r="F75" i="11"/>
  <c r="F65" i="11"/>
  <c r="E22" i="11"/>
  <c r="F22" i="11"/>
  <c r="E38" i="11"/>
  <c r="F38" i="11"/>
  <c r="E56" i="11"/>
  <c r="F56" i="11"/>
  <c r="E61" i="11"/>
  <c r="F61" i="11"/>
  <c r="E112" i="10"/>
  <c r="E113" i="10"/>
  <c r="F207" i="9"/>
  <c r="E198" i="9"/>
  <c r="F198" i="9" s="1"/>
  <c r="E155" i="8"/>
  <c r="E156" i="8"/>
  <c r="E152" i="8"/>
  <c r="D139" i="8"/>
  <c r="D137" i="8"/>
  <c r="D135" i="8"/>
  <c r="D141" i="8" s="1"/>
  <c r="D140" i="8"/>
  <c r="D138" i="8"/>
  <c r="D136" i="8"/>
  <c r="C43" i="8"/>
  <c r="D49" i="8"/>
  <c r="C53" i="8"/>
  <c r="E53" i="8"/>
  <c r="D77" i="8"/>
  <c r="D71" i="8"/>
  <c r="C49" i="8"/>
  <c r="E49" i="8"/>
  <c r="E90" i="7"/>
  <c r="F90" i="7" s="1"/>
  <c r="E183" i="7"/>
  <c r="F183" i="7"/>
  <c r="E41" i="6"/>
  <c r="F41" i="6"/>
  <c r="C21" i="5"/>
  <c r="E16" i="5"/>
  <c r="F16" i="5"/>
  <c r="D41" i="4"/>
  <c r="E41" i="4"/>
  <c r="D65" i="4"/>
  <c r="E65" i="4" s="1"/>
  <c r="F65" i="4" s="1"/>
  <c r="D54" i="22"/>
  <c r="D46" i="22"/>
  <c r="D40" i="22"/>
  <c r="D36" i="22"/>
  <c r="D30" i="22"/>
  <c r="D53" i="22"/>
  <c r="D39" i="22"/>
  <c r="D35" i="22"/>
  <c r="D29" i="22"/>
  <c r="E53" i="22"/>
  <c r="E45" i="22"/>
  <c r="E39" i="22"/>
  <c r="E35" i="22"/>
  <c r="E29" i="22"/>
  <c r="E110" i="22"/>
  <c r="F43" i="20"/>
  <c r="D288" i="17"/>
  <c r="E288" i="17" s="1"/>
  <c r="F288" i="17" s="1"/>
  <c r="D180" i="18"/>
  <c r="E144" i="18"/>
  <c r="E211" i="18"/>
  <c r="D76" i="18"/>
  <c r="D259" i="18" s="1"/>
  <c r="D263" i="18" s="1"/>
  <c r="E43" i="18"/>
  <c r="E326" i="18"/>
  <c r="D330" i="18"/>
  <c r="E330" i="18"/>
  <c r="E303" i="18"/>
  <c r="D306" i="18"/>
  <c r="C169" i="18"/>
  <c r="E189" i="18"/>
  <c r="D66" i="18"/>
  <c r="D44" i="18"/>
  <c r="D294" i="18"/>
  <c r="D300" i="17"/>
  <c r="E264" i="17"/>
  <c r="F264" i="17" s="1"/>
  <c r="E262" i="17"/>
  <c r="F262" i="17"/>
  <c r="D254" i="17"/>
  <c r="E199" i="17"/>
  <c r="E190" i="17"/>
  <c r="F190" i="17" s="1"/>
  <c r="D284" i="17"/>
  <c r="C272" i="17"/>
  <c r="F200" i="17"/>
  <c r="D126" i="17"/>
  <c r="D91" i="17"/>
  <c r="E21" i="17"/>
  <c r="F21" i="17" s="1"/>
  <c r="D161" i="17"/>
  <c r="D49" i="17"/>
  <c r="E103" i="17"/>
  <c r="F103" i="17"/>
  <c r="C175" i="17"/>
  <c r="C140" i="17"/>
  <c r="C141" i="17" s="1"/>
  <c r="C105" i="17"/>
  <c r="C106" i="17" s="1"/>
  <c r="C139" i="17"/>
  <c r="D125" i="17"/>
  <c r="D271" i="17"/>
  <c r="D268" i="17"/>
  <c r="D263" i="17"/>
  <c r="E263" i="17" s="1"/>
  <c r="F263" i="17" s="1"/>
  <c r="E261" i="17"/>
  <c r="D270" i="17"/>
  <c r="F269" i="17"/>
  <c r="C300" i="17"/>
  <c r="F261" i="17"/>
  <c r="C268" i="17"/>
  <c r="E268" i="17" s="1"/>
  <c r="F268" i="17" s="1"/>
  <c r="C263" i="17"/>
  <c r="F199" i="17"/>
  <c r="F290" i="17"/>
  <c r="C161" i="17"/>
  <c r="C49" i="17"/>
  <c r="C50" i="17" s="1"/>
  <c r="C91" i="17"/>
  <c r="D139" i="17"/>
  <c r="E139" i="17" s="1"/>
  <c r="D104" i="17"/>
  <c r="C208" i="17"/>
  <c r="D24" i="13"/>
  <c r="D20" i="13"/>
  <c r="D17" i="13"/>
  <c r="D28" i="13"/>
  <c r="C34" i="12"/>
  <c r="D35" i="5"/>
  <c r="D75" i="4"/>
  <c r="D43" i="4"/>
  <c r="D55" i="22"/>
  <c r="D47" i="22"/>
  <c r="D37" i="22"/>
  <c r="E55" i="22"/>
  <c r="E47" i="22"/>
  <c r="E37" i="22"/>
  <c r="E112" i="22"/>
  <c r="D56" i="22"/>
  <c r="D48" i="22"/>
  <c r="D295" i="18"/>
  <c r="D258" i="18"/>
  <c r="D101" i="18"/>
  <c r="D99" i="18"/>
  <c r="D97" i="18"/>
  <c r="D95" i="18"/>
  <c r="D88" i="18"/>
  <c r="D86" i="18"/>
  <c r="D84" i="18"/>
  <c r="D100" i="18"/>
  <c r="D98" i="18"/>
  <c r="D96" i="18"/>
  <c r="D102" i="18" s="1"/>
  <c r="D89" i="18"/>
  <c r="D87" i="18"/>
  <c r="D85" i="18"/>
  <c r="D83" i="18"/>
  <c r="D77" i="18"/>
  <c r="C162" i="17"/>
  <c r="D304" i="17"/>
  <c r="C209" i="17"/>
  <c r="E161" i="17"/>
  <c r="F161" i="17" s="1"/>
  <c r="D162" i="17"/>
  <c r="D92" i="17"/>
  <c r="E91" i="17"/>
  <c r="F91" i="17" s="1"/>
  <c r="E254" i="17"/>
  <c r="E272" i="17"/>
  <c r="F272" i="17"/>
  <c r="C92" i="17"/>
  <c r="E49" i="17"/>
  <c r="F49" i="17" s="1"/>
  <c r="D50" i="17"/>
  <c r="E300" i="17"/>
  <c r="D70" i="13"/>
  <c r="D72" i="13"/>
  <c r="D69" i="13"/>
  <c r="C42" i="12"/>
  <c r="D43" i="5"/>
  <c r="D126" i="18"/>
  <c r="D124" i="18"/>
  <c r="D122" i="18"/>
  <c r="D128" i="18" s="1"/>
  <c r="D129" i="18" s="1"/>
  <c r="D115" i="18"/>
  <c r="D113" i="18"/>
  <c r="D111" i="18"/>
  <c r="D109" i="18"/>
  <c r="D127" i="18"/>
  <c r="D125" i="18"/>
  <c r="D123" i="18"/>
  <c r="D121" i="18"/>
  <c r="D114" i="18"/>
  <c r="D112" i="18"/>
  <c r="D110" i="18"/>
  <c r="E50" i="17"/>
  <c r="F50" i="17"/>
  <c r="C49" i="12"/>
  <c r="D50" i="5"/>
  <c r="D90" i="18" l="1"/>
  <c r="C153" i="8"/>
  <c r="C155" i="8"/>
  <c r="C156" i="8"/>
  <c r="C152" i="8"/>
  <c r="C157" i="8"/>
  <c r="C154" i="8"/>
  <c r="F139" i="17"/>
  <c r="F101" i="9"/>
  <c r="E101" i="9"/>
  <c r="F121" i="10"/>
  <c r="E121" i="10"/>
  <c r="C35" i="5"/>
  <c r="E21" i="5"/>
  <c r="E124" i="17"/>
  <c r="F124" i="17" s="1"/>
  <c r="C125" i="17"/>
  <c r="E84" i="6"/>
  <c r="F84" i="6"/>
  <c r="D127" i="17"/>
  <c r="D255" i="17"/>
  <c r="E255" i="17" s="1"/>
  <c r="E215" i="17"/>
  <c r="F215" i="17" s="1"/>
  <c r="C174" i="17"/>
  <c r="C104" i="17"/>
  <c r="C62" i="17"/>
  <c r="C284" i="18"/>
  <c r="E284" i="18" s="1"/>
  <c r="E22" i="18"/>
  <c r="F25" i="6"/>
  <c r="C188" i="7"/>
  <c r="D25" i="8"/>
  <c r="D27" i="8" s="1"/>
  <c r="D15" i="8"/>
  <c r="C217" i="18"/>
  <c r="C241" i="18" s="1"/>
  <c r="C243" i="18"/>
  <c r="C252" i="18" s="1"/>
  <c r="E219" i="18"/>
  <c r="C64" i="19"/>
  <c r="C60" i="19"/>
  <c r="D77" i="22"/>
  <c r="D101" i="22"/>
  <c r="D103" i="22" s="1"/>
  <c r="D103" i="18"/>
  <c r="F21" i="5"/>
  <c r="C176" i="17"/>
  <c r="F176" i="17" s="1"/>
  <c r="E172" i="17"/>
  <c r="D223" i="18"/>
  <c r="G33" i="14"/>
  <c r="D216" i="17"/>
  <c r="C270" i="17"/>
  <c r="E267" i="17"/>
  <c r="F267" i="17"/>
  <c r="C271" i="17"/>
  <c r="F37" i="17"/>
  <c r="E210" i="18"/>
  <c r="E25" i="6"/>
  <c r="G31" i="14"/>
  <c r="I31" i="14" s="1"/>
  <c r="F50" i="15"/>
  <c r="E50" i="15"/>
  <c r="E296" i="17"/>
  <c r="F296" i="17" s="1"/>
  <c r="F307" i="17"/>
  <c r="D239" i="18"/>
  <c r="E239" i="18" s="1"/>
  <c r="E215" i="18"/>
  <c r="E243" i="18"/>
  <c r="C183" i="17"/>
  <c r="F183" i="17" s="1"/>
  <c r="F162" i="17"/>
  <c r="D116" i="18"/>
  <c r="C210" i="17"/>
  <c r="D53" i="8"/>
  <c r="D43" i="8"/>
  <c r="D57" i="8"/>
  <c r="D62" i="8" s="1"/>
  <c r="F23" i="15"/>
  <c r="C260" i="18"/>
  <c r="E195" i="18"/>
  <c r="C320" i="18"/>
  <c r="E320" i="18" s="1"/>
  <c r="E316" i="18"/>
  <c r="C323" i="17"/>
  <c r="F323" i="17" s="1"/>
  <c r="C324" i="17"/>
  <c r="E92" i="17"/>
  <c r="F92" i="17" s="1"/>
  <c r="C113" i="17"/>
  <c r="D34" i="12"/>
  <c r="D174" i="17"/>
  <c r="E174" i="17" s="1"/>
  <c r="E306" i="18"/>
  <c r="D310" i="18"/>
  <c r="E310" i="18" s="1"/>
  <c r="D153" i="8"/>
  <c r="C222" i="18"/>
  <c r="C86" i="8"/>
  <c r="E45" i="15"/>
  <c r="F45" i="15" s="1"/>
  <c r="E48" i="22"/>
  <c r="E113" i="22"/>
  <c r="E56" i="22"/>
  <c r="C322" i="17"/>
  <c r="C211" i="17"/>
  <c r="E180" i="18"/>
  <c r="E162" i="17"/>
  <c r="C126" i="17"/>
  <c r="E126" i="17" s="1"/>
  <c r="D208" i="9"/>
  <c r="E199" i="9"/>
  <c r="F199" i="9" s="1"/>
  <c r="D32" i="17"/>
  <c r="E31" i="17"/>
  <c r="F31" i="17" s="1"/>
  <c r="C284" i="17"/>
  <c r="C279" i="17"/>
  <c r="E33" i="18"/>
  <c r="F300" i="17"/>
  <c r="D273" i="17"/>
  <c r="D264" i="18"/>
  <c r="D38" i="22"/>
  <c r="D113" i="22"/>
  <c r="C70" i="13"/>
  <c r="C72" i="13" s="1"/>
  <c r="C69" i="13" s="1"/>
  <c r="F206" i="17"/>
  <c r="E206" i="17"/>
  <c r="C43" i="4"/>
  <c r="E43" i="4" s="1"/>
  <c r="E22" i="4"/>
  <c r="F22" i="4" s="1"/>
  <c r="F153" i="6"/>
  <c r="E18" i="7"/>
  <c r="F18" i="7" s="1"/>
  <c r="D95" i="7"/>
  <c r="E95" i="7" s="1"/>
  <c r="F95" i="7" s="1"/>
  <c r="F203" i="17"/>
  <c r="C283" i="17"/>
  <c r="C287" i="17" s="1"/>
  <c r="E203" i="17"/>
  <c r="C205" i="17"/>
  <c r="C214" i="17"/>
  <c r="F94" i="6"/>
  <c r="E94" i="6"/>
  <c r="D152" i="8"/>
  <c r="D155" i="8"/>
  <c r="D156" i="8"/>
  <c r="E270" i="17"/>
  <c r="E283" i="17"/>
  <c r="D286" i="17"/>
  <c r="D287" i="17"/>
  <c r="E240" i="18"/>
  <c r="D253" i="18"/>
  <c r="E125" i="17"/>
  <c r="D154" i="8"/>
  <c r="C36" i="14"/>
  <c r="C38" i="14" s="1"/>
  <c r="C40" i="14" s="1"/>
  <c r="H33" i="14"/>
  <c r="H36" i="14" s="1"/>
  <c r="H38" i="14" s="1"/>
  <c r="H40" i="14" s="1"/>
  <c r="E279" i="17"/>
  <c r="F255" i="17"/>
  <c r="F39" i="20"/>
  <c r="F41" i="4"/>
  <c r="F50" i="9"/>
  <c r="D21" i="13"/>
  <c r="D22" i="13"/>
  <c r="D33" i="14"/>
  <c r="D36" i="14" s="1"/>
  <c r="D38" i="14" s="1"/>
  <c r="D40" i="14" s="1"/>
  <c r="D31" i="14"/>
  <c r="D111" i="17"/>
  <c r="E111" i="17" s="1"/>
  <c r="F111" i="17" s="1"/>
  <c r="E109" i="17"/>
  <c r="F109" i="17" s="1"/>
  <c r="E61" i="17"/>
  <c r="F61" i="17" s="1"/>
  <c r="E25" i="8"/>
  <c r="E27" i="8" s="1"/>
  <c r="E15" i="8"/>
  <c r="E157" i="8"/>
  <c r="E153" i="8"/>
  <c r="E158" i="8" s="1"/>
  <c r="E154" i="8"/>
  <c r="F201" i="9"/>
  <c r="F36" i="10"/>
  <c r="E36" i="10"/>
  <c r="E32" i="12"/>
  <c r="F32" i="12"/>
  <c r="E22" i="13"/>
  <c r="E20" i="13"/>
  <c r="E21" i="13"/>
  <c r="E60" i="17"/>
  <c r="F60" i="17"/>
  <c r="D207" i="17"/>
  <c r="E137" i="17"/>
  <c r="F137" i="17" s="1"/>
  <c r="E36" i="18"/>
  <c r="C44" i="18"/>
  <c r="E111" i="22"/>
  <c r="E109" i="22"/>
  <c r="E108" i="22"/>
  <c r="F102" i="9"/>
  <c r="E102" i="9"/>
  <c r="C33" i="22"/>
  <c r="C22" i="22"/>
  <c r="C23" i="22"/>
  <c r="D168" i="18"/>
  <c r="E168" i="18" s="1"/>
  <c r="D145" i="18"/>
  <c r="E29" i="4"/>
  <c r="F29" i="4" s="1"/>
  <c r="E41" i="5"/>
  <c r="F41" i="5"/>
  <c r="F137" i="6"/>
  <c r="E30" i="7"/>
  <c r="F30" i="7" s="1"/>
  <c r="F130" i="7"/>
  <c r="D86" i="8"/>
  <c r="C193" i="17"/>
  <c r="E123" i="17"/>
  <c r="F123" i="17" s="1"/>
  <c r="E138" i="17"/>
  <c r="F138" i="17" s="1"/>
  <c r="F56" i="4"/>
  <c r="F33" i="5"/>
  <c r="C52" i="6"/>
  <c r="F43" i="6"/>
  <c r="F51" i="6"/>
  <c r="E51" i="6"/>
  <c r="E137" i="6"/>
  <c r="F203" i="9"/>
  <c r="F83" i="10"/>
  <c r="E83" i="10"/>
  <c r="D160" i="17"/>
  <c r="E160" i="17" s="1"/>
  <c r="F160" i="17" s="1"/>
  <c r="D90" i="17"/>
  <c r="E90" i="17" s="1"/>
  <c r="F90" i="17" s="1"/>
  <c r="E48" i="17"/>
  <c r="F48" i="17" s="1"/>
  <c r="C235" i="18"/>
  <c r="E235" i="18" s="1"/>
  <c r="C181" i="18"/>
  <c r="E218" i="18"/>
  <c r="D242" i="18"/>
  <c r="E242" i="18" s="1"/>
  <c r="D217" i="18"/>
  <c r="E65" i="15"/>
  <c r="F65" i="15"/>
  <c r="E276" i="18"/>
  <c r="C75" i="4"/>
  <c r="E75" i="4" s="1"/>
  <c r="D52" i="6"/>
  <c r="E52" i="6" s="1"/>
  <c r="D95" i="6"/>
  <c r="E95" i="6" s="1"/>
  <c r="F95" i="6" s="1"/>
  <c r="F41" i="7"/>
  <c r="C149" i="8"/>
  <c r="E63" i="9"/>
  <c r="E128" i="9"/>
  <c r="F128" i="9" s="1"/>
  <c r="F60" i="10"/>
  <c r="E60" i="10"/>
  <c r="F107" i="10"/>
  <c r="E77" i="17"/>
  <c r="E174" i="18"/>
  <c r="C65" i="19"/>
  <c r="C114" i="19" s="1"/>
  <c r="C116" i="19" s="1"/>
  <c r="C119" i="19" s="1"/>
  <c r="C123" i="19" s="1"/>
  <c r="F38" i="6"/>
  <c r="F49" i="6"/>
  <c r="F92" i="6"/>
  <c r="E35" i="7"/>
  <c r="F35" i="7"/>
  <c r="E59" i="7"/>
  <c r="F59" i="7" s="1"/>
  <c r="E121" i="7"/>
  <c r="F121" i="7" s="1"/>
  <c r="E167" i="7"/>
  <c r="F167" i="7" s="1"/>
  <c r="E90" i="8"/>
  <c r="E86" i="8" s="1"/>
  <c r="E149" i="8"/>
  <c r="E50" i="9"/>
  <c r="E119" i="10"/>
  <c r="F47" i="12"/>
  <c r="E50" i="13"/>
  <c r="F74" i="15"/>
  <c r="E75" i="15"/>
  <c r="F75" i="15" s="1"/>
  <c r="C65" i="18"/>
  <c r="C289" i="18"/>
  <c r="E289" i="18" s="1"/>
  <c r="C71" i="18"/>
  <c r="E71" i="18" s="1"/>
  <c r="C76" i="18"/>
  <c r="E76" i="18" s="1"/>
  <c r="F47" i="6"/>
  <c r="F90" i="6"/>
  <c r="C15" i="8"/>
  <c r="C25" i="8"/>
  <c r="C27" i="8" s="1"/>
  <c r="E71" i="8"/>
  <c r="F230" i="17"/>
  <c r="F180" i="9"/>
  <c r="E180" i="9"/>
  <c r="F200" i="9"/>
  <c r="E206" i="9"/>
  <c r="F206" i="9" s="1"/>
  <c r="F40" i="12"/>
  <c r="C42" i="13"/>
  <c r="E23" i="15"/>
  <c r="E70" i="15"/>
  <c r="F70" i="15"/>
  <c r="E100" i="15"/>
  <c r="F100" i="15" s="1"/>
  <c r="E68" i="17"/>
  <c r="F68" i="17" s="1"/>
  <c r="F100" i="17"/>
  <c r="F110" i="17"/>
  <c r="E73" i="18"/>
  <c r="C180" i="18"/>
  <c r="E291" i="18"/>
  <c r="C40" i="20"/>
  <c r="C41" i="20" s="1"/>
  <c r="E44" i="20"/>
  <c r="F44" i="20" s="1"/>
  <c r="C88" i="22"/>
  <c r="F153" i="9"/>
  <c r="E153" i="9"/>
  <c r="E204" i="9"/>
  <c r="F204" i="9" s="1"/>
  <c r="F108" i="10"/>
  <c r="E108" i="10"/>
  <c r="C122" i="10"/>
  <c r="F122" i="10" s="1"/>
  <c r="E115" i="10"/>
  <c r="D43" i="11"/>
  <c r="E43" i="11" s="1"/>
  <c r="F43" i="11" s="1"/>
  <c r="E37" i="15"/>
  <c r="F37" i="15" s="1"/>
  <c r="F95" i="17"/>
  <c r="D192" i="17"/>
  <c r="E144" i="17"/>
  <c r="F144" i="17" s="1"/>
  <c r="F198" i="17"/>
  <c r="E229" i="17"/>
  <c r="F229" i="17" s="1"/>
  <c r="E39" i="18"/>
  <c r="E288" i="18"/>
  <c r="E36" i="20"/>
  <c r="F36" i="20" s="1"/>
  <c r="C46" i="20"/>
  <c r="E201" i="9"/>
  <c r="F35" i="10"/>
  <c r="E35" i="10"/>
  <c r="E29" i="11"/>
  <c r="F29" i="11" s="1"/>
  <c r="C208" i="9"/>
  <c r="F202" i="9"/>
  <c r="F55" i="15"/>
  <c r="E55" i="15"/>
  <c r="F85" i="17"/>
  <c r="F120" i="17"/>
  <c r="E158" i="17"/>
  <c r="E170" i="17"/>
  <c r="E179" i="17"/>
  <c r="F238" i="17"/>
  <c r="E324" i="18"/>
  <c r="E25" i="20"/>
  <c r="F25" i="20"/>
  <c r="C291" i="17" l="1"/>
  <c r="C289" i="17"/>
  <c r="C21" i="8"/>
  <c r="C24" i="8"/>
  <c r="C20" i="8" s="1"/>
  <c r="C17" i="8"/>
  <c r="C273" i="17"/>
  <c r="F271" i="17"/>
  <c r="C194" i="17"/>
  <c r="C282" i="17"/>
  <c r="C266" i="17"/>
  <c r="C325" i="17"/>
  <c r="F174" i="17"/>
  <c r="F125" i="17"/>
  <c r="C77" i="18"/>
  <c r="E40" i="20"/>
  <c r="E41" i="20" s="1"/>
  <c r="F41" i="20" s="1"/>
  <c r="C216" i="17"/>
  <c r="C304" i="17"/>
  <c r="E214" i="17"/>
  <c r="F214" i="17" s="1"/>
  <c r="F279" i="17"/>
  <c r="D108" i="22"/>
  <c r="D112" i="22"/>
  <c r="D111" i="22"/>
  <c r="D110" i="22"/>
  <c r="D109" i="22"/>
  <c r="E104" i="17"/>
  <c r="F104" i="17" s="1"/>
  <c r="C259" i="18"/>
  <c r="E284" i="17"/>
  <c r="F284" i="17" s="1"/>
  <c r="D193" i="17"/>
  <c r="E192" i="17"/>
  <c r="F192" i="17" s="1"/>
  <c r="F52" i="6"/>
  <c r="E46" i="20"/>
  <c r="E253" i="18"/>
  <c r="D254" i="18"/>
  <c r="E254" i="18" s="1"/>
  <c r="F43" i="4"/>
  <c r="E273" i="17"/>
  <c r="D42" i="12"/>
  <c r="E34" i="12"/>
  <c r="F34" i="12" s="1"/>
  <c r="C254" i="18"/>
  <c r="E252" i="18"/>
  <c r="F75" i="4"/>
  <c r="C36" i="22"/>
  <c r="C30" i="22"/>
  <c r="C40" i="22"/>
  <c r="C46" i="22"/>
  <c r="C54" i="22"/>
  <c r="C111" i="22"/>
  <c r="E260" i="18"/>
  <c r="D247" i="18"/>
  <c r="E247" i="18" s="1"/>
  <c r="E223" i="18"/>
  <c r="D21" i="8"/>
  <c r="E208" i="9"/>
  <c r="E188" i="7"/>
  <c r="F188" i="7" s="1"/>
  <c r="E205" i="17"/>
  <c r="F205" i="17" s="1"/>
  <c r="D266" i="18"/>
  <c r="F126" i="17"/>
  <c r="C127" i="17"/>
  <c r="F270" i="17"/>
  <c r="F46" i="20"/>
  <c r="E122" i="10"/>
  <c r="D241" i="18"/>
  <c r="E241" i="18" s="1"/>
  <c r="E217" i="18"/>
  <c r="D181" i="18"/>
  <c r="E181" i="18" s="1"/>
  <c r="E145" i="18"/>
  <c r="D169" i="18"/>
  <c r="E169" i="18" s="1"/>
  <c r="E24" i="8"/>
  <c r="E17" i="8"/>
  <c r="F283" i="17"/>
  <c r="C286" i="17"/>
  <c r="E271" i="17"/>
  <c r="G36" i="14"/>
  <c r="G38" i="14" s="1"/>
  <c r="G40" i="14" s="1"/>
  <c r="I33" i="14"/>
  <c r="I36" i="14" s="1"/>
  <c r="I38" i="14" s="1"/>
  <c r="I40" i="14" s="1"/>
  <c r="E127" i="17"/>
  <c r="E35" i="5"/>
  <c r="F35" i="5"/>
  <c r="C43" i="5"/>
  <c r="D91" i="18"/>
  <c r="C246" i="18"/>
  <c r="E246" i="18" s="1"/>
  <c r="C223" i="18"/>
  <c r="C247" i="18" s="1"/>
  <c r="F208" i="9"/>
  <c r="C29" i="22"/>
  <c r="C53" i="22"/>
  <c r="C110" i="22"/>
  <c r="C39" i="22"/>
  <c r="C45" i="22"/>
  <c r="C35" i="22"/>
  <c r="C140" i="8"/>
  <c r="C136" i="8"/>
  <c r="C135" i="8"/>
  <c r="C138" i="8"/>
  <c r="C139" i="8"/>
  <c r="C137" i="8"/>
  <c r="C87" i="18"/>
  <c r="E87" i="18" s="1"/>
  <c r="C98" i="18"/>
  <c r="E98" i="18" s="1"/>
  <c r="C101" i="18"/>
  <c r="E101" i="18" s="1"/>
  <c r="C83" i="18"/>
  <c r="C258" i="18"/>
  <c r="C99" i="18"/>
  <c r="E99" i="18" s="1"/>
  <c r="C96" i="18"/>
  <c r="C95" i="18"/>
  <c r="E44" i="18"/>
  <c r="C97" i="18"/>
  <c r="E97" i="18" s="1"/>
  <c r="C89" i="18"/>
  <c r="E89" i="18" s="1"/>
  <c r="C85" i="18"/>
  <c r="E85" i="18" s="1"/>
  <c r="C88" i="18"/>
  <c r="E88" i="18" s="1"/>
  <c r="C86" i="18"/>
  <c r="E86" i="18" s="1"/>
  <c r="C84" i="18"/>
  <c r="C100" i="18"/>
  <c r="E100" i="18" s="1"/>
  <c r="C66" i="18"/>
  <c r="E65" i="18"/>
  <c r="C294" i="18"/>
  <c r="E294" i="18" s="1"/>
  <c r="E136" i="8"/>
  <c r="E137" i="8"/>
  <c r="E140" i="8"/>
  <c r="E138" i="8"/>
  <c r="E135" i="8"/>
  <c r="E139" i="8"/>
  <c r="D208" i="17"/>
  <c r="D210" i="17" s="1"/>
  <c r="E207" i="17"/>
  <c r="F207" i="17" s="1"/>
  <c r="E20" i="8"/>
  <c r="E21" i="8"/>
  <c r="D289" i="17"/>
  <c r="D291" i="17"/>
  <c r="E287" i="17"/>
  <c r="F287" i="17" s="1"/>
  <c r="D158" i="8"/>
  <c r="D62" i="17"/>
  <c r="D105" i="17"/>
  <c r="D175" i="17"/>
  <c r="D140" i="17"/>
  <c r="E32" i="17"/>
  <c r="F32" i="17" s="1"/>
  <c r="D117" i="18"/>
  <c r="E222" i="18"/>
  <c r="D24" i="8"/>
  <c r="D20" i="8" s="1"/>
  <c r="D17" i="8"/>
  <c r="C63" i="17"/>
  <c r="C158" i="8"/>
  <c r="D211" i="17" l="1"/>
  <c r="E211" i="17" s="1"/>
  <c r="F211" i="17" s="1"/>
  <c r="E210" i="17"/>
  <c r="F210" i="17" s="1"/>
  <c r="E105" i="17"/>
  <c r="F105" i="17" s="1"/>
  <c r="D106" i="17"/>
  <c r="E83" i="18"/>
  <c r="F286" i="17"/>
  <c r="C48" i="22"/>
  <c r="C56" i="22"/>
  <c r="C38" i="22"/>
  <c r="C113" i="22"/>
  <c r="D63" i="17"/>
  <c r="E62" i="17"/>
  <c r="F62" i="17" s="1"/>
  <c r="C263" i="18"/>
  <c r="E263" i="18" s="1"/>
  <c r="E259" i="18"/>
  <c r="C127" i="18"/>
  <c r="E127" i="18" s="1"/>
  <c r="C124" i="18"/>
  <c r="E124" i="18" s="1"/>
  <c r="C114" i="18"/>
  <c r="E114" i="18" s="1"/>
  <c r="C113" i="18"/>
  <c r="E113" i="18" s="1"/>
  <c r="C110" i="18"/>
  <c r="C126" i="18"/>
  <c r="E126" i="18" s="1"/>
  <c r="C122" i="18"/>
  <c r="C125" i="18"/>
  <c r="E125" i="18" s="1"/>
  <c r="C115" i="18"/>
  <c r="E115" i="18" s="1"/>
  <c r="C121" i="18"/>
  <c r="C112" i="18"/>
  <c r="E112" i="18" s="1"/>
  <c r="C111" i="18"/>
  <c r="E111" i="18" s="1"/>
  <c r="E77" i="18"/>
  <c r="C123" i="18"/>
  <c r="E123" i="18" s="1"/>
  <c r="C109" i="18"/>
  <c r="C281" i="17"/>
  <c r="E66" i="18"/>
  <c r="C295" i="18"/>
  <c r="E295" i="18" s="1"/>
  <c r="C196" i="17"/>
  <c r="C195" i="17"/>
  <c r="C55" i="22"/>
  <c r="C37" i="22"/>
  <c r="C47" i="22"/>
  <c r="C112" i="22"/>
  <c r="D131" i="18"/>
  <c r="F40" i="20"/>
  <c r="E286" i="17"/>
  <c r="F127" i="17"/>
  <c r="C197" i="17"/>
  <c r="C148" i="17"/>
  <c r="E289" i="17"/>
  <c r="F289" i="17" s="1"/>
  <c r="C90" i="18"/>
  <c r="E90" i="18" s="1"/>
  <c r="E84" i="18"/>
  <c r="C102" i="18"/>
  <c r="E102" i="18" s="1"/>
  <c r="E96" i="18"/>
  <c r="D105" i="18"/>
  <c r="E216" i="17"/>
  <c r="F216" i="17" s="1"/>
  <c r="F273" i="17"/>
  <c r="C305" i="17"/>
  <c r="E28" i="8"/>
  <c r="E112" i="8"/>
  <c r="E111" i="8" s="1"/>
  <c r="E141" i="8"/>
  <c r="D28" i="8"/>
  <c r="D112" i="8"/>
  <c r="D111" i="8" s="1"/>
  <c r="E140" i="17"/>
  <c r="F140" i="17" s="1"/>
  <c r="D141" i="17"/>
  <c r="D267" i="18"/>
  <c r="C112" i="8"/>
  <c r="C111" i="8" s="1"/>
  <c r="C28" i="8"/>
  <c r="C265" i="17"/>
  <c r="D209" i="17"/>
  <c r="E209" i="17" s="1"/>
  <c r="F209" i="17" s="1"/>
  <c r="E208" i="17"/>
  <c r="F208" i="17" s="1"/>
  <c r="C70" i="17"/>
  <c r="E291" i="17"/>
  <c r="F291" i="17" s="1"/>
  <c r="D305" i="17"/>
  <c r="E95" i="18"/>
  <c r="E175" i="17"/>
  <c r="F175" i="17" s="1"/>
  <c r="D176" i="17"/>
  <c r="E258" i="18"/>
  <c r="C264" i="18"/>
  <c r="C141" i="8"/>
  <c r="E43" i="5"/>
  <c r="C50" i="5"/>
  <c r="F43" i="5"/>
  <c r="E42" i="12"/>
  <c r="F42" i="12" s="1"/>
  <c r="D49" i="12"/>
  <c r="E49" i="12" s="1"/>
  <c r="F49" i="12" s="1"/>
  <c r="E193" i="17"/>
  <c r="F193" i="17" s="1"/>
  <c r="D194" i="17"/>
  <c r="D282" i="17"/>
  <c r="D266" i="17"/>
  <c r="E304" i="17"/>
  <c r="F304" i="17" s="1"/>
  <c r="D281" i="17" l="1"/>
  <c r="E281" i="17" s="1"/>
  <c r="F281" i="17" s="1"/>
  <c r="E282" i="17"/>
  <c r="F282" i="17" s="1"/>
  <c r="C99" i="8"/>
  <c r="C101" i="8" s="1"/>
  <c r="C98" i="8" s="1"/>
  <c r="C22" i="8"/>
  <c r="F148" i="17"/>
  <c r="C129" i="18"/>
  <c r="E129" i="18" s="1"/>
  <c r="E121" i="18"/>
  <c r="E122" i="18"/>
  <c r="C128" i="18"/>
  <c r="E128" i="18" s="1"/>
  <c r="D323" i="17"/>
  <c r="E323" i="17" s="1"/>
  <c r="D183" i="17"/>
  <c r="E183" i="17" s="1"/>
  <c r="E176" i="17"/>
  <c r="D268" i="18"/>
  <c r="D269" i="18"/>
  <c r="C91" i="18"/>
  <c r="C266" i="18"/>
  <c r="E264" i="18"/>
  <c r="F70" i="17"/>
  <c r="E99" i="8"/>
  <c r="E101" i="8" s="1"/>
  <c r="E98" i="8" s="1"/>
  <c r="E22" i="8"/>
  <c r="E63" i="17"/>
  <c r="F63" i="17" s="1"/>
  <c r="D70" i="17"/>
  <c r="E70" i="17" s="1"/>
  <c r="D113" i="17"/>
  <c r="E113" i="17" s="1"/>
  <c r="F113" i="17" s="1"/>
  <c r="D324" i="17"/>
  <c r="E106" i="17"/>
  <c r="F106" i="17" s="1"/>
  <c r="E50" i="5"/>
  <c r="F50" i="5"/>
  <c r="D309" i="17"/>
  <c r="E305" i="17"/>
  <c r="E194" i="17"/>
  <c r="F194" i="17" s="1"/>
  <c r="D195" i="17"/>
  <c r="E195" i="17" s="1"/>
  <c r="F195" i="17" s="1"/>
  <c r="D196" i="17"/>
  <c r="E109" i="18"/>
  <c r="C117" i="18"/>
  <c r="E141" i="17"/>
  <c r="F141" i="17" s="1"/>
  <c r="D322" i="17"/>
  <c r="E322" i="17" s="1"/>
  <c r="F322" i="17" s="1"/>
  <c r="D148" i="17"/>
  <c r="E148" i="17" s="1"/>
  <c r="C309" i="17"/>
  <c r="F305" i="17"/>
  <c r="C116" i="18"/>
  <c r="E116" i="18" s="1"/>
  <c r="E110" i="18"/>
  <c r="D265" i="17"/>
  <c r="E265" i="17" s="1"/>
  <c r="F265" i="17" s="1"/>
  <c r="E266" i="17"/>
  <c r="F266" i="17" s="1"/>
  <c r="C103" i="18"/>
  <c r="E103" i="18" s="1"/>
  <c r="D99" i="8"/>
  <c r="D101" i="8" s="1"/>
  <c r="D98" i="8" s="1"/>
  <c r="D22" i="8"/>
  <c r="E309" i="17" l="1"/>
  <c r="F309" i="17" s="1"/>
  <c r="D310" i="17"/>
  <c r="D271" i="18"/>
  <c r="D197" i="17"/>
  <c r="E197" i="17" s="1"/>
  <c r="F197" i="17" s="1"/>
  <c r="E196" i="17"/>
  <c r="F196" i="17" s="1"/>
  <c r="D325" i="17"/>
  <c r="E325" i="17" s="1"/>
  <c r="F325" i="17" s="1"/>
  <c r="E324" i="17"/>
  <c r="F324" i="17" s="1"/>
  <c r="E266" i="18"/>
  <c r="C267" i="18"/>
  <c r="C131" i="18"/>
  <c r="E131" i="18" s="1"/>
  <c r="E117" i="18"/>
  <c r="C105" i="18"/>
  <c r="E105" i="18" s="1"/>
  <c r="E91" i="18"/>
  <c r="C310" i="17"/>
  <c r="C312" i="17" l="1"/>
  <c r="C269" i="18"/>
  <c r="E269" i="18" s="1"/>
  <c r="C268" i="18"/>
  <c r="E267" i="18"/>
  <c r="E310" i="17"/>
  <c r="F310" i="17" s="1"/>
  <c r="D312" i="17"/>
  <c r="C271" i="18" l="1"/>
  <c r="E271" i="18" s="1"/>
  <c r="E268" i="18"/>
  <c r="E312" i="17"/>
  <c r="D313" i="17"/>
  <c r="F312" i="17"/>
  <c r="C313" i="17"/>
  <c r="C314" i="17" l="1"/>
  <c r="C251" i="17"/>
  <c r="C256" i="17"/>
  <c r="C315" i="17"/>
  <c r="E313" i="17"/>
  <c r="F313" i="17" s="1"/>
  <c r="D314" i="17"/>
  <c r="D256" i="17"/>
  <c r="D315" i="17"/>
  <c r="D251" i="17"/>
  <c r="E251" i="17" s="1"/>
  <c r="F251" i="17" l="1"/>
  <c r="E314" i="17"/>
  <c r="D318" i="17"/>
  <c r="F256" i="17"/>
  <c r="C257" i="17"/>
  <c r="F314" i="17"/>
  <c r="C318" i="17"/>
  <c r="E256" i="17"/>
  <c r="D257" i="17"/>
  <c r="E315" i="17"/>
  <c r="F315" i="17" s="1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<sst xmlns="http://schemas.openxmlformats.org/spreadsheetml/2006/main" count="2335" uniqueCount="1010">
  <si>
    <t>MIDSTATE MEDICAL CENTER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</si>
  <si>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</si>
  <si>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</si>
  <si>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</si>
  <si>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</si>
  <si>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</si>
  <si>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</si>
  <si>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</si>
  <si>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</si>
  <si>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</si>
  <si>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</si>
  <si>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</si>
  <si>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</si>
  <si>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</si>
  <si>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</si>
  <si>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</si>
  <si>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</si>
  <si>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</si>
  <si>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</si>
  <si>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</si>
  <si>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</si>
  <si>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</si>
  <si>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</si>
  <si>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</si>
  <si>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</si>
  <si>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</si>
  <si>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</si>
  <si>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</si>
  <si>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</si>
  <si>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</si>
  <si>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</si>
  <si>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</si>
  <si>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</si>
  <si>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</si>
  <si>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</si>
  <si>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</si>
  <si>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</si>
  <si>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</si>
  <si>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</si>
  <si>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</si>
  <si>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</si>
  <si>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</si>
  <si>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</si>
  <si>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</si>
  <si>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</si>
  <si>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</si>
  <si>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</si>
  <si>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</si>
  <si>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</si>
  <si>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</si>
  <si>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</si>
  <si>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</si>
  <si>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</si>
  <si>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</si>
  <si>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</si>
  <si>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</si>
  <si>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</si>
  <si>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</si>
  <si>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</si>
  <si>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</si>
  <si>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</si>
  <si>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</si>
  <si>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</si>
  <si>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</si>
  <si>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</si>
  <si>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</si>
  <si>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</si>
  <si>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</si>
  <si>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</si>
  <si>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</si>
  <si>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</si>
  <si>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</si>
  <si>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</si>
  <si>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</si>
  <si>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</si>
  <si>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</si>
  <si>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</si>
  <si>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</si>
  <si>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</si>
  <si>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</si>
  <si>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</si>
  <si>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</si>
  <si>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</si>
  <si>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</si>
  <si>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</si>
  <si>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</si>
  <si>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</si>
  <si>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</si>
  <si>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</si>
  <si>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</si>
  <si>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</si>
  <si>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</si>
  <si>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</si>
  <si>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</si>
  <si>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</si>
  <si>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</si>
  <si>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</si>
  <si>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</si>
  <si>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</si>
  <si>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</si>
  <si>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</si>
  <si>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</si>
  <si>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</si>
  <si>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</si>
  <si>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</si>
  <si>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</si>
  <si>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</si>
  <si>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</si>
  <si>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</si>
  <si>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</si>
  <si>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</si>
  <si>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</si>
  <si>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</si>
  <si>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</si>
  <si>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</si>
  <si>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</si>
  <si>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</si>
  <si>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</si>
  <si>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</si>
  <si>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</si>
  <si>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</si>
  <si>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</si>
  <si>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</si>
  <si>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</si>
  <si>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</si>
  <si>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</si>
  <si>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</si>
  <si>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</si>
  <si>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</si>
  <si>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</si>
  <si>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</si>
  <si>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</si>
  <si>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</si>
  <si>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</si>
  <si>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</si>
  <si>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</si>
  <si>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</si>
  <si>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</si>
  <si>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</si>
  <si>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</si>
  <si>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</si>
  <si>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</si>
  <si>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</si>
  <si>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</si>
  <si>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</si>
  <si>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</si>
  <si>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</si>
  <si>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</si>
  <si>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</si>
  <si>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</si>
  <si>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</si>
  <si>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</si>
  <si>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</si>
  <si>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</si>
  <si>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</si>
  <si>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</si>
  <si>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</si>
  <si>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</si>
  <si>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</si>
  <si>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</si>
  <si>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</si>
  <si>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</si>
  <si>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</si>
  <si>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</si>
  <si>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</si>
  <si>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</si>
  <si>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</si>
  <si>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</si>
  <si>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</si>
  <si>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</si>
  <si>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</si>
  <si>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</si>
  <si>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</si>
  <si>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</si>
  <si>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</si>
  <si>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</si>
  <si>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</si>
  <si>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</si>
  <si>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</si>
  <si>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</si>
  <si>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</si>
  <si>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</si>
  <si>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</si>
  <si>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</si>
  <si>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</si>
  <si>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</si>
  <si>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</si>
  <si>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</si>
  <si>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</si>
  <si>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</si>
  <si>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</si>
  <si>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</si>
  <si>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</si>
  <si>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</si>
  <si>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</si>
  <si>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</si>
  <si>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</si>
  <si>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</si>
  <si>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</si>
  <si>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</si>
  <si>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</si>
  <si>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</si>
  <si>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</si>
  <si>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</si>
  <si>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</si>
  <si>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</si>
  <si>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</si>
  <si>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</si>
  <si>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</si>
  <si>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</si>
  <si>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</si>
  <si>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</si>
  <si>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</si>
  <si>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</si>
  <si>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</si>
  <si>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</si>
  <si>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</si>
  <si>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</si>
  <si>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</si>
  <si>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</si>
  <si>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</si>
  <si>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</si>
  <si>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</si>
  <si>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</si>
  <si>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</si>
  <si>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</si>
  <si>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</si>
  <si>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</si>
  <si>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</si>
  <si>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</si>
  <si>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</si>
  <si>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</si>
  <si>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</si>
  <si>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</si>
  <si>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</si>
  <si>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</si>
  <si>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</si>
  <si>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</si>
  <si>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</si>
  <si>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</si>
  <si>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</si>
  <si>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</si>
  <si>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</si>
  <si>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</si>
  <si>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</si>
  <si>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</si>
  <si>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</si>
  <si>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</si>
  <si>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</si>
  <si>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</si>
  <si>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</si>
  <si>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</si>
  <si>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</si>
  <si>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</si>
  <si>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</si>
  <si>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</si>
  <si>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</si>
  <si>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</si>
  <si>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</si>
  <si>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</si>
  <si>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</si>
  <si>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</si>
  <si>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</si>
  <si>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</si>
  <si>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</si>
  <si>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</si>
  <si>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</si>
  <si>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</si>
  <si>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</si>
  <si>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</si>
  <si>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</si>
  <si>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</si>
  <si>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</si>
  <si>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</si>
  <si>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</si>
  <si>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</si>
  <si>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</si>
  <si>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</si>
  <si>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</si>
  <si>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</si>
  <si>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</si>
  <si>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</si>
  <si>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</si>
  <si>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</si>
  <si>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</si>
  <si>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</si>
  <si>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</si>
  <si>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</si>
  <si>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</si>
  <si>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</si>
  <si>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</si>
  <si>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</si>
  <si>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</si>
  <si>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</si>
  <si>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</si>
  <si>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</si>
  <si>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</si>
  <si>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</si>
  <si>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</si>
  <si>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</si>
  <si>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</si>
  <si>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</si>
  <si>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</si>
  <si>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</si>
  <si>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</si>
  <si>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</si>
  <si>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</si>
  <si>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</si>
  <si>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</si>
  <si>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</si>
  <si>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</si>
  <si>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</si>
  <si>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</si>
  <si>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</si>
  <si>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</si>
  <si>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</si>
  <si>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</si>
  <si>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</si>
  <si>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</si>
  <si>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</si>
  <si>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</si>
  <si>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</si>
  <si>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</si>
  <si>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</si>
  <si>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</si>
  <si>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</si>
  <si>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</si>
  <si>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</si>
  <si>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</si>
  <si>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</si>
  <si>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</si>
  <si>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</si>
  <si>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</si>
  <si>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</si>
  <si>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</si>
  <si>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</si>
  <si>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</si>
  <si>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</si>
  <si>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</si>
  <si>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</si>
  <si>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</si>
  <si>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</si>
  <si>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</si>
  <si>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</si>
  <si>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</si>
  <si>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</si>
  <si>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</si>
  <si>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</si>
  <si>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</si>
  <si>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</si>
  <si>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</si>
  <si>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</si>
  <si>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</si>
  <si>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</si>
  <si>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</si>
  <si>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</si>
  <si>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</si>
  <si>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</si>
  <si>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</si>
  <si>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</si>
  <si>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</si>
  <si>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</si>
  <si>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</si>
  <si>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</si>
  <si>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</si>
  <si>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</si>
  <si>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</si>
  <si>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</si>
  <si>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</si>
  <si>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</si>
  <si>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</si>
  <si>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</si>
  <si>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</si>
  <si>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</si>
  <si>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</si>
  <si>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</si>
  <si>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</si>
  <si>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</si>
  <si>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</si>
  <si>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</si>
  <si>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</si>
  <si>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</si>
  <si>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</si>
  <si>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</si>
  <si>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</si>
  <si>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</si>
  <si>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</si>
  <si>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</si>
  <si>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</si>
  <si>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</si>
  <si>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</si>
  <si>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</si>
  <si>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</si>
  <si>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</si>
  <si>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</si>
  <si>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</si>
  <si>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</si>
  <si>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</si>
  <si>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</si>
  <si>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</si>
  <si>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</si>
  <si>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</si>
  <si>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</si>
  <si>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</si>
  <si>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</si>
  <si>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</si>
  <si>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</si>
  <si>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</si>
  <si>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</si>
  <si>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</si>
  <si>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</si>
  <si>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</si>
  <si>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</si>
  <si>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</si>
  <si>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</si>
  <si>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</si>
  <si>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</si>
  <si>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</si>
  <si>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</si>
  <si>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</si>
  <si>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</si>
  <si>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</si>
  <si>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</si>
  <si>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</si>
  <si>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</si>
  <si>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</si>
  <si>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</si>
  <si>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</si>
  <si>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</si>
  <si>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</si>
  <si>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</si>
  <si>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</si>
  <si>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</si>
  <si>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</si>
  <si>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</si>
  <si>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</si>
  <si>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</si>
  <si>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</si>
  <si>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</si>
  <si>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</si>
  <si>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</si>
  <si>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</si>
  <si>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</si>
  <si>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</si>
  <si>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</si>
  <si>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</si>
  <si>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</si>
  <si>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</si>
  <si>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</si>
  <si>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</si>
  <si>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</si>
  <si>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</si>
  <si>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</si>
  <si>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</si>
  <si>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</si>
  <si>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</si>
  <si>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</si>
  <si>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</si>
  <si>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</si>
  <si>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</si>
  <si>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</si>
  <si>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</si>
  <si>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</si>
  <si>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</si>
  <si>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</si>
  <si>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</si>
  <si>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</si>
  <si>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</si>
  <si>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</si>
  <si>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</si>
  <si>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</si>
  <si>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</si>
  <si>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</si>
  <si>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</si>
  <si>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</si>
  <si>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</si>
  <si>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</si>
  <si>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</si>
  <si>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</si>
  <si>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</si>
  <si>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</si>
  <si>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</si>
  <si>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</si>
  <si>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</si>
  <si>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</si>
  <si>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</si>
  <si>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</si>
  <si>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</si>
  <si>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</si>
  <si>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</si>
  <si>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</si>
  <si>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</si>
  <si>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</si>
  <si>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</si>
  <si>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</si>
  <si>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</si>
  <si>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</si>
  <si>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</si>
  <si>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</si>
  <si>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</si>
  <si>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MIDSTATE MEDICAL CENTER AND SUBSIDIARIES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</si>
  <si>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</si>
  <si>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</si>
  <si>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</si>
  <si>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</si>
  <si>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</si>
  <si>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</si>
  <si>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</si>
  <si>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</si>
  <si>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</si>
  <si>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</si>
  <si>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</si>
  <si>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</si>
  <si>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</si>
  <si>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</si>
  <si>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</si>
  <si>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</si>
  <si>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</si>
  <si>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</si>
  <si>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</si>
  <si>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</si>
  <si>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</si>
  <si>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</si>
  <si>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</si>
  <si>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</si>
  <si>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</si>
  <si>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</si>
  <si>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</si>
  <si>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</si>
  <si>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</si>
  <si>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</si>
  <si>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</si>
  <si>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</si>
  <si>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</si>
  <si>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</si>
  <si>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</si>
  <si>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</si>
  <si>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</si>
  <si>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</si>
  <si>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</si>
  <si>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</si>
  <si>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</si>
  <si>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</si>
  <si>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</si>
  <si>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</si>
  <si>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</si>
  <si>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</si>
  <si>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</si>
  <si>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</si>
  <si>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</si>
  <si>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</si>
  <si>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</si>
  <si>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</si>
  <si>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</si>
  <si>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</si>
  <si>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</si>
  <si>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</si>
  <si>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</si>
  <si>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</si>
  <si>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</si>
  <si>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</si>
  <si>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</si>
  <si>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</si>
  <si>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</si>
  <si>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</si>
  <si>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</si>
  <si>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</si>
  <si>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</si>
  <si>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</si>
  <si>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</si>
  <si>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</si>
  <si>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</si>
  <si>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</si>
  <si>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</si>
  <si>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</si>
  <si>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</si>
  <si>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</si>
  <si>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</si>
  <si>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</si>
  <si>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</si>
  <si>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</si>
  <si>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</si>
  <si>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</si>
  <si>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</si>
  <si>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</si>
  <si>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</si>
  <si>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</si>
  <si>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</si>
  <si>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</si>
  <si>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</si>
  <si>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</si>
  <si>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</si>
  <si>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</si>
  <si>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</si>
  <si>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</si>
  <si>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</si>
  <si>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</si>
  <si>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</si>
  <si>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</si>
  <si>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</si>
  <si>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</si>
  <si>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</si>
  <si>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</si>
  <si>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</si>
  <si>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</si>
  <si>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</si>
  <si>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</si>
  <si>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</si>
  <si>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</si>
  <si>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</si>
  <si>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</si>
  <si>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</si>
  <si>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</si>
  <si>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</si>
  <si>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</si>
  <si>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</si>
  <si>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</si>
  <si>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</si>
  <si>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</si>
  <si>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</si>
  <si>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</si>
  <si>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</si>
  <si>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>Total Outpatient Surgical Procedures(A)</t>
  </si>
  <si>
    <t>Total Outpatient Endoscopy Procedures(B)</t>
  </si>
  <si>
    <t>Outpatient Hospital Emergency Room Visits</t>
  </si>
  <si>
    <t>61 Pomeroy Ave</t>
  </si>
  <si>
    <t>680 S. Main St Cheshire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</si>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</sst>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B42" sqref="B42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45140915</v>
      </c>
      <c r="D13" s="22">
        <v>11808352</v>
      </c>
      <c r="E13" s="22">
        <f t="shared" ref="E13:E22" si="0">D13-C13</f>
        <v>-33332563</v>
      </c>
      <c r="F13" s="23">
        <f t="shared" ref="F13:F22" si="1">IF(C13=0,0,E13/C13)</f>
        <v>-0.7384113281709066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23724146</v>
      </c>
      <c r="D15" s="22">
        <v>23491286</v>
      </c>
      <c r="E15" s="22">
        <f t="shared" si="0"/>
        <v>-232860</v>
      </c>
      <c r="F15" s="23">
        <f t="shared" si="1"/>
        <v>-9.8153164290929584E-3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387409</v>
      </c>
      <c r="D17" s="22">
        <v>0</v>
      </c>
      <c r="E17" s="22">
        <f t="shared" si="0"/>
        <v>-387409</v>
      </c>
      <c r="F17" s="23">
        <f t="shared" si="1"/>
        <v>-1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3431508</v>
      </c>
      <c r="D19" s="22">
        <v>3846758</v>
      </c>
      <c r="E19" s="22">
        <f t="shared" si="0"/>
        <v>415250</v>
      </c>
      <c r="F19" s="23">
        <f t="shared" si="1"/>
        <v>0.12101093746539422</v>
      </c>
    </row>
    <row r="20" spans="1:11" ht="24" customHeight="1" x14ac:dyDescent="0.2">
      <c r="A20" s="20">
        <v>8</v>
      </c>
      <c r="B20" s="21" t="s">
        <v>23</v>
      </c>
      <c r="C20" s="22">
        <v>2245299</v>
      </c>
      <c r="D20" s="22">
        <v>1656273</v>
      </c>
      <c r="E20" s="22">
        <f t="shared" si="0"/>
        <v>-589026</v>
      </c>
      <c r="F20" s="23">
        <f t="shared" si="1"/>
        <v>-0.26233744369903517</v>
      </c>
    </row>
    <row r="21" spans="1:11" ht="24" customHeight="1" x14ac:dyDescent="0.2">
      <c r="A21" s="20">
        <v>9</v>
      </c>
      <c r="B21" s="21" t="s">
        <v>24</v>
      </c>
      <c r="C21" s="22">
        <v>4746679</v>
      </c>
      <c r="D21" s="22">
        <v>3394827</v>
      </c>
      <c r="E21" s="22">
        <f t="shared" si="0"/>
        <v>-1351852</v>
      </c>
      <c r="F21" s="23">
        <f t="shared" si="1"/>
        <v>-0.28479954090006931</v>
      </c>
    </row>
    <row r="22" spans="1:11" ht="24" customHeight="1" x14ac:dyDescent="0.25">
      <c r="A22" s="24"/>
      <c r="B22" s="25" t="s">
        <v>25</v>
      </c>
      <c r="C22" s="26">
        <f>SUM(C13:C21)</f>
        <v>79675956</v>
      </c>
      <c r="D22" s="26">
        <f>SUM(D13:D21)</f>
        <v>44197496</v>
      </c>
      <c r="E22" s="26">
        <f t="shared" si="0"/>
        <v>-35478460</v>
      </c>
      <c r="F22" s="27">
        <f t="shared" si="1"/>
        <v>-0.44528439671310627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14799538</v>
      </c>
      <c r="D25" s="22">
        <v>13638495</v>
      </c>
      <c r="E25" s="22">
        <f>D25-C25</f>
        <v>-1161043</v>
      </c>
      <c r="F25" s="23">
        <f>IF(C25=0,0,E25/C25)</f>
        <v>-7.8451300304104091E-2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6307694</v>
      </c>
      <c r="D27" s="22">
        <v>6307694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41986</v>
      </c>
      <c r="D28" s="22">
        <v>38093</v>
      </c>
      <c r="E28" s="22">
        <f>D28-C28</f>
        <v>-3893</v>
      </c>
      <c r="F28" s="23">
        <f>IF(C28=0,0,E28/C28)</f>
        <v>-9.2721383318248946E-2</v>
      </c>
    </row>
    <row r="29" spans="1:11" ht="24" customHeight="1" x14ac:dyDescent="0.25">
      <c r="A29" s="24"/>
      <c r="B29" s="25" t="s">
        <v>32</v>
      </c>
      <c r="C29" s="26">
        <f>SUM(C25:C28)</f>
        <v>21149218</v>
      </c>
      <c r="D29" s="26">
        <f>SUM(D25:D28)</f>
        <v>19984282</v>
      </c>
      <c r="E29" s="26">
        <f>D29-C29</f>
        <v>-1164936</v>
      </c>
      <c r="F29" s="27">
        <f>IF(C29=0,0,E29/C29)</f>
        <v>-5.5081752904528193E-2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42123273</v>
      </c>
      <c r="D31" s="22">
        <v>82548240</v>
      </c>
      <c r="E31" s="22">
        <f>D31-C31</f>
        <v>40424967</v>
      </c>
      <c r="F31" s="23">
        <f>IF(C31=0,0,E31/C31)</f>
        <v>0.95968247766501902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18463116</v>
      </c>
      <c r="D33" s="22">
        <v>15405575</v>
      </c>
      <c r="E33" s="22">
        <f>D33-C33</f>
        <v>-3057541</v>
      </c>
      <c r="F33" s="23">
        <f>IF(C33=0,0,E33/C33)</f>
        <v>-0.16560265341993194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260616400</v>
      </c>
      <c r="D36" s="22">
        <v>265935799</v>
      </c>
      <c r="E36" s="22">
        <f>D36-C36</f>
        <v>5319399</v>
      </c>
      <c r="F36" s="23">
        <f>IF(C36=0,0,E36/C36)</f>
        <v>2.0410837537468862E-2</v>
      </c>
    </row>
    <row r="37" spans="1:8" ht="24" customHeight="1" x14ac:dyDescent="0.2">
      <c r="A37" s="20">
        <v>2</v>
      </c>
      <c r="B37" s="21" t="s">
        <v>39</v>
      </c>
      <c r="C37" s="22">
        <v>145547861</v>
      </c>
      <c r="D37" s="22">
        <v>157707830</v>
      </c>
      <c r="E37" s="22">
        <f>D37-C37</f>
        <v>12159969</v>
      </c>
      <c r="F37" s="23">
        <f>IF(C37=0,0,E37/C37)</f>
        <v>8.3546188287851236E-2</v>
      </c>
    </row>
    <row r="38" spans="1:8" ht="24" customHeight="1" x14ac:dyDescent="0.25">
      <c r="A38" s="24"/>
      <c r="B38" s="25" t="s">
        <v>40</v>
      </c>
      <c r="C38" s="26">
        <f>C36-C37</f>
        <v>115068539</v>
      </c>
      <c r="D38" s="26">
        <f>D36-D37</f>
        <v>108227969</v>
      </c>
      <c r="E38" s="26">
        <f>D38-C38</f>
        <v>-6840570</v>
      </c>
      <c r="F38" s="27">
        <f>IF(C38=0,0,E38/C38)</f>
        <v>-5.9447787027173432E-2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584432</v>
      </c>
      <c r="D40" s="22">
        <v>1505271</v>
      </c>
      <c r="E40" s="22">
        <f>D40-C40</f>
        <v>920839</v>
      </c>
      <c r="F40" s="23">
        <f>IF(C40=0,0,E40/C40)</f>
        <v>1.5756135872094614</v>
      </c>
    </row>
    <row r="41" spans="1:8" ht="24" customHeight="1" x14ac:dyDescent="0.25">
      <c r="A41" s="24"/>
      <c r="B41" s="25" t="s">
        <v>42</v>
      </c>
      <c r="C41" s="26">
        <f>+C38+C40</f>
        <v>115652971</v>
      </c>
      <c r="D41" s="26">
        <f>+D38+D40</f>
        <v>109733240</v>
      </c>
      <c r="E41" s="26">
        <f>D41-C41</f>
        <v>-5919731</v>
      </c>
      <c r="F41" s="27">
        <f>IF(C41=0,0,E41/C41)</f>
        <v>-5.1185291210547455E-2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277064534</v>
      </c>
      <c r="D43" s="26">
        <f>D22+D29+D31+D32+D33+D41</f>
        <v>271868833</v>
      </c>
      <c r="E43" s="26">
        <f>D43-C43</f>
        <v>-5195701</v>
      </c>
      <c r="F43" s="27">
        <f>IF(C43=0,0,E43/C43)</f>
        <v>-1.8752674422053601E-2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2689312</v>
      </c>
      <c r="D49" s="22">
        <v>10938072</v>
      </c>
      <c r="E49" s="22">
        <f t="shared" ref="E49:E56" si="2">D49-C49</f>
        <v>8248760</v>
      </c>
      <c r="F49" s="23">
        <f t="shared" ref="F49:F56" si="3">IF(C49=0,0,E49/C49)</f>
        <v>3.0672380147785008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7004880</v>
      </c>
      <c r="D50" s="22">
        <v>4208421</v>
      </c>
      <c r="E50" s="22">
        <f t="shared" si="2"/>
        <v>-2796459</v>
      </c>
      <c r="F50" s="23">
        <f t="shared" si="3"/>
        <v>-0.39921583239113306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4070103</v>
      </c>
      <c r="D51" s="22">
        <v>7239596</v>
      </c>
      <c r="E51" s="22">
        <f t="shared" si="2"/>
        <v>3169493</v>
      </c>
      <c r="F51" s="23">
        <f t="shared" si="3"/>
        <v>0.77872550154136144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3582982</v>
      </c>
      <c r="D52" s="22">
        <v>2547087</v>
      </c>
      <c r="E52" s="22">
        <f t="shared" si="2"/>
        <v>-1035895</v>
      </c>
      <c r="F52" s="23">
        <f t="shared" si="3"/>
        <v>-0.2891153234931127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757808</v>
      </c>
      <c r="D53" s="22">
        <v>906469</v>
      </c>
      <c r="E53" s="22">
        <f t="shared" si="2"/>
        <v>148661</v>
      </c>
      <c r="F53" s="23">
        <f t="shared" si="3"/>
        <v>0.19617238139475962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8394597</v>
      </c>
      <c r="D55" s="22">
        <v>6953305</v>
      </c>
      <c r="E55" s="22">
        <f t="shared" si="2"/>
        <v>-1441292</v>
      </c>
      <c r="F55" s="23">
        <f t="shared" si="3"/>
        <v>-0.17169281622453109</v>
      </c>
    </row>
    <row r="56" spans="1:6" ht="24" customHeight="1" x14ac:dyDescent="0.25">
      <c r="A56" s="24"/>
      <c r="B56" s="25" t="s">
        <v>54</v>
      </c>
      <c r="C56" s="26">
        <f>SUM(C49:C55)</f>
        <v>26499682</v>
      </c>
      <c r="D56" s="26">
        <f>SUM(D49:D55)</f>
        <v>32792950</v>
      </c>
      <c r="E56" s="26">
        <f t="shared" si="2"/>
        <v>6293268</v>
      </c>
      <c r="F56" s="27">
        <f t="shared" si="3"/>
        <v>0.23748466113668837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86762098</v>
      </c>
      <c r="D59" s="22">
        <v>85514281</v>
      </c>
      <c r="E59" s="22">
        <f>D59-C59</f>
        <v>-1247817</v>
      </c>
      <c r="F59" s="23">
        <f>IF(C59=0,0,E59/C59)</f>
        <v>-1.4382051941620868E-2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86762098</v>
      </c>
      <c r="D61" s="26">
        <f>SUM(D59:D60)</f>
        <v>85514281</v>
      </c>
      <c r="E61" s="26">
        <f>D61-C61</f>
        <v>-1247817</v>
      </c>
      <c r="F61" s="27">
        <f>IF(C61=0,0,E61/C61)</f>
        <v>-1.4382051941620868E-2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34688717</v>
      </c>
      <c r="D63" s="22">
        <v>46123235</v>
      </c>
      <c r="E63" s="22">
        <f>D63-C63</f>
        <v>11434518</v>
      </c>
      <c r="F63" s="23">
        <f>IF(C63=0,0,E63/C63)</f>
        <v>0.32963219712046427</v>
      </c>
    </row>
    <row r="64" spans="1:6" ht="24" customHeight="1" x14ac:dyDescent="0.2">
      <c r="A64" s="20">
        <v>4</v>
      </c>
      <c r="B64" s="21" t="s">
        <v>60</v>
      </c>
      <c r="C64" s="22">
        <v>21672445</v>
      </c>
      <c r="D64" s="22">
        <v>17956145</v>
      </c>
      <c r="E64" s="22">
        <f>D64-C64</f>
        <v>-3716300</v>
      </c>
      <c r="F64" s="23">
        <f>IF(C64=0,0,E64/C64)</f>
        <v>-0.17147580718280747</v>
      </c>
    </row>
    <row r="65" spans="1:6" ht="24" customHeight="1" x14ac:dyDescent="0.25">
      <c r="A65" s="24"/>
      <c r="B65" s="25" t="s">
        <v>61</v>
      </c>
      <c r="C65" s="26">
        <f>SUM(C61:C64)</f>
        <v>143123260</v>
      </c>
      <c r="D65" s="26">
        <f>SUM(D61:D64)</f>
        <v>149593661</v>
      </c>
      <c r="E65" s="26">
        <f>D65-C65</f>
        <v>6470401</v>
      </c>
      <c r="F65" s="27">
        <f>IF(C65=0,0,E65/C65)</f>
        <v>4.5208591531523248E-2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89763992</v>
      </c>
      <c r="D70" s="22">
        <v>72575242</v>
      </c>
      <c r="E70" s="22">
        <f>D70-C70</f>
        <v>-17188750</v>
      </c>
      <c r="F70" s="23">
        <f>IF(C70=0,0,E70/C70)</f>
        <v>-0.19148825288429686</v>
      </c>
    </row>
    <row r="71" spans="1:6" ht="24" customHeight="1" x14ac:dyDescent="0.2">
      <c r="A71" s="20">
        <v>2</v>
      </c>
      <c r="B71" s="21" t="s">
        <v>65</v>
      </c>
      <c r="C71" s="22">
        <v>2099252</v>
      </c>
      <c r="D71" s="22">
        <v>2488430</v>
      </c>
      <c r="E71" s="22">
        <f>D71-C71</f>
        <v>389178</v>
      </c>
      <c r="F71" s="23">
        <f>IF(C71=0,0,E71/C71)</f>
        <v>0.18538889090018731</v>
      </c>
    </row>
    <row r="72" spans="1:6" ht="24" customHeight="1" x14ac:dyDescent="0.2">
      <c r="A72" s="20">
        <v>3</v>
      </c>
      <c r="B72" s="21" t="s">
        <v>66</v>
      </c>
      <c r="C72" s="22">
        <v>15578348</v>
      </c>
      <c r="D72" s="22">
        <v>14418550</v>
      </c>
      <c r="E72" s="22">
        <f>D72-C72</f>
        <v>-1159798</v>
      </c>
      <c r="F72" s="23">
        <f>IF(C72=0,0,E72/C72)</f>
        <v>-7.4449357531363405E-2</v>
      </c>
    </row>
    <row r="73" spans="1:6" ht="24" customHeight="1" x14ac:dyDescent="0.25">
      <c r="A73" s="20"/>
      <c r="B73" s="25" t="s">
        <v>67</v>
      </c>
      <c r="C73" s="26">
        <f>SUM(C70:C72)</f>
        <v>107441592</v>
      </c>
      <c r="D73" s="26">
        <f>SUM(D70:D72)</f>
        <v>89482222</v>
      </c>
      <c r="E73" s="26">
        <f>D73-C73</f>
        <v>-17959370</v>
      </c>
      <c r="F73" s="27">
        <f>IF(C73=0,0,E73/C73)</f>
        <v>-0.16715472719354343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277064534</v>
      </c>
      <c r="D75" s="26">
        <f>D56+D65+D67+D73</f>
        <v>271868833</v>
      </c>
      <c r="E75" s="26">
        <f>D75-C75</f>
        <v>-5195701</v>
      </c>
      <c r="F75" s="27">
        <f>IF(C75=0,0,E75/C75)</f>
        <v>-1.8752674422053601E-2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44" zoomScale="70" zoomScaleNormal="70" zoomScaleSheetLayoutView="75" workbookViewId="0">
      <selection activeCell="B42" sqref="B42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217746204</v>
      </c>
      <c r="D11" s="76">
        <v>219132186</v>
      </c>
      <c r="E11" s="76">
        <v>212391809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19139869</v>
      </c>
      <c r="D12" s="185">
        <v>16164177</v>
      </c>
      <c r="E12" s="185">
        <v>14406472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236886073</v>
      </c>
      <c r="D13" s="76">
        <f>+D11+D12</f>
        <v>235296363</v>
      </c>
      <c r="E13" s="76">
        <f>+E11+E12</f>
        <v>226798281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222912485</v>
      </c>
      <c r="D14" s="185">
        <v>216614845</v>
      </c>
      <c r="E14" s="185">
        <v>210263748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13973588</v>
      </c>
      <c r="D15" s="76">
        <f>+D13-D14</f>
        <v>18681518</v>
      </c>
      <c r="E15" s="76">
        <f>+E13-E14</f>
        <v>16534533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4228077</v>
      </c>
      <c r="D16" s="185">
        <v>3147295</v>
      </c>
      <c r="E16" s="185">
        <v>-2602707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18201665</v>
      </c>
      <c r="D17" s="76">
        <f>D15+D16</f>
        <v>21828813</v>
      </c>
      <c r="E17" s="76">
        <f>E15+E16</f>
        <v>13931826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5.7954242834773489E-2</v>
      </c>
      <c r="D20" s="189">
        <f>IF(+D27=0,0,+D24/+D27)</f>
        <v>7.834772439198194E-2</v>
      </c>
      <c r="E20" s="189">
        <f>IF(+E27=0,0,+E24/+E27)</f>
        <v>7.375048804487104E-2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1.7535582212823263E-2</v>
      </c>
      <c r="D21" s="189">
        <f>IF(+D27=0,0,+D26/+D27)</f>
        <v>1.3199323590313315E-2</v>
      </c>
      <c r="E21" s="189">
        <f>IF(+E27=0,0,+E26/+E27)</f>
        <v>-1.1609091801250278E-2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7.5489825047596756E-2</v>
      </c>
      <c r="D22" s="189">
        <f>IF(+D27=0,0,+D28/+D27)</f>
        <v>9.1547047982295252E-2</v>
      </c>
      <c r="E22" s="189">
        <f>IF(+E27=0,0,+E28/+E27)</f>
        <v>6.2141396243620757E-2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13973588</v>
      </c>
      <c r="D24" s="76">
        <f>+D15</f>
        <v>18681518</v>
      </c>
      <c r="E24" s="76">
        <f>+E15</f>
        <v>16534533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236886073</v>
      </c>
      <c r="D25" s="76">
        <f>+D13</f>
        <v>235296363</v>
      </c>
      <c r="E25" s="76">
        <f>+E13</f>
        <v>226798281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4228077</v>
      </c>
      <c r="D26" s="76">
        <f>+D16</f>
        <v>3147295</v>
      </c>
      <c r="E26" s="76">
        <f>+E16</f>
        <v>-2602707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241114150</v>
      </c>
      <c r="D27" s="76">
        <f>SUM(D25:D26)</f>
        <v>238443658</v>
      </c>
      <c r="E27" s="76">
        <f>SUM(E25:E26)</f>
        <v>224195574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18201665</v>
      </c>
      <c r="D28" s="76">
        <f>+D17</f>
        <v>21828813</v>
      </c>
      <c r="E28" s="76">
        <f>+E17</f>
        <v>13931826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95882676</v>
      </c>
      <c r="D31" s="76">
        <v>89335239</v>
      </c>
      <c r="E31" s="76">
        <v>72281651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112662331</v>
      </c>
      <c r="D32" s="76">
        <v>107012839</v>
      </c>
      <c r="E32" s="76">
        <v>89188631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22035373</v>
      </c>
      <c r="D33" s="76">
        <f>+D32-C32</f>
        <v>-5649492</v>
      </c>
      <c r="E33" s="76">
        <f>+E32-D32</f>
        <v>-17824208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1.2431000000000001</v>
      </c>
      <c r="D34" s="193">
        <f>IF(C32=0,0,+D33/C32)</f>
        <v>-5.014534982415729E-2</v>
      </c>
      <c r="E34" s="193">
        <f>IF(D32=0,0,+E33/D32)</f>
        <v>-0.16656139736653469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2.4368957312547885</v>
      </c>
      <c r="D38" s="338">
        <f>IF(+D40=0,0,+D39/+D40)</f>
        <v>3.0115133386738355</v>
      </c>
      <c r="E38" s="338">
        <f>IF(+E40=0,0,+E39/+E40)</f>
        <v>1.3861146515097236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75535375</v>
      </c>
      <c r="D39" s="341">
        <v>81182916</v>
      </c>
      <c r="E39" s="341">
        <v>45781005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30996556</v>
      </c>
      <c r="D40" s="341">
        <v>26957515</v>
      </c>
      <c r="E40" s="341">
        <v>33028296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49.570448578853323</v>
      </c>
      <c r="D42" s="343">
        <f>IF((D48/365)=0,0,+D45/(D48/365))</f>
        <v>82.244411468389288</v>
      </c>
      <c r="E42" s="343">
        <f>IF((E48/365)=0,0,+E45/(E48/365))</f>
        <v>23.384774125142407</v>
      </c>
    </row>
    <row r="43" spans="1:14" ht="24" customHeight="1" x14ac:dyDescent="0.2">
      <c r="A43" s="339">
        <v>5</v>
      </c>
      <c r="B43" s="344" t="s">
        <v>16</v>
      </c>
      <c r="C43" s="345">
        <v>28465876</v>
      </c>
      <c r="D43" s="345">
        <v>45862697</v>
      </c>
      <c r="E43" s="345">
        <v>12664293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28465876</v>
      </c>
      <c r="D45" s="341">
        <f>+D43+D44</f>
        <v>45862697</v>
      </c>
      <c r="E45" s="341">
        <f>+E43+E44</f>
        <v>12664293</v>
      </c>
    </row>
    <row r="46" spans="1:14" ht="24" customHeight="1" x14ac:dyDescent="0.2">
      <c r="A46" s="339">
        <v>8</v>
      </c>
      <c r="B46" s="340" t="s">
        <v>334</v>
      </c>
      <c r="C46" s="341">
        <f>+C14</f>
        <v>222912485</v>
      </c>
      <c r="D46" s="341">
        <f>+D14</f>
        <v>216614845</v>
      </c>
      <c r="E46" s="341">
        <f>+E14</f>
        <v>210263748</v>
      </c>
    </row>
    <row r="47" spans="1:14" ht="24" customHeight="1" x14ac:dyDescent="0.2">
      <c r="A47" s="339">
        <v>9</v>
      </c>
      <c r="B47" s="340" t="s">
        <v>356</v>
      </c>
      <c r="C47" s="341">
        <v>13310897</v>
      </c>
      <c r="D47" s="341">
        <v>13076585</v>
      </c>
      <c r="E47" s="341">
        <v>12593806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209601588</v>
      </c>
      <c r="D48" s="341">
        <f>+D46-D47</f>
        <v>203538260</v>
      </c>
      <c r="E48" s="341">
        <f>+E46-E47</f>
        <v>197669942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49.089160149032956</v>
      </c>
      <c r="D50" s="350">
        <f>IF((D55/365)=0,0,+D54/(D55/365))</f>
        <v>32.736978651780525</v>
      </c>
      <c r="E50" s="350">
        <f>IF((E55/365)=0,0,+E54/(E55/365))</f>
        <v>27.928887078691439</v>
      </c>
    </row>
    <row r="51" spans="1:5" ht="24" customHeight="1" x14ac:dyDescent="0.2">
      <c r="A51" s="339">
        <v>12</v>
      </c>
      <c r="B51" s="344" t="s">
        <v>359</v>
      </c>
      <c r="C51" s="351">
        <v>27767137</v>
      </c>
      <c r="D51" s="351">
        <v>23724146</v>
      </c>
      <c r="E51" s="351">
        <v>23491286</v>
      </c>
    </row>
    <row r="52" spans="1:5" ht="24" customHeight="1" x14ac:dyDescent="0.2">
      <c r="A52" s="339">
        <v>13</v>
      </c>
      <c r="B52" s="344" t="s">
        <v>21</v>
      </c>
      <c r="C52" s="341">
        <v>1517735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4070103</v>
      </c>
      <c r="E53" s="341">
        <v>7239596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29284872</v>
      </c>
      <c r="D54" s="352">
        <f>+D51+D52-D53</f>
        <v>19654043</v>
      </c>
      <c r="E54" s="352">
        <f>+E51+E52-E53</f>
        <v>16251690</v>
      </c>
    </row>
    <row r="55" spans="1:5" ht="24" customHeight="1" x14ac:dyDescent="0.2">
      <c r="A55" s="339">
        <v>16</v>
      </c>
      <c r="B55" s="340" t="s">
        <v>75</v>
      </c>
      <c r="C55" s="341">
        <f>+C11</f>
        <v>217746204</v>
      </c>
      <c r="D55" s="341">
        <f>+D11</f>
        <v>219132186</v>
      </c>
      <c r="E55" s="341">
        <f>+E11</f>
        <v>212391809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53.977372251588093</v>
      </c>
      <c r="D57" s="355">
        <f>IF((D61/365)=0,0,+D58/(D61/365))</f>
        <v>48.342228016491845</v>
      </c>
      <c r="E57" s="355">
        <f>IF((E61/365)=0,0,+E58/(E61/365))</f>
        <v>60.987158280240713</v>
      </c>
    </row>
    <row r="58" spans="1:5" ht="24" customHeight="1" x14ac:dyDescent="0.2">
      <c r="A58" s="339">
        <v>18</v>
      </c>
      <c r="B58" s="340" t="s">
        <v>54</v>
      </c>
      <c r="C58" s="353">
        <f>+C40</f>
        <v>30996556</v>
      </c>
      <c r="D58" s="353">
        <f>+D40</f>
        <v>26957515</v>
      </c>
      <c r="E58" s="353">
        <f>+E40</f>
        <v>33028296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222912485</v>
      </c>
      <c r="D59" s="353">
        <f t="shared" si="0"/>
        <v>216614845</v>
      </c>
      <c r="E59" s="353">
        <f t="shared" si="0"/>
        <v>210263748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13310897</v>
      </c>
      <c r="D60" s="356">
        <f t="shared" si="0"/>
        <v>13076585</v>
      </c>
      <c r="E60" s="356">
        <f t="shared" si="0"/>
        <v>12593806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209601588</v>
      </c>
      <c r="D61" s="353">
        <f>+D59-D60</f>
        <v>203538260</v>
      </c>
      <c r="E61" s="353">
        <f>+E59-E60</f>
        <v>197669942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41.252125496870768</v>
      </c>
      <c r="D65" s="357">
        <f>IF(D67=0,0,(D66/D67)*100)</f>
        <v>38.570831284428671</v>
      </c>
      <c r="E65" s="357">
        <f>IF(E67=0,0,(E66/E67)*100)</f>
        <v>32.749512086652011</v>
      </c>
    </row>
    <row r="66" spans="1:5" ht="24" customHeight="1" x14ac:dyDescent="0.2">
      <c r="A66" s="339">
        <v>2</v>
      </c>
      <c r="B66" s="340" t="s">
        <v>67</v>
      </c>
      <c r="C66" s="353">
        <f>+C32</f>
        <v>112662331</v>
      </c>
      <c r="D66" s="353">
        <f>+D32</f>
        <v>107012839</v>
      </c>
      <c r="E66" s="353">
        <f>+E32</f>
        <v>89188631</v>
      </c>
    </row>
    <row r="67" spans="1:5" ht="24" customHeight="1" x14ac:dyDescent="0.2">
      <c r="A67" s="339">
        <v>3</v>
      </c>
      <c r="B67" s="340" t="s">
        <v>43</v>
      </c>
      <c r="C67" s="353">
        <v>273106730</v>
      </c>
      <c r="D67" s="353">
        <v>277444990</v>
      </c>
      <c r="E67" s="353">
        <v>272335755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26.525112028553416</v>
      </c>
      <c r="D69" s="357">
        <f>IF(D75=0,0,(D72/D75)*100)</f>
        <v>30.694263794232224</v>
      </c>
      <c r="E69" s="357">
        <f>IF(E75=0,0,(E72/E75)*100)</f>
        <v>22.376459725521237</v>
      </c>
    </row>
    <row r="70" spans="1:5" ht="24" customHeight="1" x14ac:dyDescent="0.2">
      <c r="A70" s="339">
        <v>5</v>
      </c>
      <c r="B70" s="340" t="s">
        <v>366</v>
      </c>
      <c r="C70" s="353">
        <f>+C28</f>
        <v>18201665</v>
      </c>
      <c r="D70" s="353">
        <f>+D28</f>
        <v>21828813</v>
      </c>
      <c r="E70" s="353">
        <f>+E28</f>
        <v>13931826</v>
      </c>
    </row>
    <row r="71" spans="1:5" ht="24" customHeight="1" x14ac:dyDescent="0.2">
      <c r="A71" s="339">
        <v>6</v>
      </c>
      <c r="B71" s="340" t="s">
        <v>356</v>
      </c>
      <c r="C71" s="356">
        <f>+C47</f>
        <v>13310897</v>
      </c>
      <c r="D71" s="356">
        <f>+D47</f>
        <v>13076585</v>
      </c>
      <c r="E71" s="356">
        <f>+E47</f>
        <v>12593806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31512562</v>
      </c>
      <c r="D72" s="353">
        <f>+D70+D71</f>
        <v>34905398</v>
      </c>
      <c r="E72" s="353">
        <f>+E70+E71</f>
        <v>26525632</v>
      </c>
    </row>
    <row r="73" spans="1:5" ht="24" customHeight="1" x14ac:dyDescent="0.2">
      <c r="A73" s="339">
        <v>8</v>
      </c>
      <c r="B73" s="340" t="s">
        <v>54</v>
      </c>
      <c r="C73" s="341">
        <f>+C40</f>
        <v>30996556</v>
      </c>
      <c r="D73" s="341">
        <f>+D40</f>
        <v>26957515</v>
      </c>
      <c r="E73" s="341">
        <f>+E40</f>
        <v>33028296</v>
      </c>
    </row>
    <row r="74" spans="1:5" ht="24" customHeight="1" x14ac:dyDescent="0.2">
      <c r="A74" s="339">
        <v>9</v>
      </c>
      <c r="B74" s="340" t="s">
        <v>58</v>
      </c>
      <c r="C74" s="353">
        <v>87806192</v>
      </c>
      <c r="D74" s="353">
        <v>86762098</v>
      </c>
      <c r="E74" s="353">
        <v>85514281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118802748</v>
      </c>
      <c r="D75" s="341">
        <f>+D73+D74</f>
        <v>113719613</v>
      </c>
      <c r="E75" s="341">
        <f>+E73+E74</f>
        <v>118542577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43.800488319056456</v>
      </c>
      <c r="D77" s="359">
        <f>IF(D80=0,0,(D78/D80)*100)</f>
        <v>44.774674859009245</v>
      </c>
      <c r="E77" s="359">
        <f>IF(E80=0,0,(E78/E80)*100)</f>
        <v>48.948400470851908</v>
      </c>
    </row>
    <row r="78" spans="1:5" ht="24" customHeight="1" x14ac:dyDescent="0.2">
      <c r="A78" s="339">
        <v>12</v>
      </c>
      <c r="B78" s="340" t="s">
        <v>58</v>
      </c>
      <c r="C78" s="341">
        <f>+C74</f>
        <v>87806192</v>
      </c>
      <c r="D78" s="341">
        <f>+D74</f>
        <v>86762098</v>
      </c>
      <c r="E78" s="341">
        <f>+E74</f>
        <v>85514281</v>
      </c>
    </row>
    <row r="79" spans="1:5" ht="24" customHeight="1" x14ac:dyDescent="0.2">
      <c r="A79" s="339">
        <v>13</v>
      </c>
      <c r="B79" s="340" t="s">
        <v>67</v>
      </c>
      <c r="C79" s="341">
        <f>+C32</f>
        <v>112662331</v>
      </c>
      <c r="D79" s="341">
        <f>+D32</f>
        <v>107012839</v>
      </c>
      <c r="E79" s="341">
        <f>+E32</f>
        <v>89188631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200468523</v>
      </c>
      <c r="D80" s="341">
        <f>+D78+D79</f>
        <v>193774937</v>
      </c>
      <c r="E80" s="341">
        <f>+E78+E79</f>
        <v>174702912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FILING&amp;R&amp;8MIDSTATE MEDICAL CENTER AND SUBSIDIARIES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5" zoomScaleNormal="75" zoomScaleSheetLayoutView="75" workbookViewId="0">
      <selection activeCell="B42" sqref="B42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29637</v>
      </c>
      <c r="D11" s="376">
        <v>7222</v>
      </c>
      <c r="E11" s="376">
        <v>7226</v>
      </c>
      <c r="F11" s="377">
        <v>102</v>
      </c>
      <c r="G11" s="377">
        <v>116</v>
      </c>
      <c r="H11" s="378">
        <f>IF(F11=0,0,$C11/(F11*365))</f>
        <v>0.79605157131345694</v>
      </c>
      <c r="I11" s="378">
        <f>IF(G11=0,0,$C11/(G11*365))</f>
        <v>0.69997638167217757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1678</v>
      </c>
      <c r="D13" s="376">
        <v>483</v>
      </c>
      <c r="E13" s="376">
        <v>0</v>
      </c>
      <c r="F13" s="377">
        <v>7</v>
      </c>
      <c r="G13" s="377">
        <v>9</v>
      </c>
      <c r="H13" s="378">
        <f>IF(F13=0,0,$C13/(F13*365))</f>
        <v>0.65675146771037185</v>
      </c>
      <c r="I13" s="378">
        <f>IF(G13=0,0,$C13/(G13*365))</f>
        <v>0.51080669710806692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1471</v>
      </c>
      <c r="D16" s="376">
        <v>121</v>
      </c>
      <c r="E16" s="376">
        <v>121</v>
      </c>
      <c r="F16" s="377">
        <v>6</v>
      </c>
      <c r="G16" s="377">
        <v>6</v>
      </c>
      <c r="H16" s="378">
        <f t="shared" si="0"/>
        <v>0.67168949771689501</v>
      </c>
      <c r="I16" s="378">
        <f t="shared" si="0"/>
        <v>0.67168949771689501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1471</v>
      </c>
      <c r="D17" s="381">
        <f>SUM(D15:D16)</f>
        <v>121</v>
      </c>
      <c r="E17" s="381">
        <f>SUM(E15:E16)</f>
        <v>121</v>
      </c>
      <c r="F17" s="381">
        <f>SUM(F15:F16)</f>
        <v>6</v>
      </c>
      <c r="G17" s="381">
        <f>SUM(G15:G16)</f>
        <v>6</v>
      </c>
      <c r="H17" s="382">
        <f t="shared" si="0"/>
        <v>0.67168949771689501</v>
      </c>
      <c r="I17" s="382">
        <f t="shared" si="0"/>
        <v>0.67168949771689501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2298</v>
      </c>
      <c r="D21" s="376">
        <v>938</v>
      </c>
      <c r="E21" s="376">
        <v>938</v>
      </c>
      <c r="F21" s="377">
        <v>10</v>
      </c>
      <c r="G21" s="377">
        <v>13</v>
      </c>
      <c r="H21" s="378">
        <f>IF(F21=0,0,$C21/(F21*365))</f>
        <v>0.62958904109589042</v>
      </c>
      <c r="I21" s="378">
        <f>IF(G21=0,0,$C21/(G21*365))</f>
        <v>0.48429926238145415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2174</v>
      </c>
      <c r="D23" s="376">
        <v>927</v>
      </c>
      <c r="E23" s="376">
        <v>927</v>
      </c>
      <c r="F23" s="377">
        <v>10</v>
      </c>
      <c r="G23" s="377">
        <v>12</v>
      </c>
      <c r="H23" s="378">
        <f>IF(F23=0,0,$C23/(F23*365))</f>
        <v>0.5956164383561644</v>
      </c>
      <c r="I23" s="378">
        <f>IF(G23=0,0,$C23/(G23*365))</f>
        <v>0.4963470319634703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35084</v>
      </c>
      <c r="D31" s="384">
        <f>SUM(D10:D29)-D13-D17-D23</f>
        <v>8281</v>
      </c>
      <c r="E31" s="384">
        <f>SUM(E10:E29)-E17-E23</f>
        <v>8285</v>
      </c>
      <c r="F31" s="384">
        <f>SUM(F10:F29)-F17-F23</f>
        <v>125</v>
      </c>
      <c r="G31" s="384">
        <f>SUM(G10:G29)-G17-G23</f>
        <v>144</v>
      </c>
      <c r="H31" s="385">
        <f>IF(F31=0,0,$C31/(F31*365))</f>
        <v>0.76896438356164387</v>
      </c>
      <c r="I31" s="385">
        <f>IF(G31=0,0,$C31/(G31*365))</f>
        <v>0.66750380517503805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37258</v>
      </c>
      <c r="D33" s="384">
        <f>SUM(D10:D29)-D13-D17</f>
        <v>9208</v>
      </c>
      <c r="E33" s="384">
        <f>SUM(E10:E29)-E17</f>
        <v>9212</v>
      </c>
      <c r="F33" s="384">
        <f>SUM(F10:F29)-F17</f>
        <v>135</v>
      </c>
      <c r="G33" s="384">
        <f>SUM(G10:G29)-G17</f>
        <v>156</v>
      </c>
      <c r="H33" s="385">
        <f>IF(F33=0,0,$C33/(F33*365))</f>
        <v>0.75612379502790461</v>
      </c>
      <c r="I33" s="385">
        <f>IF(G33=0,0,$C33/(G33*365))</f>
        <v>0.65433789954337895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37258</v>
      </c>
      <c r="D36" s="384">
        <f t="shared" si="1"/>
        <v>9208</v>
      </c>
      <c r="E36" s="384">
        <f t="shared" si="1"/>
        <v>9212</v>
      </c>
      <c r="F36" s="384">
        <f t="shared" si="1"/>
        <v>135</v>
      </c>
      <c r="G36" s="384">
        <f t="shared" si="1"/>
        <v>156</v>
      </c>
      <c r="H36" s="387">
        <f t="shared" si="1"/>
        <v>0.75612379502790461</v>
      </c>
      <c r="I36" s="387">
        <f t="shared" si="1"/>
        <v>0.65433789954337895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39492</v>
      </c>
      <c r="D37" s="384">
        <v>9284</v>
      </c>
      <c r="E37" s="384">
        <v>9284</v>
      </c>
      <c r="F37" s="386">
        <v>135</v>
      </c>
      <c r="G37" s="386">
        <v>156</v>
      </c>
      <c r="H37" s="385">
        <f>IF(F37=0,0,$C37/(F37*365))</f>
        <v>0.8014611872146119</v>
      </c>
      <c r="I37" s="385">
        <f>IF(G37=0,0,$C37/(G37*365))</f>
        <v>0.69357218124341413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-2234</v>
      </c>
      <c r="D38" s="384">
        <f t="shared" si="2"/>
        <v>-76</v>
      </c>
      <c r="E38" s="384">
        <f t="shared" si="2"/>
        <v>-72</v>
      </c>
      <c r="F38" s="384">
        <f t="shared" si="2"/>
        <v>0</v>
      </c>
      <c r="G38" s="384">
        <f t="shared" si="2"/>
        <v>0</v>
      </c>
      <c r="H38" s="387">
        <f t="shared" si="2"/>
        <v>-4.5337392186707293E-2</v>
      </c>
      <c r="I38" s="387">
        <f t="shared" si="2"/>
        <v>-3.9234281700035178E-2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-5.6568418920287654E-2</v>
      </c>
      <c r="D40" s="389">
        <f t="shared" si="3"/>
        <v>-8.1861266695389921E-3</v>
      </c>
      <c r="E40" s="389">
        <f t="shared" si="3"/>
        <v>-7.7552778974579921E-3</v>
      </c>
      <c r="F40" s="389">
        <f t="shared" si="3"/>
        <v>0</v>
      </c>
      <c r="G40" s="389">
        <f t="shared" si="3"/>
        <v>0</v>
      </c>
      <c r="H40" s="389">
        <f t="shared" si="3"/>
        <v>-5.6568418920287696E-2</v>
      </c>
      <c r="I40" s="389">
        <f t="shared" si="3"/>
        <v>-5.656841892028773E-2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FILING&amp;RMIDSTATE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Normal="100" zoomScaleSheetLayoutView="90" workbookViewId="0">
      <selection activeCell="B42" sqref="B42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4657</v>
      </c>
      <c r="D12" s="409">
        <v>4549</v>
      </c>
      <c r="E12" s="409">
        <f>+D12-C12</f>
        <v>-108</v>
      </c>
      <c r="F12" s="410">
        <f>IF(C12=0,0,+E12/C12)</f>
        <v>-2.3190895426240067E-2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4111</v>
      </c>
      <c r="D13" s="409">
        <v>3817</v>
      </c>
      <c r="E13" s="409">
        <f>+D13-C13</f>
        <v>-294</v>
      </c>
      <c r="F13" s="410">
        <f>IF(C13=0,0,+E13/C13)</f>
        <v>-7.1515446363415225E-2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8323</v>
      </c>
      <c r="D14" s="409">
        <v>8599</v>
      </c>
      <c r="E14" s="409">
        <f>+D14-C14</f>
        <v>276</v>
      </c>
      <c r="F14" s="410">
        <f>IF(C14=0,0,+E14/C14)</f>
        <v>3.3161119788537786E-2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17091</v>
      </c>
      <c r="D16" s="401">
        <f>SUM(D12:D15)</f>
        <v>16965</v>
      </c>
      <c r="E16" s="401">
        <f>+D16-C16</f>
        <v>-126</v>
      </c>
      <c r="F16" s="402">
        <f>IF(C16=0,0,+E16/C16)</f>
        <v>-7.37230121116377E-3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1134</v>
      </c>
      <c r="D19" s="409">
        <v>1001</v>
      </c>
      <c r="E19" s="409">
        <f>+D19-C19</f>
        <v>-133</v>
      </c>
      <c r="F19" s="410">
        <f>IF(C19=0,0,+E19/C19)</f>
        <v>-0.11728395061728394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4858</v>
      </c>
      <c r="D20" s="409">
        <v>4892</v>
      </c>
      <c r="E20" s="409">
        <f>+D20-C20</f>
        <v>34</v>
      </c>
      <c r="F20" s="410">
        <f>IF(C20=0,0,+E20/C20)</f>
        <v>6.9987649238369698E-3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804</v>
      </c>
      <c r="D21" s="409">
        <v>617</v>
      </c>
      <c r="E21" s="409">
        <f>+D21-C21</f>
        <v>-187</v>
      </c>
      <c r="F21" s="410">
        <f>IF(C21=0,0,+E21/C21)</f>
        <v>-0.23258706467661691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6796</v>
      </c>
      <c r="D23" s="401">
        <f>SUM(D19:D22)</f>
        <v>6510</v>
      </c>
      <c r="E23" s="401">
        <f>+D23-C23</f>
        <v>-286</v>
      </c>
      <c r="F23" s="402">
        <f>IF(C23=0,0,+E23/C23)</f>
        <v>-4.2083578575632725E-2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</v>
      </c>
      <c r="D33" s="409">
        <v>7</v>
      </c>
      <c r="E33" s="409">
        <f>+D33-C33</f>
        <v>1</v>
      </c>
      <c r="F33" s="410">
        <f>IF(C33=0,0,+E33/C33)</f>
        <v>0.16666666666666666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379</v>
      </c>
      <c r="D34" s="409">
        <v>285</v>
      </c>
      <c r="E34" s="409">
        <f>+D34-C34</f>
        <v>-94</v>
      </c>
      <c r="F34" s="410">
        <f>IF(C34=0,0,+E34/C34)</f>
        <v>-0.24802110817941952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385</v>
      </c>
      <c r="D37" s="401">
        <f>SUM(D33:D36)</f>
        <v>292</v>
      </c>
      <c r="E37" s="401">
        <f>+D37-C37</f>
        <v>-93</v>
      </c>
      <c r="F37" s="402">
        <f>IF(C37=0,0,+E37/C37)</f>
        <v>-0.24155844155844156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98</v>
      </c>
      <c r="D43" s="409">
        <v>93</v>
      </c>
      <c r="E43" s="409">
        <f>+D43-C43</f>
        <v>-5</v>
      </c>
      <c r="F43" s="410">
        <f>IF(C43=0,0,+E43/C43)</f>
        <v>-5.1020408163265307E-2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5230</v>
      </c>
      <c r="D44" s="409">
        <v>5213</v>
      </c>
      <c r="E44" s="409">
        <f>+D44-C44</f>
        <v>-17</v>
      </c>
      <c r="F44" s="410">
        <f>IF(C44=0,0,+E44/C44)</f>
        <v>-3.2504780114722752E-3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5328</v>
      </c>
      <c r="D45" s="401">
        <f>SUM(D43:D44)</f>
        <v>5306</v>
      </c>
      <c r="E45" s="401">
        <f>+D45-C45</f>
        <v>-22</v>
      </c>
      <c r="F45" s="402">
        <f>IF(C45=0,0,+E45/C45)</f>
        <v>-4.1291291291291289E-3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2336</v>
      </c>
      <c r="D63" s="409">
        <v>2194</v>
      </c>
      <c r="E63" s="409">
        <f>+D63-C63</f>
        <v>-142</v>
      </c>
      <c r="F63" s="410">
        <f>IF(C63=0,0,+E63/C63)</f>
        <v>-6.0787671232876712E-2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6023</v>
      </c>
      <c r="D64" s="409">
        <v>5264</v>
      </c>
      <c r="E64" s="409">
        <f>+D64-C64</f>
        <v>-759</v>
      </c>
      <c r="F64" s="410">
        <f>IF(C64=0,0,+E64/C64)</f>
        <v>-0.12601693508218495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8359</v>
      </c>
      <c r="D65" s="401">
        <f>SUM(D63:D64)</f>
        <v>7458</v>
      </c>
      <c r="E65" s="401">
        <f>+D65-C65</f>
        <v>-901</v>
      </c>
      <c r="F65" s="402">
        <f>IF(C65=0,0,+E65/C65)</f>
        <v>-0.10778801292020576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1170</v>
      </c>
      <c r="D68" s="409">
        <v>1144</v>
      </c>
      <c r="E68" s="409">
        <f>+D68-C68</f>
        <v>-26</v>
      </c>
      <c r="F68" s="410">
        <f>IF(C68=0,0,+E68/C68)</f>
        <v>-2.2222222222222223E-2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7623</v>
      </c>
      <c r="D69" s="409">
        <v>7566</v>
      </c>
      <c r="E69" s="409">
        <f>+D69-C69</f>
        <v>-57</v>
      </c>
      <c r="F69" s="412">
        <f>IF(C69=0,0,+E69/C69)</f>
        <v>-7.4773711137347499E-3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8793</v>
      </c>
      <c r="D70" s="401">
        <f>SUM(D68:D69)</f>
        <v>8710</v>
      </c>
      <c r="E70" s="401">
        <f>+D70-C70</f>
        <v>-83</v>
      </c>
      <c r="F70" s="402">
        <f>IF(C70=0,0,+E70/C70)</f>
        <v>-9.4393267371772997E-3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6344</v>
      </c>
      <c r="D73" s="376">
        <v>6065</v>
      </c>
      <c r="E73" s="409">
        <f>+D73-C73</f>
        <v>-279</v>
      </c>
      <c r="F73" s="410">
        <f>IF(C73=0,0,+E73/C73)</f>
        <v>-4.397856242118537E-2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52269</v>
      </c>
      <c r="D74" s="376">
        <v>51645</v>
      </c>
      <c r="E74" s="409">
        <f>+D74-C74</f>
        <v>-624</v>
      </c>
      <c r="F74" s="410">
        <f>IF(C74=0,0,+E74/C74)</f>
        <v>-1.1938242552947254E-2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58613</v>
      </c>
      <c r="D75" s="401">
        <f>SUM(D73:D74)</f>
        <v>57710</v>
      </c>
      <c r="E75" s="401">
        <f>SUM(E73:E74)</f>
        <v>-903</v>
      </c>
      <c r="F75" s="402">
        <f>IF(C75=0,0,+E75/C75)</f>
        <v>-1.5406138569941821E-2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31757</v>
      </c>
      <c r="D84" s="376">
        <v>31331</v>
      </c>
      <c r="E84" s="409">
        <f t="shared" si="0"/>
        <v>-426</v>
      </c>
      <c r="F84" s="410">
        <f t="shared" si="1"/>
        <v>-1.3414365336776144E-2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2395</v>
      </c>
      <c r="D91" s="376">
        <v>2404</v>
      </c>
      <c r="E91" s="409">
        <f t="shared" si="0"/>
        <v>9</v>
      </c>
      <c r="F91" s="410">
        <f t="shared" si="1"/>
        <v>3.7578288100208767E-3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34152</v>
      </c>
      <c r="D92" s="381">
        <f>SUM(D79:D91)</f>
        <v>33735</v>
      </c>
      <c r="E92" s="401">
        <f t="shared" si="0"/>
        <v>-417</v>
      </c>
      <c r="F92" s="402">
        <f t="shared" si="1"/>
        <v>-1.2210119465917076E-2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1145</v>
      </c>
      <c r="D95" s="414">
        <v>1114</v>
      </c>
      <c r="E95" s="415">
        <f t="shared" ref="E95:E100" si="2">+D95-C95</f>
        <v>-31</v>
      </c>
      <c r="F95" s="412">
        <f t="shared" ref="F95:F100" si="3">IF(C95=0,0,+E95/C95)</f>
        <v>-2.7074235807860263E-2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2239</v>
      </c>
      <c r="D96" s="414">
        <v>2613</v>
      </c>
      <c r="E96" s="409">
        <f t="shared" si="2"/>
        <v>374</v>
      </c>
      <c r="F96" s="410">
        <f t="shared" si="3"/>
        <v>0.16703885663242518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874</v>
      </c>
      <c r="D97" s="414">
        <v>868</v>
      </c>
      <c r="E97" s="409">
        <f t="shared" si="2"/>
        <v>-6</v>
      </c>
      <c r="F97" s="410">
        <f t="shared" si="3"/>
        <v>-6.8649885583524023E-3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7623</v>
      </c>
      <c r="D98" s="414">
        <v>7566</v>
      </c>
      <c r="E98" s="409">
        <f t="shared" si="2"/>
        <v>-57</v>
      </c>
      <c r="F98" s="410">
        <f t="shared" si="3"/>
        <v>-7.4773711137347499E-3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59696</v>
      </c>
      <c r="D99" s="414">
        <v>55004</v>
      </c>
      <c r="E99" s="409">
        <f t="shared" si="2"/>
        <v>-4692</v>
      </c>
      <c r="F99" s="410">
        <f t="shared" si="3"/>
        <v>-7.8598231037255425E-2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71577</v>
      </c>
      <c r="D100" s="381">
        <f>SUM(D95:D99)</f>
        <v>67165</v>
      </c>
      <c r="E100" s="401">
        <f t="shared" si="2"/>
        <v>-4412</v>
      </c>
      <c r="F100" s="402">
        <f t="shared" si="3"/>
        <v>-6.1639912262318901E-2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298.39999999999998</v>
      </c>
      <c r="D104" s="416">
        <v>263.7</v>
      </c>
      <c r="E104" s="417">
        <f>+D104-C104</f>
        <v>-34.699999999999989</v>
      </c>
      <c r="F104" s="410">
        <f>IF(C104=0,0,+E104/C104)</f>
        <v>-0.11628686327077745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45.6</v>
      </c>
      <c r="D105" s="416">
        <v>46.4</v>
      </c>
      <c r="E105" s="417">
        <f>+D105-C105</f>
        <v>0.79999999999999716</v>
      </c>
      <c r="F105" s="410">
        <f>IF(C105=0,0,+E105/C105)</f>
        <v>1.7543859649122744E-2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619.29999999999995</v>
      </c>
      <c r="D106" s="416">
        <v>566.79999999999995</v>
      </c>
      <c r="E106" s="417">
        <f>+D106-C106</f>
        <v>-52.5</v>
      </c>
      <c r="F106" s="410">
        <f>IF(C106=0,0,+E106/C106)</f>
        <v>-8.477313095430325E-2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963.3</v>
      </c>
      <c r="D107" s="418">
        <f>SUM(D104:D106)</f>
        <v>876.89999999999986</v>
      </c>
      <c r="E107" s="418">
        <f>+D107-C107</f>
        <v>-86.400000000000091</v>
      </c>
      <c r="F107" s="402">
        <f>IF(C107=0,0,+E107/C107)</f>
        <v>-8.9691684833385341E-2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FILING&amp;RMIDSTATE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4" zoomScale="75" zoomScaleNormal="75" zoomScaleSheetLayoutView="90" workbookViewId="0">
      <selection activeCell="B42" sqref="B42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6023</v>
      </c>
      <c r="D12" s="409">
        <v>5264</v>
      </c>
      <c r="E12" s="409">
        <f>+D12-C12</f>
        <v>-759</v>
      </c>
      <c r="F12" s="410">
        <f>IF(C12=0,0,+E12/C12)</f>
        <v>-0.12601693508218495</v>
      </c>
    </row>
    <row r="13" spans="1:6" ht="15.75" customHeight="1" x14ac:dyDescent="0.25">
      <c r="A13" s="374"/>
      <c r="B13" s="399" t="s">
        <v>622</v>
      </c>
      <c r="C13" s="401">
        <f>SUM(C11:C12)</f>
        <v>6023</v>
      </c>
      <c r="D13" s="401">
        <f>SUM(D11:D12)</f>
        <v>5264</v>
      </c>
      <c r="E13" s="401">
        <f>+D13-C13</f>
        <v>-759</v>
      </c>
      <c r="F13" s="402">
        <f>IF(C13=0,0,+E13/C13)</f>
        <v>-0.12601693508218495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7623</v>
      </c>
      <c r="D16" s="409">
        <v>7566</v>
      </c>
      <c r="E16" s="409">
        <f>+D16-C16</f>
        <v>-57</v>
      </c>
      <c r="F16" s="410">
        <f>IF(C16=0,0,+E16/C16)</f>
        <v>-7.4773711137347499E-3</v>
      </c>
    </row>
    <row r="17" spans="1:6" ht="15.75" customHeight="1" x14ac:dyDescent="0.25">
      <c r="A17" s="374"/>
      <c r="B17" s="399" t="s">
        <v>623</v>
      </c>
      <c r="C17" s="401">
        <f>SUM(C15:C16)</f>
        <v>7623</v>
      </c>
      <c r="D17" s="401">
        <f>SUM(D15:D16)</f>
        <v>7566</v>
      </c>
      <c r="E17" s="401">
        <f>+D17-C17</f>
        <v>-57</v>
      </c>
      <c r="F17" s="402">
        <f>IF(C17=0,0,+E17/C17)</f>
        <v>-7.4773711137347499E-3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52269</v>
      </c>
      <c r="D20" s="409">
        <v>51645</v>
      </c>
      <c r="E20" s="409">
        <f>+D20-C20</f>
        <v>-624</v>
      </c>
      <c r="F20" s="410">
        <f>IF(C20=0,0,+E20/C20)</f>
        <v>-1.1938242552947254E-2</v>
      </c>
    </row>
    <row r="21" spans="1:6" ht="15.75" customHeight="1" x14ac:dyDescent="0.2">
      <c r="A21" s="374">
        <v>2</v>
      </c>
      <c r="B21" s="408" t="s">
        <v>625</v>
      </c>
      <c r="C21" s="409">
        <v>0</v>
      </c>
      <c r="D21" s="409">
        <v>0</v>
      </c>
      <c r="E21" s="409">
        <f>+D21-C21</f>
        <v>0</v>
      </c>
      <c r="F21" s="410">
        <f>IF(C21=0,0,+E21/C21)</f>
        <v>0</v>
      </c>
    </row>
    <row r="22" spans="1:6" ht="15.75" customHeight="1" x14ac:dyDescent="0.2">
      <c r="A22" s="374">
        <v>3</v>
      </c>
      <c r="B22" s="408" t="s">
        <v>626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</row>
    <row r="23" spans="1:6" ht="15.75" customHeight="1" x14ac:dyDescent="0.25">
      <c r="A23" s="374"/>
      <c r="B23" s="399" t="s">
        <v>627</v>
      </c>
      <c r="C23" s="401">
        <f>SUM(C19:C22)</f>
        <v>52269</v>
      </c>
      <c r="D23" s="401">
        <f>SUM(D19:D22)</f>
        <v>51645</v>
      </c>
      <c r="E23" s="401">
        <f>+D23-C23</f>
        <v>-624</v>
      </c>
      <c r="F23" s="402">
        <f>IF(C23=0,0,+E23/C23)</f>
        <v>-1.1938242552947254E-2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FILING&amp;RMIDSTATE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abSelected="1" topLeftCell="A286" zoomScale="85" zoomScaleNormal="85" zoomScaleSheetLayoutView="80" workbookViewId="0">
      <selection activeCell="B42" sqref="B42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133168476</v>
      </c>
      <c r="D15" s="448">
        <v>134929808</v>
      </c>
      <c r="E15" s="448">
        <f t="shared" ref="E15:E24" si="0">D15-C15</f>
        <v>1761332</v>
      </c>
      <c r="F15" s="449">
        <f t="shared" ref="F15:F24" si="1">IF(C15=0,0,E15/C15)</f>
        <v>1.3226343447829199E-2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51842983</v>
      </c>
      <c r="D16" s="448">
        <v>51987326</v>
      </c>
      <c r="E16" s="448">
        <f t="shared" si="0"/>
        <v>144343</v>
      </c>
      <c r="F16" s="449">
        <f t="shared" si="1"/>
        <v>2.7842340785058607E-3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0.38930371929765117</v>
      </c>
      <c r="D17" s="453">
        <f>IF(LN_IA1=0,0,LN_IA2/LN_IA1)</f>
        <v>0.38529163252051762</v>
      </c>
      <c r="E17" s="454">
        <f t="shared" si="0"/>
        <v>-4.01208677713355E-3</v>
      </c>
      <c r="F17" s="449">
        <f t="shared" si="1"/>
        <v>-1.0305801301800603E-2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4483</v>
      </c>
      <c r="D18" s="456">
        <v>4604</v>
      </c>
      <c r="E18" s="456">
        <f t="shared" si="0"/>
        <v>121</v>
      </c>
      <c r="F18" s="449">
        <f t="shared" si="1"/>
        <v>2.6990854338612535E-2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1.59467</v>
      </c>
      <c r="D19" s="459">
        <v>1.52983</v>
      </c>
      <c r="E19" s="460">
        <f t="shared" si="0"/>
        <v>-6.4840000000000009E-2</v>
      </c>
      <c r="F19" s="449">
        <f t="shared" si="1"/>
        <v>-4.0660450124477172E-2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7148.9056099999998</v>
      </c>
      <c r="D20" s="463">
        <f>LN_IA4*LN_IA5</f>
        <v>7043.3373200000005</v>
      </c>
      <c r="E20" s="463">
        <f t="shared" si="0"/>
        <v>-105.56828999999925</v>
      </c>
      <c r="F20" s="449">
        <f t="shared" si="1"/>
        <v>-1.4767056072516707E-2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7251.8768365721926</v>
      </c>
      <c r="D21" s="465">
        <f>IF(LN_IA6=0,0,LN_IA2/LN_IA6)</f>
        <v>7381.0643503298797</v>
      </c>
      <c r="E21" s="465">
        <f t="shared" si="0"/>
        <v>129.18751375768716</v>
      </c>
      <c r="F21" s="449">
        <f t="shared" si="1"/>
        <v>1.781435574114788E-2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22600</v>
      </c>
      <c r="D22" s="456">
        <v>22113</v>
      </c>
      <c r="E22" s="456">
        <f t="shared" si="0"/>
        <v>-487</v>
      </c>
      <c r="F22" s="449">
        <f t="shared" si="1"/>
        <v>-2.154867256637168E-2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2293.9373008849557</v>
      </c>
      <c r="D23" s="465">
        <f>IF(LN_IA8=0,0,LN_IA2/LN_IA8)</f>
        <v>2350.984760095871</v>
      </c>
      <c r="E23" s="465">
        <f t="shared" si="0"/>
        <v>57.047459210915349</v>
      </c>
      <c r="F23" s="449">
        <f t="shared" si="1"/>
        <v>2.4868796191119768E-2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5.0412670086995313</v>
      </c>
      <c r="D24" s="466">
        <f>IF(LN_IA4=0,0,LN_IA8/LN_IA4)</f>
        <v>4.8029973935708083</v>
      </c>
      <c r="E24" s="466">
        <f t="shared" si="0"/>
        <v>-0.23826961512872291</v>
      </c>
      <c r="F24" s="449">
        <f t="shared" si="1"/>
        <v>-4.7263835602746232E-2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109908722</v>
      </c>
      <c r="D27" s="448">
        <v>118179227</v>
      </c>
      <c r="E27" s="448">
        <f t="shared" ref="E27:E32" si="2">D27-C27</f>
        <v>8270505</v>
      </c>
      <c r="F27" s="449">
        <f t="shared" ref="F27:F32" si="3">IF(C27=0,0,E27/C27)</f>
        <v>7.5248850587126284E-2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29672851</v>
      </c>
      <c r="D28" s="448">
        <v>31785235</v>
      </c>
      <c r="E28" s="448">
        <f t="shared" si="2"/>
        <v>2112384</v>
      </c>
      <c r="F28" s="449">
        <f t="shared" si="3"/>
        <v>7.1189114925289787E-2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0.26997721800459112</v>
      </c>
      <c r="D29" s="453">
        <f>IF(LN_IA11=0,0,LN_IA12/LN_IA11)</f>
        <v>0.26895788546662264</v>
      </c>
      <c r="E29" s="454">
        <f t="shared" si="2"/>
        <v>-1.019332537968487E-3</v>
      </c>
      <c r="F29" s="449">
        <f t="shared" si="3"/>
        <v>-3.7756242749014202E-3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0.82533588504835032</v>
      </c>
      <c r="D30" s="453">
        <f>IF(LN_IA1=0,0,LN_IA11/LN_IA1)</f>
        <v>0.87585707525797418</v>
      </c>
      <c r="E30" s="454">
        <f t="shared" si="2"/>
        <v>5.0521190209623867E-2</v>
      </c>
      <c r="F30" s="449">
        <f t="shared" si="3"/>
        <v>6.1212884505396498E-2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3699.9807726717545</v>
      </c>
      <c r="D31" s="463">
        <f>LN_IA14*LN_IA4</f>
        <v>4032.4459744877131</v>
      </c>
      <c r="E31" s="463">
        <f t="shared" si="2"/>
        <v>332.46520181595861</v>
      </c>
      <c r="F31" s="449">
        <f t="shared" si="3"/>
        <v>8.9855926893340488E-2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8019.7311345953958</v>
      </c>
      <c r="D32" s="465">
        <f>IF(LN_IA15=0,0,LN_IA12/LN_IA15)</f>
        <v>7882.3709483269731</v>
      </c>
      <c r="E32" s="465">
        <f t="shared" si="2"/>
        <v>-137.36018626842269</v>
      </c>
      <c r="F32" s="449">
        <f t="shared" si="3"/>
        <v>-1.7127779468301671E-2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243077198</v>
      </c>
      <c r="D35" s="448">
        <f>LN_IA1+LN_IA11</f>
        <v>253109035</v>
      </c>
      <c r="E35" s="448">
        <f>D35-C35</f>
        <v>10031837</v>
      </c>
      <c r="F35" s="449">
        <f>IF(C35=0,0,E35/C35)</f>
        <v>4.1270168829245758E-2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81515834</v>
      </c>
      <c r="D36" s="448">
        <f>LN_IA2+LN_IA12</f>
        <v>83772561</v>
      </c>
      <c r="E36" s="448">
        <f>D36-C36</f>
        <v>2256727</v>
      </c>
      <c r="F36" s="449">
        <f>IF(C36=0,0,E36/C36)</f>
        <v>2.7684523230173907E-2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161561364</v>
      </c>
      <c r="D37" s="448">
        <f>LN_IA17-LN_IA18</f>
        <v>169336474</v>
      </c>
      <c r="E37" s="448">
        <f>D37-C37</f>
        <v>7775110</v>
      </c>
      <c r="F37" s="449">
        <f>IF(C37=0,0,E37/C37)</f>
        <v>4.8124810335223464E-2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52893058</v>
      </c>
      <c r="D42" s="448">
        <v>52661375</v>
      </c>
      <c r="E42" s="448">
        <f t="shared" ref="E42:E53" si="4">D42-C42</f>
        <v>-231683</v>
      </c>
      <c r="F42" s="449">
        <f t="shared" ref="F42:F53" si="5">IF(C42=0,0,E42/C42)</f>
        <v>-4.3802156419090006E-3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33452829</v>
      </c>
      <c r="D43" s="448">
        <v>33453279</v>
      </c>
      <c r="E43" s="448">
        <f t="shared" si="4"/>
        <v>450</v>
      </c>
      <c r="F43" s="449">
        <f t="shared" si="5"/>
        <v>1.3451777127728121E-5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0.63246161717479066</v>
      </c>
      <c r="D44" s="453">
        <f>IF(LN_IB1=0,0,LN_IB2/LN_IB1)</f>
        <v>0.63525266858299845</v>
      </c>
      <c r="E44" s="454">
        <f t="shared" si="4"/>
        <v>2.7910514082077897E-3</v>
      </c>
      <c r="F44" s="449">
        <f t="shared" si="5"/>
        <v>4.4129972988328223E-3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2607</v>
      </c>
      <c r="D45" s="456">
        <v>2446</v>
      </c>
      <c r="E45" s="456">
        <f t="shared" si="4"/>
        <v>-161</v>
      </c>
      <c r="F45" s="449">
        <f t="shared" si="5"/>
        <v>-6.1756808592251633E-2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1.1429499999999999</v>
      </c>
      <c r="D46" s="459">
        <v>1.1702399999999999</v>
      </c>
      <c r="E46" s="460">
        <f t="shared" si="4"/>
        <v>2.7290000000000036E-2</v>
      </c>
      <c r="F46" s="449">
        <f t="shared" si="5"/>
        <v>2.3876810009186789E-2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2979.6706499999996</v>
      </c>
      <c r="D47" s="463">
        <f>LN_IB4*LN_IB5</f>
        <v>2862.4070400000001</v>
      </c>
      <c r="E47" s="463">
        <f t="shared" si="4"/>
        <v>-117.26360999999952</v>
      </c>
      <c r="F47" s="449">
        <f t="shared" si="5"/>
        <v>-3.9354554168595623E-2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11227.022355641891</v>
      </c>
      <c r="D48" s="465">
        <f>IF(LN_IB6=0,0,LN_IB2/LN_IB6)</f>
        <v>11687.114562155353</v>
      </c>
      <c r="E48" s="465">
        <f t="shared" si="4"/>
        <v>460.09220651346186</v>
      </c>
      <c r="F48" s="449">
        <f t="shared" si="5"/>
        <v>4.0980786529052619E-2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-3975.1455190696988</v>
      </c>
      <c r="D49" s="465">
        <f>LN_IA7-LN_IB7</f>
        <v>-4306.0502118254735</v>
      </c>
      <c r="E49" s="465">
        <f t="shared" si="4"/>
        <v>-330.9046927557747</v>
      </c>
      <c r="F49" s="449">
        <f t="shared" si="5"/>
        <v>8.3243416163848047E-2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-11844624.432650995</v>
      </c>
      <c r="D50" s="479">
        <f>LN_IB8*LN_IB6</f>
        <v>-12325668.440922728</v>
      </c>
      <c r="E50" s="479">
        <f t="shared" si="4"/>
        <v>-481044.0082717333</v>
      </c>
      <c r="F50" s="449">
        <f t="shared" si="5"/>
        <v>4.0612854464653451E-2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8667</v>
      </c>
      <c r="D51" s="456">
        <v>7859</v>
      </c>
      <c r="E51" s="456">
        <f t="shared" si="4"/>
        <v>-808</v>
      </c>
      <c r="F51" s="449">
        <f t="shared" si="5"/>
        <v>-9.3227183569862704E-2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3859.7933541017651</v>
      </c>
      <c r="D52" s="465">
        <f>IF(LN_IB10=0,0,LN_IB2/LN_IB10)</f>
        <v>4256.6839292530858</v>
      </c>
      <c r="E52" s="465">
        <f t="shared" si="4"/>
        <v>396.89057515132072</v>
      </c>
      <c r="F52" s="449">
        <f t="shared" si="5"/>
        <v>0.10282689738546467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3.324510932105869</v>
      </c>
      <c r="D53" s="466">
        <f>IF(LN_IB4=0,0,LN_IB10/LN_IB4)</f>
        <v>3.2130008176614879</v>
      </c>
      <c r="E53" s="466">
        <f t="shared" si="4"/>
        <v>-0.11151011444438108</v>
      </c>
      <c r="F53" s="449">
        <f t="shared" si="5"/>
        <v>-3.3541810125360734E-2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127897726</v>
      </c>
      <c r="D56" s="448">
        <v>122740057</v>
      </c>
      <c r="E56" s="448">
        <f t="shared" ref="E56:E63" si="6">D56-C56</f>
        <v>-5157669</v>
      </c>
      <c r="F56" s="449">
        <f t="shared" ref="F56:F63" si="7">IF(C56=0,0,E56/C56)</f>
        <v>-4.0326510574550792E-2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82851058</v>
      </c>
      <c r="D57" s="448">
        <v>79442930</v>
      </c>
      <c r="E57" s="448">
        <f t="shared" si="6"/>
        <v>-3408128</v>
      </c>
      <c r="F57" s="449">
        <f t="shared" si="7"/>
        <v>-4.1135600223717116E-2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0.64779148614417115</v>
      </c>
      <c r="D58" s="453">
        <f>IF(LN_IB13=0,0,LN_IB14/LN_IB13)</f>
        <v>0.64724534061443362</v>
      </c>
      <c r="E58" s="454">
        <f t="shared" si="6"/>
        <v>-5.461455297375295E-4</v>
      </c>
      <c r="F58" s="449">
        <f t="shared" si="7"/>
        <v>-8.4308846506818782E-4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2.4180437062270062</v>
      </c>
      <c r="D59" s="453">
        <f>IF(LN_IB1=0,0,LN_IB13/LN_IB1)</f>
        <v>2.3307415919162766</v>
      </c>
      <c r="E59" s="454">
        <f t="shared" si="6"/>
        <v>-8.7302114310729539E-2</v>
      </c>
      <c r="F59" s="449">
        <f t="shared" si="7"/>
        <v>-3.6104440166200041E-2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6303.8399421338054</v>
      </c>
      <c r="D60" s="463">
        <f>LN_IB16*LN_IB4</f>
        <v>5700.9939338272125</v>
      </c>
      <c r="E60" s="463">
        <f t="shared" si="6"/>
        <v>-602.84600830659292</v>
      </c>
      <c r="F60" s="449">
        <f t="shared" si="7"/>
        <v>-9.5631553757777321E-2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13142.950766601396</v>
      </c>
      <c r="D61" s="465">
        <f>IF(LN_IB17=0,0,LN_IB14/LN_IB17)</f>
        <v>13934.926246565583</v>
      </c>
      <c r="E61" s="465">
        <f t="shared" si="6"/>
        <v>791.97547996418689</v>
      </c>
      <c r="F61" s="449">
        <f t="shared" si="7"/>
        <v>6.025857465560467E-2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-5123.2196320060002</v>
      </c>
      <c r="D62" s="465">
        <f>LN_IA16-LN_IB18</f>
        <v>-6052.5552982386098</v>
      </c>
      <c r="E62" s="465">
        <f t="shared" si="6"/>
        <v>-929.33566623260958</v>
      </c>
      <c r="F62" s="449">
        <f t="shared" si="7"/>
        <v>0.18139680376512135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-32295956.54856348</v>
      </c>
      <c r="D63" s="448">
        <f>LN_IB19*LN_IB17</f>
        <v>-34505581.039412066</v>
      </c>
      <c r="E63" s="448">
        <f t="shared" si="6"/>
        <v>-2209624.490848586</v>
      </c>
      <c r="F63" s="449">
        <f t="shared" si="7"/>
        <v>6.8417991816590723E-2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180790784</v>
      </c>
      <c r="D66" s="448">
        <f>LN_IB1+LN_IB13</f>
        <v>175401432</v>
      </c>
      <c r="E66" s="448">
        <f>D66-C66</f>
        <v>-5389352</v>
      </c>
      <c r="F66" s="449">
        <f>IF(C66=0,0,E66/C66)</f>
        <v>-2.980988234444517E-2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116303887</v>
      </c>
      <c r="D67" s="448">
        <f>LN_IB2+LN_IB14</f>
        <v>112896209</v>
      </c>
      <c r="E67" s="448">
        <f>D67-C67</f>
        <v>-3407678</v>
      </c>
      <c r="F67" s="449">
        <f>IF(C67=0,0,E67/C67)</f>
        <v>-2.9299777401248849E-2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64486897</v>
      </c>
      <c r="D68" s="448">
        <f>LN_IB21-LN_IB22</f>
        <v>62505223</v>
      </c>
      <c r="E68" s="448">
        <f>D68-C68</f>
        <v>-1981674</v>
      </c>
      <c r="F68" s="449">
        <f>IF(C68=0,0,E68/C68)</f>
        <v>-3.0729870596812869E-2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-44140580.981214479</v>
      </c>
      <c r="D70" s="441">
        <f>LN_IB9+LN_IB20</f>
        <v>-46831249.480334796</v>
      </c>
      <c r="E70" s="448">
        <f>D70-C70</f>
        <v>-2690668.4991203174</v>
      </c>
      <c r="F70" s="449">
        <f>IF(C70=0,0,E70/C70)</f>
        <v>6.0956798467727974E-2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180790784</v>
      </c>
      <c r="D73" s="488">
        <v>175401432</v>
      </c>
      <c r="E73" s="488">
        <f>D73-C73</f>
        <v>-5389352</v>
      </c>
      <c r="F73" s="489">
        <f>IF(C73=0,0,E73/C73)</f>
        <v>-2.980988234444517E-2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130814180</v>
      </c>
      <c r="D74" s="488">
        <v>123536229</v>
      </c>
      <c r="E74" s="488">
        <f>D74-C74</f>
        <v>-7277951</v>
      </c>
      <c r="F74" s="489">
        <f>IF(C74=0,0,E74/C74)</f>
        <v>-5.5635795752417665E-2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49976604</v>
      </c>
      <c r="D76" s="441">
        <f>LN_IB32-LN_IB33</f>
        <v>51865203</v>
      </c>
      <c r="E76" s="488">
        <f>D76-C76</f>
        <v>1888599</v>
      </c>
      <c r="F76" s="489">
        <f>IF(E76=0,0,E76/C76)</f>
        <v>3.7789662538895201E-2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0.27643336067396002</v>
      </c>
      <c r="D77" s="453">
        <f>IF(LN_IB32=0,0,LN_IB34/LN_IB32)</f>
        <v>0.29569429627005556</v>
      </c>
      <c r="E77" s="493">
        <f>D77-C77</f>
        <v>1.9260935596095541E-2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2576251</v>
      </c>
      <c r="D83" s="448">
        <v>1924125</v>
      </c>
      <c r="E83" s="448">
        <f t="shared" ref="E83:E95" si="8">D83-C83</f>
        <v>-652126</v>
      </c>
      <c r="F83" s="449">
        <f t="shared" ref="F83:F95" si="9">IF(C83=0,0,E83/C83)</f>
        <v>-0.25312983866867012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1035766</v>
      </c>
      <c r="D84" s="448">
        <v>852594</v>
      </c>
      <c r="E84" s="448">
        <f t="shared" si="8"/>
        <v>-183172</v>
      </c>
      <c r="F84" s="449">
        <f t="shared" si="9"/>
        <v>-0.17684689398956907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0.4020439002255603</v>
      </c>
      <c r="D85" s="453">
        <f>IF(LN_IC1=0,0,LN_IC2/LN_IC1)</f>
        <v>0.44310738647437148</v>
      </c>
      <c r="E85" s="454">
        <f t="shared" si="8"/>
        <v>4.1063486248811176E-2</v>
      </c>
      <c r="F85" s="449">
        <f t="shared" si="9"/>
        <v>0.10213682193853249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127</v>
      </c>
      <c r="D86" s="456">
        <v>96</v>
      </c>
      <c r="E86" s="456">
        <f t="shared" si="8"/>
        <v>-31</v>
      </c>
      <c r="F86" s="449">
        <f t="shared" si="9"/>
        <v>-0.24409448818897639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0.34031</v>
      </c>
      <c r="D87" s="459">
        <v>0.94140999999999997</v>
      </c>
      <c r="E87" s="460">
        <f t="shared" si="8"/>
        <v>0.60109999999999997</v>
      </c>
      <c r="F87" s="449">
        <f t="shared" si="9"/>
        <v>1.7663306984807967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43.219369999999998</v>
      </c>
      <c r="D88" s="463">
        <f>LN_IC4*LN_IC5</f>
        <v>90.375360000000001</v>
      </c>
      <c r="E88" s="463">
        <f t="shared" si="8"/>
        <v>47.155990000000003</v>
      </c>
      <c r="F88" s="449">
        <f t="shared" si="9"/>
        <v>1.0910846224736734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23965.319253843823</v>
      </c>
      <c r="D89" s="465">
        <f>IF(LN_IC6=0,0,LN_IC2/LN_IC6)</f>
        <v>9433.9209271199579</v>
      </c>
      <c r="E89" s="465">
        <f t="shared" si="8"/>
        <v>-14531.398326723865</v>
      </c>
      <c r="F89" s="449">
        <f t="shared" si="9"/>
        <v>-0.60635112650932699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-12738.296898201932</v>
      </c>
      <c r="D90" s="465">
        <f>LN_IB7-LN_IC7</f>
        <v>2253.1936350353953</v>
      </c>
      <c r="E90" s="465">
        <f t="shared" si="8"/>
        <v>14991.490533237327</v>
      </c>
      <c r="F90" s="449">
        <f t="shared" si="9"/>
        <v>-1.176883429004818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-16713.442417271632</v>
      </c>
      <c r="D91" s="465">
        <f>LN_IA7-LN_IC7</f>
        <v>-2052.8565767900782</v>
      </c>
      <c r="E91" s="465">
        <f t="shared" si="8"/>
        <v>14660.585840481554</v>
      </c>
      <c r="F91" s="449">
        <f t="shared" si="9"/>
        <v>-0.87717332399047476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-722344.45180575701</v>
      </c>
      <c r="D92" s="441">
        <f>LN_IC9*LN_IC6</f>
        <v>-185527.65215577095</v>
      </c>
      <c r="E92" s="441">
        <f t="shared" si="8"/>
        <v>536816.79964998609</v>
      </c>
      <c r="F92" s="449">
        <f t="shared" si="9"/>
        <v>-0.7431590265669259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662</v>
      </c>
      <c r="D93" s="456">
        <v>586</v>
      </c>
      <c r="E93" s="456">
        <f t="shared" si="8"/>
        <v>-76</v>
      </c>
      <c r="F93" s="449">
        <f t="shared" si="9"/>
        <v>-0.11480362537764351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1564.6012084592146</v>
      </c>
      <c r="D94" s="499">
        <f>IF(LN_IC11=0,0,LN_IC2/LN_IC11)</f>
        <v>1454.938566552901</v>
      </c>
      <c r="E94" s="499">
        <f t="shared" si="8"/>
        <v>-109.66264190631364</v>
      </c>
      <c r="F94" s="449">
        <f t="shared" si="9"/>
        <v>-7.0089835872175404E-2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5.21259842519685</v>
      </c>
      <c r="D95" s="466">
        <f>IF(LN_IC4=0,0,LN_IC11/LN_IC4)</f>
        <v>6.104166666666667</v>
      </c>
      <c r="E95" s="466">
        <f t="shared" si="8"/>
        <v>0.89156824146981695</v>
      </c>
      <c r="F95" s="449">
        <f t="shared" si="9"/>
        <v>0.17104103726082592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6834430</v>
      </c>
      <c r="D98" s="448">
        <v>5095393</v>
      </c>
      <c r="E98" s="448">
        <f t="shared" ref="E98:E106" si="10">D98-C98</f>
        <v>-1739037</v>
      </c>
      <c r="F98" s="449">
        <f t="shared" ref="F98:F106" si="11">IF(C98=0,0,E98/C98)</f>
        <v>-0.25445238300780021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1001844</v>
      </c>
      <c r="D99" s="448">
        <v>1185018</v>
      </c>
      <c r="E99" s="448">
        <f t="shared" si="10"/>
        <v>183174</v>
      </c>
      <c r="F99" s="449">
        <f t="shared" si="11"/>
        <v>0.18283684885071927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0.14658779152028772</v>
      </c>
      <c r="D100" s="453">
        <f>IF(LN_IC14=0,0,LN_IC15/LN_IC14)</f>
        <v>0.23256655571022686</v>
      </c>
      <c r="E100" s="454">
        <f t="shared" si="10"/>
        <v>8.5978764189939133E-2</v>
      </c>
      <c r="F100" s="449">
        <f t="shared" si="11"/>
        <v>0.58653427613744824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2.6528587470708405</v>
      </c>
      <c r="D101" s="453">
        <f>IF(LN_IC1=0,0,LN_IC14/LN_IC1)</f>
        <v>2.6481611121938542</v>
      </c>
      <c r="E101" s="454">
        <f t="shared" si="10"/>
        <v>-4.6976348769862675E-3</v>
      </c>
      <c r="F101" s="449">
        <f t="shared" si="11"/>
        <v>-1.7707821353749689E-3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336.91306087799671</v>
      </c>
      <c r="D102" s="463">
        <f>LN_IC17*LN_IC4</f>
        <v>254.22346677061</v>
      </c>
      <c r="E102" s="463">
        <f t="shared" si="10"/>
        <v>-82.689594107386711</v>
      </c>
      <c r="F102" s="449">
        <f t="shared" si="11"/>
        <v>-0.24543303216532275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2973.5979881254552</v>
      </c>
      <c r="D103" s="465">
        <f>IF(LN_IC18=0,0,LN_IC15/LN_IC18)</f>
        <v>4661.3242083952118</v>
      </c>
      <c r="E103" s="465">
        <f t="shared" si="10"/>
        <v>1687.7262202697566</v>
      </c>
      <c r="F103" s="449">
        <f t="shared" si="11"/>
        <v>0.56757040696469285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10169.352778475941</v>
      </c>
      <c r="D104" s="465">
        <f>LN_IB18-LN_IC19</f>
        <v>9273.6020381703711</v>
      </c>
      <c r="E104" s="465">
        <f t="shared" si="10"/>
        <v>-895.75074030556971</v>
      </c>
      <c r="F104" s="449">
        <f t="shared" si="11"/>
        <v>-8.8083357890925085E-2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5046.1331464699406</v>
      </c>
      <c r="D105" s="465">
        <f>LN_IA16-LN_IC19</f>
        <v>3221.0467399317613</v>
      </c>
      <c r="E105" s="465">
        <f t="shared" si="10"/>
        <v>-1825.0864065381793</v>
      </c>
      <c r="F105" s="449">
        <f t="shared" si="11"/>
        <v>-0.36168019225075976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1700108.1639751042</v>
      </c>
      <c r="D106" s="448">
        <f>LN_IC21*LN_IC18</f>
        <v>818865.66885562381</v>
      </c>
      <c r="E106" s="448">
        <f t="shared" si="10"/>
        <v>-881242.49511948042</v>
      </c>
      <c r="F106" s="449">
        <f t="shared" si="11"/>
        <v>-0.51834495815784165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9410681</v>
      </c>
      <c r="D109" s="448">
        <f>LN_IC1+LN_IC14</f>
        <v>7019518</v>
      </c>
      <c r="E109" s="448">
        <f>D109-C109</f>
        <v>-2391163</v>
      </c>
      <c r="F109" s="449">
        <f>IF(C109=0,0,E109/C109)</f>
        <v>-0.25409032566293555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2037610</v>
      </c>
      <c r="D110" s="448">
        <f>LN_IC2+LN_IC15</f>
        <v>2037612</v>
      </c>
      <c r="E110" s="448">
        <f>D110-C110</f>
        <v>2</v>
      </c>
      <c r="F110" s="449">
        <f>IF(C110=0,0,E110/C110)</f>
        <v>9.8154210079455828E-7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7373071</v>
      </c>
      <c r="D111" s="448">
        <f>LN_IC23-LN_IC24</f>
        <v>4981906</v>
      </c>
      <c r="E111" s="448">
        <f>D111-C111</f>
        <v>-2391165</v>
      </c>
      <c r="F111" s="449">
        <f>IF(C111=0,0,E111/C111)</f>
        <v>-0.32431058916969607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977763.71216934721</v>
      </c>
      <c r="D113" s="448">
        <f>LN_IC10+LN_IC22</f>
        <v>633338.01669985289</v>
      </c>
      <c r="E113" s="448">
        <f>D113-C113</f>
        <v>-344425.69546949433</v>
      </c>
      <c r="F113" s="449">
        <f>IF(C113=0,0,E113/C113)</f>
        <v>-0.35225861952405974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40223929</v>
      </c>
      <c r="D118" s="448">
        <v>37502987</v>
      </c>
      <c r="E118" s="448">
        <f t="shared" ref="E118:E130" si="12">D118-C118</f>
        <v>-2720942</v>
      </c>
      <c r="F118" s="449">
        <f t="shared" ref="F118:F130" si="13">IF(C118=0,0,E118/C118)</f>
        <v>-6.7644858860008428E-2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12188046</v>
      </c>
      <c r="D119" s="448">
        <v>10521691</v>
      </c>
      <c r="E119" s="448">
        <f t="shared" si="12"/>
        <v>-1666355</v>
      </c>
      <c r="F119" s="449">
        <f t="shared" si="13"/>
        <v>-0.13672043902689571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0.30300486061418813</v>
      </c>
      <c r="D120" s="453">
        <f>IF(LN_ID1=0,0,LN_1D2/LN_ID1)</f>
        <v>0.28055607943975236</v>
      </c>
      <c r="E120" s="454">
        <f t="shared" si="12"/>
        <v>-2.2448781174435772E-2</v>
      </c>
      <c r="F120" s="449">
        <f t="shared" si="13"/>
        <v>-7.4087198234814758E-2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2182</v>
      </c>
      <c r="D121" s="456">
        <v>2137</v>
      </c>
      <c r="E121" s="456">
        <f t="shared" si="12"/>
        <v>-45</v>
      </c>
      <c r="F121" s="449">
        <f t="shared" si="13"/>
        <v>-2.0623281393217233E-2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0.99990999999999997</v>
      </c>
      <c r="D122" s="459">
        <v>1.00499</v>
      </c>
      <c r="E122" s="460">
        <f t="shared" si="12"/>
        <v>5.0800000000000844E-3</v>
      </c>
      <c r="F122" s="449">
        <f t="shared" si="13"/>
        <v>5.0804572411517887E-3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2181.8036200000001</v>
      </c>
      <c r="D123" s="463">
        <f>LN_ID4*LN_ID5</f>
        <v>2147.66363</v>
      </c>
      <c r="E123" s="463">
        <f t="shared" si="12"/>
        <v>-34.139990000000125</v>
      </c>
      <c r="F123" s="449">
        <f t="shared" si="13"/>
        <v>-1.5647599851356064E-2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5586.2250333969105</v>
      </c>
      <c r="D124" s="465">
        <f>IF(LN_ID6=0,0,LN_1D2/LN_ID6)</f>
        <v>4899.1335761457203</v>
      </c>
      <c r="E124" s="465">
        <f t="shared" si="12"/>
        <v>-687.09145725119015</v>
      </c>
      <c r="F124" s="449">
        <f t="shared" si="13"/>
        <v>-0.12299745412035054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5640.7973222449809</v>
      </c>
      <c r="D125" s="465">
        <f>LN_IB7-LN_ID7</f>
        <v>6787.9809860096329</v>
      </c>
      <c r="E125" s="465">
        <f t="shared" si="12"/>
        <v>1147.183663764652</v>
      </c>
      <c r="F125" s="449">
        <f t="shared" si="13"/>
        <v>0.20337260820214764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1665.6518031752821</v>
      </c>
      <c r="D126" s="465">
        <f>LN_IA7-LN_ID7</f>
        <v>2481.9307741841594</v>
      </c>
      <c r="E126" s="465">
        <f t="shared" si="12"/>
        <v>816.27897100887731</v>
      </c>
      <c r="F126" s="449">
        <f t="shared" si="13"/>
        <v>0.49006579253405791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3634125.133827358</v>
      </c>
      <c r="D127" s="479">
        <f>LN_ID9*LN_ID6</f>
        <v>5330352.4558930621</v>
      </c>
      <c r="E127" s="479">
        <f t="shared" si="12"/>
        <v>1696227.322065704</v>
      </c>
      <c r="F127" s="449">
        <f t="shared" si="13"/>
        <v>0.46674983926029134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8199</v>
      </c>
      <c r="D128" s="456">
        <v>7226</v>
      </c>
      <c r="E128" s="456">
        <f t="shared" si="12"/>
        <v>-973</v>
      </c>
      <c r="F128" s="449">
        <f t="shared" si="13"/>
        <v>-0.11867300890352482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1486.5283571167215</v>
      </c>
      <c r="D129" s="465">
        <f>IF(LN_ID11=0,0,LN_1D2/LN_ID11)</f>
        <v>1456.0878771104346</v>
      </c>
      <c r="E129" s="465">
        <f t="shared" si="12"/>
        <v>-30.440480006286862</v>
      </c>
      <c r="F129" s="449">
        <f t="shared" si="13"/>
        <v>-2.0477564293041393E-2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3.7575618698441797</v>
      </c>
      <c r="D130" s="466">
        <f>IF(LN_ID4=0,0,LN_ID11/LN_ID4)</f>
        <v>3.3813757604117924</v>
      </c>
      <c r="E130" s="466">
        <f t="shared" si="12"/>
        <v>-0.37618610943238728</v>
      </c>
      <c r="F130" s="449">
        <f t="shared" si="13"/>
        <v>-0.10011441526789475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78467175</v>
      </c>
      <c r="D133" s="448">
        <v>82689411</v>
      </c>
      <c r="E133" s="448">
        <f t="shared" ref="E133:E141" si="14">D133-C133</f>
        <v>4222236</v>
      </c>
      <c r="F133" s="449">
        <f t="shared" ref="F133:F141" si="15">IF(C133=0,0,E133/C133)</f>
        <v>5.3808946224966042E-2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17449662</v>
      </c>
      <c r="D134" s="448">
        <v>15941006</v>
      </c>
      <c r="E134" s="448">
        <f t="shared" si="14"/>
        <v>-1508656</v>
      </c>
      <c r="F134" s="449">
        <f t="shared" si="15"/>
        <v>-8.6457605883712818E-2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0.22238167743390788</v>
      </c>
      <c r="D135" s="453">
        <f>IF(LN_ID14=0,0,LN_ID15/LN_ID14)</f>
        <v>0.19278170937751632</v>
      </c>
      <c r="E135" s="454">
        <f t="shared" si="14"/>
        <v>-2.9599968056391562E-2</v>
      </c>
      <c r="F135" s="449">
        <f t="shared" si="15"/>
        <v>-0.13310434743522748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1.9507585894953225</v>
      </c>
      <c r="D136" s="453">
        <f>IF(LN_ID1=0,0,LN_ID14/LN_ID1)</f>
        <v>2.204875334330036</v>
      </c>
      <c r="E136" s="454">
        <f t="shared" si="14"/>
        <v>0.25411674483471347</v>
      </c>
      <c r="F136" s="449">
        <f t="shared" si="15"/>
        <v>0.13026560344427629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4256.5552422787941</v>
      </c>
      <c r="D137" s="463">
        <f>LN_ID17*LN_ID4</f>
        <v>4711.818589463287</v>
      </c>
      <c r="E137" s="463">
        <f t="shared" si="14"/>
        <v>455.26334718449289</v>
      </c>
      <c r="F137" s="449">
        <f t="shared" si="15"/>
        <v>0.10695581785537044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4099.4797451890063</v>
      </c>
      <c r="D138" s="465">
        <f>IF(LN_ID18=0,0,LN_ID15/LN_ID18)</f>
        <v>3383.1960414706468</v>
      </c>
      <c r="E138" s="465">
        <f t="shared" si="14"/>
        <v>-716.28370371835945</v>
      </c>
      <c r="F138" s="449">
        <f t="shared" si="15"/>
        <v>-0.17472551353838564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9043.4710214123897</v>
      </c>
      <c r="D139" s="465">
        <f>LN_IB18-LN_ID19</f>
        <v>10551.730205094937</v>
      </c>
      <c r="E139" s="465">
        <f t="shared" si="14"/>
        <v>1508.2591836825468</v>
      </c>
      <c r="F139" s="449">
        <f t="shared" si="15"/>
        <v>0.16677879324337019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3920.2513894063895</v>
      </c>
      <c r="D140" s="465">
        <f>LN_IA16-LN_ID19</f>
        <v>4499.1749068563258</v>
      </c>
      <c r="E140" s="465">
        <f t="shared" si="14"/>
        <v>578.9235174499363</v>
      </c>
      <c r="F140" s="449">
        <f t="shared" si="15"/>
        <v>0.14767510038115125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16686766.602628494</v>
      </c>
      <c r="D141" s="441">
        <f>LN_ID21*LN_ID18</f>
        <v>21199295.963372391</v>
      </c>
      <c r="E141" s="441">
        <f t="shared" si="14"/>
        <v>4512529.360743897</v>
      </c>
      <c r="F141" s="449">
        <f t="shared" si="15"/>
        <v>0.27042562937466175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118691104</v>
      </c>
      <c r="D144" s="448">
        <f>LN_ID1+LN_ID14</f>
        <v>120192398</v>
      </c>
      <c r="E144" s="448">
        <f>D144-C144</f>
        <v>1501294</v>
      </c>
      <c r="F144" s="449">
        <f>IF(C144=0,0,E144/C144)</f>
        <v>1.2648749142985477E-2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29637708</v>
      </c>
      <c r="D145" s="448">
        <f>LN_1D2+LN_ID15</f>
        <v>26462697</v>
      </c>
      <c r="E145" s="448">
        <f>D145-C145</f>
        <v>-3175011</v>
      </c>
      <c r="F145" s="449">
        <f>IF(C145=0,0,E145/C145)</f>
        <v>-0.10712741349634729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89053396</v>
      </c>
      <c r="D146" s="448">
        <f>LN_ID23-LN_ID24</f>
        <v>93729701</v>
      </c>
      <c r="E146" s="448">
        <f>D146-C146</f>
        <v>4676305</v>
      </c>
      <c r="F146" s="449">
        <f>IF(C146=0,0,E146/C146)</f>
        <v>5.2511248419992877E-2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20320891.73645585</v>
      </c>
      <c r="D148" s="448">
        <f>LN_ID10+LN_ID22</f>
        <v>26529648.419265453</v>
      </c>
      <c r="E148" s="448">
        <f>D148-C148</f>
        <v>6208756.6828096025</v>
      </c>
      <c r="F148" s="503">
        <f>IF(C148=0,0,E148/C148)</f>
        <v>0.30553564102066649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11227.022355641891</v>
      </c>
      <c r="D160" s="465">
        <f>LN_IB7-LN_IE7</f>
        <v>11687.114562155353</v>
      </c>
      <c r="E160" s="465">
        <f t="shared" si="16"/>
        <v>460.09220651346186</v>
      </c>
      <c r="F160" s="449">
        <f t="shared" si="17"/>
        <v>4.0980786529052619E-2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7251.8768365721926</v>
      </c>
      <c r="D161" s="465">
        <f>LN_IA7-LN_IE7</f>
        <v>7381.0643503298797</v>
      </c>
      <c r="E161" s="465">
        <f t="shared" si="16"/>
        <v>129.18751375768716</v>
      </c>
      <c r="F161" s="449">
        <f t="shared" si="17"/>
        <v>1.781435574114788E-2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13142.950766601396</v>
      </c>
      <c r="D174" s="465">
        <f>LN_IB18-LN_IE19</f>
        <v>13934.926246565583</v>
      </c>
      <c r="E174" s="465">
        <f t="shared" si="18"/>
        <v>791.97547996418689</v>
      </c>
      <c r="F174" s="449">
        <f t="shared" si="19"/>
        <v>6.025857465560467E-2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8019.7311345953958</v>
      </c>
      <c r="D175" s="465">
        <f>LN_IA16-LN_IE19</f>
        <v>7882.3709483269731</v>
      </c>
      <c r="E175" s="465">
        <f t="shared" si="18"/>
        <v>-137.36018626842269</v>
      </c>
      <c r="F175" s="449">
        <f t="shared" si="19"/>
        <v>-1.7127779468301671E-2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40223929</v>
      </c>
      <c r="D188" s="448">
        <f>LN_ID1+LN_IE1</f>
        <v>37502987</v>
      </c>
      <c r="E188" s="448">
        <f t="shared" ref="E188:E200" si="20">D188-C188</f>
        <v>-2720942</v>
      </c>
      <c r="F188" s="449">
        <f t="shared" ref="F188:F200" si="21">IF(C188=0,0,E188/C188)</f>
        <v>-6.7644858860008428E-2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12188046</v>
      </c>
      <c r="D189" s="448">
        <f>LN_1D2+LN_IE2</f>
        <v>10521691</v>
      </c>
      <c r="E189" s="448">
        <f t="shared" si="20"/>
        <v>-1666355</v>
      </c>
      <c r="F189" s="449">
        <f t="shared" si="21"/>
        <v>-0.13672043902689571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0.30300486061418813</v>
      </c>
      <c r="D190" s="453">
        <f>IF(LN_IF1=0,0,LN_IF2/LN_IF1)</f>
        <v>0.28055607943975236</v>
      </c>
      <c r="E190" s="454">
        <f t="shared" si="20"/>
        <v>-2.2448781174435772E-2</v>
      </c>
      <c r="F190" s="449">
        <f t="shared" si="21"/>
        <v>-7.4087198234814758E-2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2182</v>
      </c>
      <c r="D191" s="456">
        <f>LN_ID4+LN_IE4</f>
        <v>2137</v>
      </c>
      <c r="E191" s="456">
        <f t="shared" si="20"/>
        <v>-45</v>
      </c>
      <c r="F191" s="449">
        <f t="shared" si="21"/>
        <v>-2.0623281393217233E-2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0.99991000000000008</v>
      </c>
      <c r="D192" s="459">
        <f>IF((LN_ID4+LN_IE4)=0,0,(LN_ID6+LN_IE6)/(LN_ID4+LN_IE4))</f>
        <v>1.00499</v>
      </c>
      <c r="E192" s="460">
        <f t="shared" si="20"/>
        <v>5.0799999999999734E-3</v>
      </c>
      <c r="F192" s="449">
        <f t="shared" si="21"/>
        <v>5.0804572411516768E-3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2181.8036200000001</v>
      </c>
      <c r="D193" s="463">
        <f>LN_IF4*LN_IF5</f>
        <v>2147.66363</v>
      </c>
      <c r="E193" s="463">
        <f t="shared" si="20"/>
        <v>-34.139990000000125</v>
      </c>
      <c r="F193" s="449">
        <f t="shared" si="21"/>
        <v>-1.5647599851356064E-2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5586.2250333969105</v>
      </c>
      <c r="D194" s="465">
        <f>IF(LN_IF6=0,0,LN_IF2/LN_IF6)</f>
        <v>4899.1335761457203</v>
      </c>
      <c r="E194" s="465">
        <f t="shared" si="20"/>
        <v>-687.09145725119015</v>
      </c>
      <c r="F194" s="449">
        <f t="shared" si="21"/>
        <v>-0.12299745412035054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5640.7973222449809</v>
      </c>
      <c r="D195" s="465">
        <f>LN_IB7-LN_IF7</f>
        <v>6787.9809860096329</v>
      </c>
      <c r="E195" s="465">
        <f t="shared" si="20"/>
        <v>1147.183663764652</v>
      </c>
      <c r="F195" s="449">
        <f t="shared" si="21"/>
        <v>0.20337260820214764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1665.6518031752821</v>
      </c>
      <c r="D196" s="465">
        <f>LN_IA7-LN_IF7</f>
        <v>2481.9307741841594</v>
      </c>
      <c r="E196" s="465">
        <f t="shared" si="20"/>
        <v>816.27897100887731</v>
      </c>
      <c r="F196" s="449">
        <f t="shared" si="21"/>
        <v>0.49006579253405791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3634125.133827358</v>
      </c>
      <c r="D197" s="479">
        <f>LN_IF9*LN_IF6</f>
        <v>5330352.4558930621</v>
      </c>
      <c r="E197" s="479">
        <f t="shared" si="20"/>
        <v>1696227.322065704</v>
      </c>
      <c r="F197" s="449">
        <f t="shared" si="21"/>
        <v>0.46674983926029134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8199</v>
      </c>
      <c r="D198" s="456">
        <f>LN_ID11+LN_IE11</f>
        <v>7226</v>
      </c>
      <c r="E198" s="456">
        <f t="shared" si="20"/>
        <v>-973</v>
      </c>
      <c r="F198" s="449">
        <f t="shared" si="21"/>
        <v>-0.11867300890352482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1486.5283571167215</v>
      </c>
      <c r="D199" s="519">
        <f>IF(LN_IF11=0,0,LN_IF2/LN_IF11)</f>
        <v>1456.0878771104346</v>
      </c>
      <c r="E199" s="519">
        <f t="shared" si="20"/>
        <v>-30.440480006286862</v>
      </c>
      <c r="F199" s="449">
        <f t="shared" si="21"/>
        <v>-2.0477564293041393E-2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3.7575618698441797</v>
      </c>
      <c r="D200" s="466">
        <f>IF(LN_IF4=0,0,LN_IF11/LN_IF4)</f>
        <v>3.3813757604117924</v>
      </c>
      <c r="E200" s="466">
        <f t="shared" si="20"/>
        <v>-0.37618610943238728</v>
      </c>
      <c r="F200" s="449">
        <f t="shared" si="21"/>
        <v>-0.10011441526789475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78467175</v>
      </c>
      <c r="D203" s="448">
        <f>LN_ID14+LN_IE14</f>
        <v>82689411</v>
      </c>
      <c r="E203" s="448">
        <f t="shared" ref="E203:E211" si="22">D203-C203</f>
        <v>4222236</v>
      </c>
      <c r="F203" s="449">
        <f t="shared" ref="F203:F211" si="23">IF(C203=0,0,E203/C203)</f>
        <v>5.3808946224966042E-2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17449662</v>
      </c>
      <c r="D204" s="448">
        <f>LN_ID15+LN_IE15</f>
        <v>15941006</v>
      </c>
      <c r="E204" s="448">
        <f t="shared" si="22"/>
        <v>-1508656</v>
      </c>
      <c r="F204" s="449">
        <f t="shared" si="23"/>
        <v>-8.6457605883712818E-2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0.22238167743390788</v>
      </c>
      <c r="D205" s="453">
        <f>IF(LN_IF14=0,0,LN_IF15/LN_IF14)</f>
        <v>0.19278170937751632</v>
      </c>
      <c r="E205" s="454">
        <f t="shared" si="22"/>
        <v>-2.9599968056391562E-2</v>
      </c>
      <c r="F205" s="449">
        <f t="shared" si="23"/>
        <v>-0.13310434743522748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1.9507585894953225</v>
      </c>
      <c r="D206" s="453">
        <f>IF(LN_IF1=0,0,LN_IF14/LN_IF1)</f>
        <v>2.204875334330036</v>
      </c>
      <c r="E206" s="454">
        <f t="shared" si="22"/>
        <v>0.25411674483471347</v>
      </c>
      <c r="F206" s="449">
        <f t="shared" si="23"/>
        <v>0.13026560344427629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4256.5552422787941</v>
      </c>
      <c r="D207" s="463">
        <f>LN_ID18+LN_IE18</f>
        <v>4711.818589463287</v>
      </c>
      <c r="E207" s="463">
        <f t="shared" si="22"/>
        <v>455.26334718449289</v>
      </c>
      <c r="F207" s="449">
        <f t="shared" si="23"/>
        <v>0.10695581785537044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4099.4797451890063</v>
      </c>
      <c r="D208" s="465">
        <f>IF(LN_IF18=0,0,LN_IF15/LN_IF18)</f>
        <v>3383.1960414706468</v>
      </c>
      <c r="E208" s="465">
        <f t="shared" si="22"/>
        <v>-716.28370371835945</v>
      </c>
      <c r="F208" s="449">
        <f t="shared" si="23"/>
        <v>-0.17472551353838564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9043.4710214123897</v>
      </c>
      <c r="D209" s="465">
        <f>LN_IB18-LN_IF19</f>
        <v>10551.730205094937</v>
      </c>
      <c r="E209" s="465">
        <f t="shared" si="22"/>
        <v>1508.2591836825468</v>
      </c>
      <c r="F209" s="449">
        <f t="shared" si="23"/>
        <v>0.16677879324337019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3920.2513894063895</v>
      </c>
      <c r="D210" s="465">
        <f>LN_IA16-LN_IF19</f>
        <v>4499.1749068563258</v>
      </c>
      <c r="E210" s="465">
        <f t="shared" si="22"/>
        <v>578.9235174499363</v>
      </c>
      <c r="F210" s="449">
        <f t="shared" si="23"/>
        <v>0.14767510038115125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16686766.602628494</v>
      </c>
      <c r="D211" s="441">
        <f>LN_IF21*LN_IF18</f>
        <v>21199295.963372391</v>
      </c>
      <c r="E211" s="441">
        <f t="shared" si="22"/>
        <v>4512529.360743897</v>
      </c>
      <c r="F211" s="449">
        <f t="shared" si="23"/>
        <v>0.27042562937466175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118691104</v>
      </c>
      <c r="D214" s="448">
        <f>LN_IF1+LN_IF14</f>
        <v>120192398</v>
      </c>
      <c r="E214" s="448">
        <f>D214-C214</f>
        <v>1501294</v>
      </c>
      <c r="F214" s="449">
        <f>IF(C214=0,0,E214/C214)</f>
        <v>1.2648749142985477E-2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29637708</v>
      </c>
      <c r="D215" s="448">
        <f>LN_IF2+LN_IF15</f>
        <v>26462697</v>
      </c>
      <c r="E215" s="448">
        <f>D215-C215</f>
        <v>-3175011</v>
      </c>
      <c r="F215" s="449">
        <f>IF(C215=0,0,E215/C215)</f>
        <v>-0.10712741349634729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89053396</v>
      </c>
      <c r="D216" s="448">
        <f>LN_IF23-LN_IF24</f>
        <v>93729701</v>
      </c>
      <c r="E216" s="448">
        <f>D216-C216</f>
        <v>4676305</v>
      </c>
      <c r="F216" s="449">
        <f>IF(C216=0,0,E216/C216)</f>
        <v>5.2511248419992877E-2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106532</v>
      </c>
      <c r="D221" s="448">
        <v>243880</v>
      </c>
      <c r="E221" s="448">
        <f t="shared" ref="E221:E230" si="24">D221-C221</f>
        <v>137348</v>
      </c>
      <c r="F221" s="449">
        <f t="shared" ref="F221:F230" si="25">IF(C221=0,0,E221/C221)</f>
        <v>1.2892651973116058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21397</v>
      </c>
      <c r="D222" s="448">
        <v>63289</v>
      </c>
      <c r="E222" s="448">
        <f t="shared" si="24"/>
        <v>41892</v>
      </c>
      <c r="F222" s="449">
        <f t="shared" si="25"/>
        <v>1.9578445576482684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0.20085044869147298</v>
      </c>
      <c r="D223" s="453">
        <f>IF(LN_IG1=0,0,LN_IG2/LN_IG1)</f>
        <v>0.25950877480728229</v>
      </c>
      <c r="E223" s="454">
        <f t="shared" si="24"/>
        <v>5.8658326115809317E-2</v>
      </c>
      <c r="F223" s="449">
        <f t="shared" si="25"/>
        <v>0.29204976388135712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12</v>
      </c>
      <c r="D224" s="456">
        <v>21</v>
      </c>
      <c r="E224" s="456">
        <f t="shared" si="24"/>
        <v>9</v>
      </c>
      <c r="F224" s="449">
        <f t="shared" si="25"/>
        <v>0.75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0.55530000000000002</v>
      </c>
      <c r="D225" s="459">
        <v>0.78796999999999995</v>
      </c>
      <c r="E225" s="460">
        <f t="shared" si="24"/>
        <v>0.23266999999999993</v>
      </c>
      <c r="F225" s="449">
        <f t="shared" si="25"/>
        <v>0.4189987394201331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6.6636000000000006</v>
      </c>
      <c r="D226" s="463">
        <f>LN_IG3*LN_IG4</f>
        <v>16.547369999999997</v>
      </c>
      <c r="E226" s="463">
        <f t="shared" si="24"/>
        <v>9.8837699999999966</v>
      </c>
      <c r="F226" s="449">
        <f t="shared" si="25"/>
        <v>1.4832477939852327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3211.0270724533284</v>
      </c>
      <c r="D227" s="465">
        <f>IF(LN_IG5=0,0,LN_IG2/LN_IG5)</f>
        <v>3824.7165561657234</v>
      </c>
      <c r="E227" s="465">
        <f t="shared" si="24"/>
        <v>613.68948371239503</v>
      </c>
      <c r="F227" s="449">
        <f t="shared" si="25"/>
        <v>0.19111937391531128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26</v>
      </c>
      <c r="D228" s="456">
        <v>60</v>
      </c>
      <c r="E228" s="456">
        <f t="shared" si="24"/>
        <v>34</v>
      </c>
      <c r="F228" s="449">
        <f t="shared" si="25"/>
        <v>1.3076923076923077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822.96153846153845</v>
      </c>
      <c r="D229" s="465">
        <f>IF(LN_IG6=0,0,LN_IG2/LN_IG6)</f>
        <v>1054.8166666666666</v>
      </c>
      <c r="E229" s="465">
        <f t="shared" si="24"/>
        <v>231.85512820512815</v>
      </c>
      <c r="F229" s="449">
        <f t="shared" si="25"/>
        <v>0.28173264164758294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2.1666666666666665</v>
      </c>
      <c r="D230" s="466">
        <f>IF(LN_IG3=0,0,LN_IG6/LN_IG3)</f>
        <v>2.8571428571428572</v>
      </c>
      <c r="E230" s="466">
        <f t="shared" si="24"/>
        <v>0.69047619047619069</v>
      </c>
      <c r="F230" s="449">
        <f t="shared" si="25"/>
        <v>0.31868131868131883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763906</v>
      </c>
      <c r="D233" s="448">
        <v>580494</v>
      </c>
      <c r="E233" s="448">
        <f>D233-C233</f>
        <v>-183412</v>
      </c>
      <c r="F233" s="449">
        <f>IF(C233=0,0,E233/C233)</f>
        <v>-0.24009760363186047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153431</v>
      </c>
      <c r="D234" s="448">
        <v>150643</v>
      </c>
      <c r="E234" s="448">
        <f>D234-C234</f>
        <v>-2788</v>
      </c>
      <c r="F234" s="449">
        <f>IF(C234=0,0,E234/C234)</f>
        <v>-1.8171034536697276E-2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870438</v>
      </c>
      <c r="D237" s="448">
        <f>LN_IG1+LN_IG9</f>
        <v>824374</v>
      </c>
      <c r="E237" s="448">
        <f>D237-C237</f>
        <v>-46064</v>
      </c>
      <c r="F237" s="449">
        <f>IF(C237=0,0,E237/C237)</f>
        <v>-5.2920483710499774E-2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174828</v>
      </c>
      <c r="D238" s="448">
        <f>LN_IG2+LN_IG10</f>
        <v>213932</v>
      </c>
      <c r="E238" s="448">
        <f>D238-C238</f>
        <v>39104</v>
      </c>
      <c r="F238" s="449">
        <f>IF(C238=0,0,E238/C238)</f>
        <v>0.22367126547234997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695610</v>
      </c>
      <c r="D239" s="448">
        <f>LN_IG13-LN_IG14</f>
        <v>610442</v>
      </c>
      <c r="E239" s="448">
        <f>D239-C239</f>
        <v>-85168</v>
      </c>
      <c r="F239" s="449">
        <f>IF(C239=0,0,E239/C239)</f>
        <v>-0.12243642270812669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8597041</v>
      </c>
      <c r="D243" s="448">
        <v>7100035</v>
      </c>
      <c r="E243" s="441">
        <f>D243-C243</f>
        <v>-1497006</v>
      </c>
      <c r="F243" s="503">
        <f>IF(C243=0,0,E243/C243)</f>
        <v>-0.17413037811498167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208792651</v>
      </c>
      <c r="D244" s="448">
        <v>203092473</v>
      </c>
      <c r="E244" s="441">
        <f>D244-C244</f>
        <v>-5700178</v>
      </c>
      <c r="F244" s="503">
        <f>IF(C244=0,0,E244/C244)</f>
        <v>-2.7300663949134878E-2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8125010</v>
      </c>
      <c r="D248" s="441">
        <v>6216157</v>
      </c>
      <c r="E248" s="441">
        <f>D248-C248</f>
        <v>-1908853</v>
      </c>
      <c r="F248" s="449">
        <f>IF(C248=0,0,E248/C248)</f>
        <v>-0.23493546469481269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6385283</v>
      </c>
      <c r="D249" s="441">
        <v>4423863</v>
      </c>
      <c r="E249" s="441">
        <f>D249-C249</f>
        <v>-1961420</v>
      </c>
      <c r="F249" s="449">
        <f>IF(C249=0,0,E249/C249)</f>
        <v>-0.3071782409644177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14510293</v>
      </c>
      <c r="D250" s="441">
        <f>LN_IH4+LN_IH5</f>
        <v>10640020</v>
      </c>
      <c r="E250" s="441">
        <f>D250-C250</f>
        <v>-3870273</v>
      </c>
      <c r="F250" s="449">
        <f>IF(C250=0,0,E250/C250)</f>
        <v>-0.2667260406113095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6035506.374894592</v>
      </c>
      <c r="D251" s="441">
        <f>LN_IH6*LN_III10</f>
        <v>4293568.3015625728</v>
      </c>
      <c r="E251" s="441">
        <f>D251-C251</f>
        <v>-1741938.0733320192</v>
      </c>
      <c r="F251" s="449">
        <f>IF(C251=0,0,E251/C251)</f>
        <v>-0.28861506643051826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118691104</v>
      </c>
      <c r="D254" s="441">
        <f>LN_IF23</f>
        <v>120192398</v>
      </c>
      <c r="E254" s="441">
        <f>D254-C254</f>
        <v>1501294</v>
      </c>
      <c r="F254" s="449">
        <f>IF(C254=0,0,E254/C254)</f>
        <v>1.2648749142985477E-2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29637708</v>
      </c>
      <c r="D255" s="441">
        <f>LN_IF24</f>
        <v>26462697</v>
      </c>
      <c r="E255" s="441">
        <f>D255-C255</f>
        <v>-3175011</v>
      </c>
      <c r="F255" s="449">
        <f>IF(C255=0,0,E255/C255)</f>
        <v>-0.10712741349634729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49369155.732091494</v>
      </c>
      <c r="D256" s="441">
        <f>LN_IH8*LN_III10</f>
        <v>48501250.010957949</v>
      </c>
      <c r="E256" s="441">
        <f>D256-C256</f>
        <v>-867905.72113354504</v>
      </c>
      <c r="F256" s="449">
        <f>IF(C256=0,0,E256/C256)</f>
        <v>-1.7579918235656179E-2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19731447.732091494</v>
      </c>
      <c r="D257" s="441">
        <f>LN_IH10-LN_IH9</f>
        <v>22038553.010957949</v>
      </c>
      <c r="E257" s="441">
        <f>D257-C257</f>
        <v>2307105.278866455</v>
      </c>
      <c r="F257" s="449">
        <f>IF(C257=0,0,E257/C257)</f>
        <v>0.11692529155446348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226391995</v>
      </c>
      <c r="D261" s="448">
        <f>LN_IA1+LN_IB1+LN_IF1+LN_IG1</f>
        <v>225338050</v>
      </c>
      <c r="E261" s="448">
        <f t="shared" ref="E261:E274" si="26">D261-C261</f>
        <v>-1053945</v>
      </c>
      <c r="F261" s="503">
        <f t="shared" ref="F261:F274" si="27">IF(C261=0,0,E261/C261)</f>
        <v>-4.6553987034744755E-3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97505255</v>
      </c>
      <c r="D262" s="448">
        <f>+LN_IA2+LN_IB2+LN_IF2+LN_IG2</f>
        <v>96025585</v>
      </c>
      <c r="E262" s="448">
        <f t="shared" si="26"/>
        <v>-1479670</v>
      </c>
      <c r="F262" s="503">
        <f t="shared" si="27"/>
        <v>-1.5175284655170637E-2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0.43069214969372038</v>
      </c>
      <c r="D263" s="453">
        <f>IF(LN_IIA1=0,0,LN_IIA2/LN_IIA1)</f>
        <v>0.42614012591304484</v>
      </c>
      <c r="E263" s="454">
        <f t="shared" si="26"/>
        <v>-4.5520237806755404E-3</v>
      </c>
      <c r="F263" s="458">
        <f t="shared" si="27"/>
        <v>-1.0569089276209555E-2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9284</v>
      </c>
      <c r="D264" s="456">
        <f>LN_IA4+LN_IB4+LN_IF4+LN_IG3</f>
        <v>9208</v>
      </c>
      <c r="E264" s="456">
        <f t="shared" si="26"/>
        <v>-76</v>
      </c>
      <c r="F264" s="503">
        <f t="shared" si="27"/>
        <v>-8.1861266695389921E-3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1.3266957647565705</v>
      </c>
      <c r="D265" s="525">
        <f>IF(LN_IIA4=0,0,LN_IIA6/LN_IIA4)</f>
        <v>1.3108118331885317</v>
      </c>
      <c r="E265" s="525">
        <f t="shared" si="26"/>
        <v>-1.58839315680388E-2</v>
      </c>
      <c r="F265" s="503">
        <f t="shared" si="27"/>
        <v>-1.1972550142988715E-2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12317.04348</v>
      </c>
      <c r="D266" s="463">
        <f>LN_IA6+LN_IB6+LN_IF6+LN_IG5</f>
        <v>12069.95536</v>
      </c>
      <c r="E266" s="463">
        <f t="shared" si="26"/>
        <v>-247.08812000000034</v>
      </c>
      <c r="F266" s="503">
        <f t="shared" si="27"/>
        <v>-2.0060668000499771E-2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317037529</v>
      </c>
      <c r="D267" s="448">
        <f>LN_IA11+LN_IB13+LN_IF14+LN_IG9</f>
        <v>324189189</v>
      </c>
      <c r="E267" s="448">
        <f t="shared" si="26"/>
        <v>7151660</v>
      </c>
      <c r="F267" s="503">
        <f t="shared" si="27"/>
        <v>2.255777107069239E-2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1.4003919573216359</v>
      </c>
      <c r="D268" s="453">
        <f>IF(LN_IIA1=0,0,LN_IIA7/LN_IIA1)</f>
        <v>1.4386793042719594</v>
      </c>
      <c r="E268" s="454">
        <f t="shared" si="26"/>
        <v>3.8287346950323542E-2</v>
      </c>
      <c r="F268" s="458">
        <f t="shared" si="27"/>
        <v>2.7340450471845912E-2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130127002</v>
      </c>
      <c r="D269" s="448">
        <f>LN_IA12+LN_IB14+LN_IF15+LN_IG10</f>
        <v>127319814</v>
      </c>
      <c r="E269" s="448">
        <f t="shared" si="26"/>
        <v>-2807188</v>
      </c>
      <c r="F269" s="503">
        <f t="shared" si="27"/>
        <v>-2.157267866664599E-2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0.41044668248092486</v>
      </c>
      <c r="D270" s="453">
        <f>IF(LN_IIA7=0,0,LN_IIA9/LN_IIA7)</f>
        <v>0.39273306550638859</v>
      </c>
      <c r="E270" s="454">
        <f t="shared" si="26"/>
        <v>-1.7713616974536273E-2</v>
      </c>
      <c r="F270" s="458">
        <f t="shared" si="27"/>
        <v>-4.3156925687563567E-2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543429524</v>
      </c>
      <c r="D271" s="441">
        <f>LN_IIA1+LN_IIA7</f>
        <v>549527239</v>
      </c>
      <c r="E271" s="441">
        <f t="shared" si="26"/>
        <v>6097715</v>
      </c>
      <c r="F271" s="503">
        <f t="shared" si="27"/>
        <v>1.1220801834830011E-2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227632257</v>
      </c>
      <c r="D272" s="441">
        <f>LN_IIA2+LN_IIA9</f>
        <v>223345399</v>
      </c>
      <c r="E272" s="441">
        <f t="shared" si="26"/>
        <v>-4286858</v>
      </c>
      <c r="F272" s="503">
        <f t="shared" si="27"/>
        <v>-1.883238367223148E-2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0.41888091637803615</v>
      </c>
      <c r="D273" s="453">
        <f>IF(LN_IIA11=0,0,LN_IIA12/LN_IIA11)</f>
        <v>0.40643189845590166</v>
      </c>
      <c r="E273" s="454">
        <f t="shared" si="26"/>
        <v>-1.2449017922134487E-2</v>
      </c>
      <c r="F273" s="458">
        <f t="shared" si="27"/>
        <v>-2.97197065690607E-2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39492</v>
      </c>
      <c r="D274" s="508">
        <f>LN_IA8+LN_IB10+LN_IF11+LN_IG6</f>
        <v>37258</v>
      </c>
      <c r="E274" s="528">
        <f t="shared" si="26"/>
        <v>-2234</v>
      </c>
      <c r="F274" s="458">
        <f t="shared" si="27"/>
        <v>-5.6568418920287654E-2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173498937</v>
      </c>
      <c r="D277" s="448">
        <f>LN_IA1+LN_IF1+LN_IG1</f>
        <v>172676675</v>
      </c>
      <c r="E277" s="448">
        <f t="shared" ref="E277:E291" si="28">D277-C277</f>
        <v>-822262</v>
      </c>
      <c r="F277" s="503">
        <f t="shared" ref="F277:F291" si="29">IF(C277=0,0,E277/C277)</f>
        <v>-4.7392912845339221E-3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64052426</v>
      </c>
      <c r="D278" s="448">
        <f>LN_IA2+LN_IF2+LN_IG2</f>
        <v>62572306</v>
      </c>
      <c r="E278" s="448">
        <f t="shared" si="28"/>
        <v>-1480120</v>
      </c>
      <c r="F278" s="503">
        <f t="shared" si="29"/>
        <v>-2.3107945981624491E-2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0.36918050973418931</v>
      </c>
      <c r="D279" s="453">
        <f>IF(D277=0,0,LN_IIB2/D277)</f>
        <v>0.36236686859994266</v>
      </c>
      <c r="E279" s="454">
        <f t="shared" si="28"/>
        <v>-6.8136411342466507E-3</v>
      </c>
      <c r="F279" s="458">
        <f t="shared" si="29"/>
        <v>-1.8456123643018116E-2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6677</v>
      </c>
      <c r="D280" s="456">
        <f>LN_IA4+LN_IF4+LN_IG3</f>
        <v>6762</v>
      </c>
      <c r="E280" s="456">
        <f t="shared" si="28"/>
        <v>85</v>
      </c>
      <c r="F280" s="503">
        <f t="shared" si="29"/>
        <v>1.2730268084469074E-2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1.398438345065149</v>
      </c>
      <c r="D281" s="525">
        <f>IF(LN_IIB4=0,0,LN_IIB6/LN_IIB4)</f>
        <v>1.3616605028098199</v>
      </c>
      <c r="E281" s="525">
        <f t="shared" si="28"/>
        <v>-3.6777842255329096E-2</v>
      </c>
      <c r="F281" s="503">
        <f t="shared" si="29"/>
        <v>-2.6299223262228073E-2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9337.3728300000002</v>
      </c>
      <c r="D282" s="463">
        <f>LN_IA6+LN_IF6+LN_IG5</f>
        <v>9207.5483200000017</v>
      </c>
      <c r="E282" s="463">
        <f t="shared" si="28"/>
        <v>-129.82450999999855</v>
      </c>
      <c r="F282" s="503">
        <f t="shared" si="29"/>
        <v>-1.3903751340300563E-2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189139803</v>
      </c>
      <c r="D283" s="448">
        <f>LN_IA11+LN_IF14+LN_IG9</f>
        <v>201449132</v>
      </c>
      <c r="E283" s="448">
        <f t="shared" si="28"/>
        <v>12309329</v>
      </c>
      <c r="F283" s="503">
        <f t="shared" si="29"/>
        <v>6.5080584862404658E-2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1.0901496359023801</v>
      </c>
      <c r="D284" s="453">
        <f>IF(D277=0,0,LN_IIB7/D277)</f>
        <v>1.1666261931439206</v>
      </c>
      <c r="E284" s="454">
        <f t="shared" si="28"/>
        <v>7.6476557241540455E-2</v>
      </c>
      <c r="F284" s="458">
        <f t="shared" si="29"/>
        <v>7.0152348561063699E-2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47275944</v>
      </c>
      <c r="D285" s="448">
        <f>LN_IA12+LN_IF15+LN_IG10</f>
        <v>47876884</v>
      </c>
      <c r="E285" s="448">
        <f t="shared" si="28"/>
        <v>600940</v>
      </c>
      <c r="F285" s="503">
        <f t="shared" si="29"/>
        <v>1.271132735075581E-2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0.24995238046219176</v>
      </c>
      <c r="D286" s="453">
        <f>IF(LN_IIB7=0,0,LN_IIB9/LN_IIB7)</f>
        <v>0.23766239906161521</v>
      </c>
      <c r="E286" s="454">
        <f t="shared" si="28"/>
        <v>-1.228998140057655E-2</v>
      </c>
      <c r="F286" s="458">
        <f t="shared" si="29"/>
        <v>-4.9169291278006268E-2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362638740</v>
      </c>
      <c r="D287" s="441">
        <f>D277+LN_IIB7</f>
        <v>374125807</v>
      </c>
      <c r="E287" s="441">
        <f t="shared" si="28"/>
        <v>11487067</v>
      </c>
      <c r="F287" s="503">
        <f t="shared" si="29"/>
        <v>3.1676337172360569E-2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111328370</v>
      </c>
      <c r="D288" s="441">
        <f>LN_IIB2+LN_IIB9</f>
        <v>110449190</v>
      </c>
      <c r="E288" s="441">
        <f t="shared" si="28"/>
        <v>-879180</v>
      </c>
      <c r="F288" s="503">
        <f t="shared" si="29"/>
        <v>-7.8971784101393022E-3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0.3069952482186542</v>
      </c>
      <c r="D289" s="453">
        <f>IF(LN_IIB11=0,0,LN_IIB12/LN_IIB11)</f>
        <v>0.29521938324880109</v>
      </c>
      <c r="E289" s="454">
        <f t="shared" si="28"/>
        <v>-1.1775864969853111E-2</v>
      </c>
      <c r="F289" s="458">
        <f t="shared" si="29"/>
        <v>-3.8358460067974318E-2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30825</v>
      </c>
      <c r="D290" s="508">
        <f>LN_IA8+LN_IF11+LN_IG6</f>
        <v>29399</v>
      </c>
      <c r="E290" s="528">
        <f t="shared" si="28"/>
        <v>-1426</v>
      </c>
      <c r="F290" s="458">
        <f t="shared" si="29"/>
        <v>-4.6261151662611515E-2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251310370</v>
      </c>
      <c r="D291" s="516">
        <f>LN_IIB11-LN_IIB12</f>
        <v>263676617</v>
      </c>
      <c r="E291" s="441">
        <f t="shared" si="28"/>
        <v>12366247</v>
      </c>
      <c r="F291" s="503">
        <f t="shared" si="29"/>
        <v>4.9207070126075579E-2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5.0412670086995313</v>
      </c>
      <c r="D294" s="466">
        <f>IF(LN_IA4=0,0,LN_IA8/LN_IA4)</f>
        <v>4.8029973935708083</v>
      </c>
      <c r="E294" s="466">
        <f t="shared" ref="E294:E300" si="30">D294-C294</f>
        <v>-0.23826961512872291</v>
      </c>
      <c r="F294" s="503">
        <f t="shared" ref="F294:F300" si="31">IF(C294=0,0,E294/C294)</f>
        <v>-4.7263835602746232E-2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3.324510932105869</v>
      </c>
      <c r="D295" s="466">
        <f>IF(LN_IB4=0,0,(LN_IB10)/(LN_IB4))</f>
        <v>3.2130008176614879</v>
      </c>
      <c r="E295" s="466">
        <f t="shared" si="30"/>
        <v>-0.11151011444438108</v>
      </c>
      <c r="F295" s="503">
        <f t="shared" si="31"/>
        <v>-3.3541810125360734E-2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5.21259842519685</v>
      </c>
      <c r="D296" s="466">
        <f>IF(LN_IC4=0,0,LN_IC11/LN_IC4)</f>
        <v>6.104166666666667</v>
      </c>
      <c r="E296" s="466">
        <f t="shared" si="30"/>
        <v>0.89156824146981695</v>
      </c>
      <c r="F296" s="503">
        <f t="shared" si="31"/>
        <v>0.17104103726082592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3.7575618698441797</v>
      </c>
      <c r="D297" s="466">
        <f>IF(LN_ID4=0,0,LN_ID11/LN_ID4)</f>
        <v>3.3813757604117924</v>
      </c>
      <c r="E297" s="466">
        <f t="shared" si="30"/>
        <v>-0.37618610943238728</v>
      </c>
      <c r="F297" s="503">
        <f t="shared" si="31"/>
        <v>-0.10011441526789475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2.1666666666666665</v>
      </c>
      <c r="D299" s="466">
        <f>IF(LN_IG3=0,0,LN_IG6/LN_IG3)</f>
        <v>2.8571428571428572</v>
      </c>
      <c r="E299" s="466">
        <f t="shared" si="30"/>
        <v>0.69047619047619069</v>
      </c>
      <c r="F299" s="503">
        <f t="shared" si="31"/>
        <v>0.31868131868131883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4.2537699267557088</v>
      </c>
      <c r="D300" s="466">
        <f>IF(LN_IIA4=0,0,LN_IIA14/LN_IIA4)</f>
        <v>4.0462641181581231</v>
      </c>
      <c r="E300" s="466">
        <f t="shared" si="30"/>
        <v>-0.20750580859758561</v>
      </c>
      <c r="F300" s="503">
        <f t="shared" si="31"/>
        <v>-4.8781624810594164E-2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543429524</v>
      </c>
      <c r="D304" s="441">
        <f>LN_IIA11</f>
        <v>549527239</v>
      </c>
      <c r="E304" s="441">
        <f t="shared" ref="E304:E316" si="32">D304-C304</f>
        <v>6097715</v>
      </c>
      <c r="F304" s="449">
        <f>IF(C304=0,0,E304/C304)</f>
        <v>1.1220801834830011E-2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251310370</v>
      </c>
      <c r="D305" s="441">
        <f>LN_IIB14</f>
        <v>263676617</v>
      </c>
      <c r="E305" s="441">
        <f t="shared" si="32"/>
        <v>12366247</v>
      </c>
      <c r="F305" s="449">
        <f>IF(C305=0,0,E305/C305)</f>
        <v>4.9207070126075579E-2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14510293</v>
      </c>
      <c r="D306" s="441">
        <f>LN_IH6</f>
        <v>10640020</v>
      </c>
      <c r="E306" s="441">
        <f t="shared" si="32"/>
        <v>-3870273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49976604</v>
      </c>
      <c r="D307" s="441">
        <f>LN_IB32-LN_IB33</f>
        <v>51865203</v>
      </c>
      <c r="E307" s="441">
        <f t="shared" si="32"/>
        <v>1888599</v>
      </c>
      <c r="F307" s="449">
        <f t="shared" ref="F307:F316" si="33">IF(C307=0,0,E307/C307)</f>
        <v>3.7789662538895201E-2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1594619</v>
      </c>
      <c r="D308" s="441">
        <v>1594619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317391886</v>
      </c>
      <c r="D309" s="441">
        <f>LN_III2+LN_III3+LN_III4+LN_III5</f>
        <v>327776459</v>
      </c>
      <c r="E309" s="441">
        <f t="shared" si="32"/>
        <v>10384573</v>
      </c>
      <c r="F309" s="449">
        <f t="shared" si="33"/>
        <v>3.2718457711297638E-2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226037638</v>
      </c>
      <c r="D310" s="441">
        <f>LN_III1-LN_III6</f>
        <v>221750780</v>
      </c>
      <c r="E310" s="441">
        <f t="shared" si="32"/>
        <v>-4286858</v>
      </c>
      <c r="F310" s="449">
        <f t="shared" si="33"/>
        <v>-1.8965239762415143E-2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226037638</v>
      </c>
      <c r="D312" s="441">
        <f>LN_III7+LN_III8</f>
        <v>221750780</v>
      </c>
      <c r="E312" s="441">
        <f t="shared" si="32"/>
        <v>-4286858</v>
      </c>
      <c r="F312" s="449">
        <f t="shared" si="33"/>
        <v>-1.8965239762415143E-2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0.41594655427664984</v>
      </c>
      <c r="D313" s="532">
        <f>IF(LN_III1=0,0,LN_III9/LN_III1)</f>
        <v>0.40353009689479652</v>
      </c>
      <c r="E313" s="532">
        <f t="shared" si="32"/>
        <v>-1.2416457381853319E-2</v>
      </c>
      <c r="F313" s="449">
        <f t="shared" si="33"/>
        <v>-2.9851088449202586E-2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6035506.374894592</v>
      </c>
      <c r="D314" s="441">
        <f>D313*LN_III5</f>
        <v>4293568.3015625728</v>
      </c>
      <c r="E314" s="441">
        <f t="shared" si="32"/>
        <v>-1741938.0733320192</v>
      </c>
      <c r="F314" s="449">
        <f t="shared" si="33"/>
        <v>-0.28861506643051826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19731447.732091494</v>
      </c>
      <c r="D315" s="441">
        <f>D313*LN_IH8-LN_IH9</f>
        <v>22038553.010957949</v>
      </c>
      <c r="E315" s="441">
        <f t="shared" si="32"/>
        <v>2307105.278866455</v>
      </c>
      <c r="F315" s="449">
        <f t="shared" si="33"/>
        <v>0.11692529155446348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25766954.106986087</v>
      </c>
      <c r="D318" s="441">
        <f>D314+D315+D316</f>
        <v>26332121.312520523</v>
      </c>
      <c r="E318" s="441">
        <f>D318-C318</f>
        <v>565167.20553443581</v>
      </c>
      <c r="F318" s="449">
        <f>IF(C318=0,0,E318/C318)</f>
        <v>2.1933799516536741E-2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16686766.602628494</v>
      </c>
      <c r="D322" s="441">
        <f>LN_ID22</f>
        <v>21199295.963372391</v>
      </c>
      <c r="E322" s="441">
        <f>LN_IV2-C322</f>
        <v>4512529.360743897</v>
      </c>
      <c r="F322" s="449">
        <f>IF(C322=0,0,E322/C322)</f>
        <v>0.27042562937466175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977763.71216934721</v>
      </c>
      <c r="D324" s="441">
        <f>LN_IC10+LN_IC22</f>
        <v>633338.01669985289</v>
      </c>
      <c r="E324" s="441">
        <f>LN_IV1-C324</f>
        <v>-344425.69546949433</v>
      </c>
      <c r="F324" s="449">
        <f>IF(C324=0,0,E324/C324)</f>
        <v>-0.35225861952405974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17664530.314797841</v>
      </c>
      <c r="D325" s="516">
        <f>LN_IV1+LN_IV2+LN_IV3</f>
        <v>21832633.980072245</v>
      </c>
      <c r="E325" s="441">
        <f>LN_IV4-C325</f>
        <v>4168103.665274404</v>
      </c>
      <c r="F325" s="449">
        <f>IF(C325=0,0,E325/C325)</f>
        <v>0.23595892961743348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3925009</v>
      </c>
      <c r="D329" s="518">
        <v>4095811</v>
      </c>
      <c r="E329" s="518">
        <f t="shared" ref="E329:E335" si="34">D329-C329</f>
        <v>170802</v>
      </c>
      <c r="F329" s="542">
        <f t="shared" ref="F329:F335" si="35">IF(C329=0,0,E329/C329)</f>
        <v>4.351633333834394E-2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-8500070</v>
      </c>
      <c r="D330" s="516">
        <v>-10953589</v>
      </c>
      <c r="E330" s="518">
        <f t="shared" si="34"/>
        <v>-2453519</v>
      </c>
      <c r="F330" s="543">
        <f t="shared" si="35"/>
        <v>0.28864691702538919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219132186</v>
      </c>
      <c r="D331" s="516">
        <v>212392000</v>
      </c>
      <c r="E331" s="518">
        <f t="shared" si="34"/>
        <v>-6740186</v>
      </c>
      <c r="F331" s="542">
        <f t="shared" si="35"/>
        <v>-3.0758539505465435E-2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543429524</v>
      </c>
      <c r="D333" s="516">
        <v>549527239</v>
      </c>
      <c r="E333" s="518">
        <f t="shared" si="34"/>
        <v>6097715</v>
      </c>
      <c r="F333" s="542">
        <f t="shared" si="35"/>
        <v>1.1220801834830011E-2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14510293</v>
      </c>
      <c r="D335" s="516">
        <v>10640020</v>
      </c>
      <c r="E335" s="516">
        <f t="shared" si="34"/>
        <v>-3870273</v>
      </c>
      <c r="F335" s="542">
        <f t="shared" si="35"/>
        <v>-0.2667260406113095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FILING&amp;RMIDSTATE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tabSelected="1" zoomScale="75" zoomScaleNormal="75" zoomScaleSheetLayoutView="68" workbookViewId="0">
      <selection activeCell="B42" sqref="B42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52893058</v>
      </c>
      <c r="D14" s="589">
        <v>52661375</v>
      </c>
      <c r="E14" s="590">
        <f t="shared" ref="E14:E22" si="0">D14-C14</f>
        <v>-231683</v>
      </c>
    </row>
    <row r="15" spans="1:5" s="421" customFormat="1" x14ac:dyDescent="0.2">
      <c r="A15" s="588">
        <v>2</v>
      </c>
      <c r="B15" s="587" t="s">
        <v>637</v>
      </c>
      <c r="C15" s="589">
        <v>133168476</v>
      </c>
      <c r="D15" s="591">
        <v>134929808</v>
      </c>
      <c r="E15" s="590">
        <f t="shared" si="0"/>
        <v>1761332</v>
      </c>
    </row>
    <row r="16" spans="1:5" s="421" customFormat="1" x14ac:dyDescent="0.2">
      <c r="A16" s="588">
        <v>3</v>
      </c>
      <c r="B16" s="587" t="s">
        <v>779</v>
      </c>
      <c r="C16" s="589">
        <v>40223929</v>
      </c>
      <c r="D16" s="591">
        <v>37502987</v>
      </c>
      <c r="E16" s="590">
        <f t="shared" si="0"/>
        <v>-2720942</v>
      </c>
    </row>
    <row r="17" spans="1:5" s="421" customFormat="1" x14ac:dyDescent="0.2">
      <c r="A17" s="588">
        <v>4</v>
      </c>
      <c r="B17" s="587" t="s">
        <v>115</v>
      </c>
      <c r="C17" s="589">
        <v>40223929</v>
      </c>
      <c r="D17" s="591">
        <v>37502987</v>
      </c>
      <c r="E17" s="590">
        <f t="shared" si="0"/>
        <v>-2720942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106532</v>
      </c>
      <c r="D19" s="591">
        <v>243880</v>
      </c>
      <c r="E19" s="590">
        <f t="shared" si="0"/>
        <v>137348</v>
      </c>
    </row>
    <row r="20" spans="1:5" s="421" customFormat="1" x14ac:dyDescent="0.2">
      <c r="A20" s="588">
        <v>7</v>
      </c>
      <c r="B20" s="587" t="s">
        <v>760</v>
      </c>
      <c r="C20" s="589">
        <v>2576251</v>
      </c>
      <c r="D20" s="591">
        <v>1924125</v>
      </c>
      <c r="E20" s="590">
        <f t="shared" si="0"/>
        <v>-652126</v>
      </c>
    </row>
    <row r="21" spans="1:5" s="421" customFormat="1" x14ac:dyDescent="0.2">
      <c r="A21" s="588"/>
      <c r="B21" s="592" t="s">
        <v>780</v>
      </c>
      <c r="C21" s="593">
        <f>SUM(C15+C16+C19)</f>
        <v>173498937</v>
      </c>
      <c r="D21" s="593">
        <f>SUM(D15+D16+D19)</f>
        <v>172676675</v>
      </c>
      <c r="E21" s="593">
        <f t="shared" si="0"/>
        <v>-822262</v>
      </c>
    </row>
    <row r="22" spans="1:5" s="421" customFormat="1" x14ac:dyDescent="0.2">
      <c r="A22" s="588"/>
      <c r="B22" s="592" t="s">
        <v>465</v>
      </c>
      <c r="C22" s="593">
        <f>SUM(C14+C21)</f>
        <v>226391995</v>
      </c>
      <c r="D22" s="593">
        <f>SUM(D14+D21)</f>
        <v>225338050</v>
      </c>
      <c r="E22" s="593">
        <f t="shared" si="0"/>
        <v>-1053945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127897726</v>
      </c>
      <c r="D25" s="589">
        <v>122740057</v>
      </c>
      <c r="E25" s="590">
        <f t="shared" ref="E25:E33" si="1">D25-C25</f>
        <v>-5157669</v>
      </c>
    </row>
    <row r="26" spans="1:5" s="421" customFormat="1" x14ac:dyDescent="0.2">
      <c r="A26" s="588">
        <v>2</v>
      </c>
      <c r="B26" s="587" t="s">
        <v>637</v>
      </c>
      <c r="C26" s="589">
        <v>109908722</v>
      </c>
      <c r="D26" s="591">
        <v>118179227</v>
      </c>
      <c r="E26" s="590">
        <f t="shared" si="1"/>
        <v>8270505</v>
      </c>
    </row>
    <row r="27" spans="1:5" s="421" customFormat="1" x14ac:dyDescent="0.2">
      <c r="A27" s="588">
        <v>3</v>
      </c>
      <c r="B27" s="587" t="s">
        <v>779</v>
      </c>
      <c r="C27" s="589">
        <v>78467175</v>
      </c>
      <c r="D27" s="591">
        <v>82689411</v>
      </c>
      <c r="E27" s="590">
        <f t="shared" si="1"/>
        <v>4222236</v>
      </c>
    </row>
    <row r="28" spans="1:5" s="421" customFormat="1" x14ac:dyDescent="0.2">
      <c r="A28" s="588">
        <v>4</v>
      </c>
      <c r="B28" s="587" t="s">
        <v>115</v>
      </c>
      <c r="C28" s="589">
        <v>78467175</v>
      </c>
      <c r="D28" s="591">
        <v>82689411</v>
      </c>
      <c r="E28" s="590">
        <f t="shared" si="1"/>
        <v>4222236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763906</v>
      </c>
      <c r="D30" s="591">
        <v>580494</v>
      </c>
      <c r="E30" s="590">
        <f t="shared" si="1"/>
        <v>-183412</v>
      </c>
    </row>
    <row r="31" spans="1:5" s="421" customFormat="1" x14ac:dyDescent="0.2">
      <c r="A31" s="588">
        <v>7</v>
      </c>
      <c r="B31" s="587" t="s">
        <v>760</v>
      </c>
      <c r="C31" s="590">
        <v>6834430</v>
      </c>
      <c r="D31" s="594">
        <v>5095393</v>
      </c>
      <c r="E31" s="590">
        <f t="shared" si="1"/>
        <v>-1739037</v>
      </c>
    </row>
    <row r="32" spans="1:5" s="421" customFormat="1" x14ac:dyDescent="0.2">
      <c r="A32" s="588"/>
      <c r="B32" s="592" t="s">
        <v>782</v>
      </c>
      <c r="C32" s="593">
        <f>SUM(C26+C27+C30)</f>
        <v>189139803</v>
      </c>
      <c r="D32" s="593">
        <f>SUM(D26+D27+D30)</f>
        <v>201449132</v>
      </c>
      <c r="E32" s="593">
        <f t="shared" si="1"/>
        <v>12309329</v>
      </c>
    </row>
    <row r="33" spans="1:5" s="421" customFormat="1" x14ac:dyDescent="0.2">
      <c r="A33" s="588"/>
      <c r="B33" s="592" t="s">
        <v>467</v>
      </c>
      <c r="C33" s="593">
        <f>SUM(C25+C32)</f>
        <v>317037529</v>
      </c>
      <c r="D33" s="593">
        <f>SUM(D25+D32)</f>
        <v>324189189</v>
      </c>
      <c r="E33" s="593">
        <f t="shared" si="1"/>
        <v>7151660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180790784</v>
      </c>
      <c r="D36" s="590">
        <f t="shared" si="2"/>
        <v>175401432</v>
      </c>
      <c r="E36" s="590">
        <f t="shared" ref="E36:E44" si="3">D36-C36</f>
        <v>-5389352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243077198</v>
      </c>
      <c r="D37" s="590">
        <f t="shared" si="2"/>
        <v>253109035</v>
      </c>
      <c r="E37" s="590">
        <f t="shared" si="3"/>
        <v>10031837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118691104</v>
      </c>
      <c r="D38" s="590">
        <f t="shared" si="2"/>
        <v>120192398</v>
      </c>
      <c r="E38" s="590">
        <f t="shared" si="3"/>
        <v>1501294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118691104</v>
      </c>
      <c r="D39" s="590">
        <f t="shared" si="2"/>
        <v>120192398</v>
      </c>
      <c r="E39" s="590">
        <f t="shared" si="3"/>
        <v>1501294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870438</v>
      </c>
      <c r="D41" s="590">
        <f t="shared" si="2"/>
        <v>824374</v>
      </c>
      <c r="E41" s="590">
        <f t="shared" si="3"/>
        <v>-46064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9410681</v>
      </c>
      <c r="D42" s="590">
        <f t="shared" si="2"/>
        <v>7019518</v>
      </c>
      <c r="E42" s="590">
        <f t="shared" si="3"/>
        <v>-2391163</v>
      </c>
    </row>
    <row r="43" spans="1:5" s="421" customFormat="1" x14ac:dyDescent="0.2">
      <c r="A43" s="588"/>
      <c r="B43" s="592" t="s">
        <v>790</v>
      </c>
      <c r="C43" s="593">
        <f>SUM(C37+C38+C41)</f>
        <v>362638740</v>
      </c>
      <c r="D43" s="593">
        <f>SUM(D37+D38+D41)</f>
        <v>374125807</v>
      </c>
      <c r="E43" s="593">
        <f t="shared" si="3"/>
        <v>11487067</v>
      </c>
    </row>
    <row r="44" spans="1:5" s="421" customFormat="1" x14ac:dyDescent="0.2">
      <c r="A44" s="588"/>
      <c r="B44" s="592" t="s">
        <v>727</v>
      </c>
      <c r="C44" s="593">
        <f>SUM(C36+C43)</f>
        <v>543429524</v>
      </c>
      <c r="D44" s="593">
        <f>SUM(D36+D43)</f>
        <v>549527239</v>
      </c>
      <c r="E44" s="593">
        <f t="shared" si="3"/>
        <v>6097715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33452829</v>
      </c>
      <c r="D47" s="589">
        <v>33453279</v>
      </c>
      <c r="E47" s="590">
        <f t="shared" ref="E47:E55" si="4">D47-C47</f>
        <v>450</v>
      </c>
    </row>
    <row r="48" spans="1:5" s="421" customFormat="1" x14ac:dyDescent="0.2">
      <c r="A48" s="588">
        <v>2</v>
      </c>
      <c r="B48" s="587" t="s">
        <v>637</v>
      </c>
      <c r="C48" s="589">
        <v>51842983</v>
      </c>
      <c r="D48" s="591">
        <v>51987326</v>
      </c>
      <c r="E48" s="590">
        <f t="shared" si="4"/>
        <v>144343</v>
      </c>
    </row>
    <row r="49" spans="1:5" s="421" customFormat="1" x14ac:dyDescent="0.2">
      <c r="A49" s="588">
        <v>3</v>
      </c>
      <c r="B49" s="587" t="s">
        <v>779</v>
      </c>
      <c r="C49" s="589">
        <v>12188046</v>
      </c>
      <c r="D49" s="591">
        <v>10521691</v>
      </c>
      <c r="E49" s="590">
        <f t="shared" si="4"/>
        <v>-1666355</v>
      </c>
    </row>
    <row r="50" spans="1:5" s="421" customFormat="1" x14ac:dyDescent="0.2">
      <c r="A50" s="588">
        <v>4</v>
      </c>
      <c r="B50" s="587" t="s">
        <v>115</v>
      </c>
      <c r="C50" s="589">
        <v>12188046</v>
      </c>
      <c r="D50" s="591">
        <v>10521691</v>
      </c>
      <c r="E50" s="590">
        <f t="shared" si="4"/>
        <v>-1666355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21397</v>
      </c>
      <c r="D52" s="591">
        <v>63289</v>
      </c>
      <c r="E52" s="590">
        <f t="shared" si="4"/>
        <v>41892</v>
      </c>
    </row>
    <row r="53" spans="1:5" s="421" customFormat="1" x14ac:dyDescent="0.2">
      <c r="A53" s="588">
        <v>7</v>
      </c>
      <c r="B53" s="587" t="s">
        <v>760</v>
      </c>
      <c r="C53" s="589">
        <v>1035766</v>
      </c>
      <c r="D53" s="591">
        <v>852594</v>
      </c>
      <c r="E53" s="590">
        <f t="shared" si="4"/>
        <v>-183172</v>
      </c>
    </row>
    <row r="54" spans="1:5" s="421" customFormat="1" x14ac:dyDescent="0.2">
      <c r="A54" s="588"/>
      <c r="B54" s="592" t="s">
        <v>792</v>
      </c>
      <c r="C54" s="593">
        <f>SUM(C48+C49+C52)</f>
        <v>64052426</v>
      </c>
      <c r="D54" s="593">
        <f>SUM(D48+D49+D52)</f>
        <v>62572306</v>
      </c>
      <c r="E54" s="593">
        <f t="shared" si="4"/>
        <v>-1480120</v>
      </c>
    </row>
    <row r="55" spans="1:5" s="421" customFormat="1" x14ac:dyDescent="0.2">
      <c r="A55" s="588"/>
      <c r="B55" s="592" t="s">
        <v>466</v>
      </c>
      <c r="C55" s="593">
        <f>SUM(C47+C54)</f>
        <v>97505255</v>
      </c>
      <c r="D55" s="593">
        <f>SUM(D47+D54)</f>
        <v>96025585</v>
      </c>
      <c r="E55" s="593">
        <f t="shared" si="4"/>
        <v>-1479670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82851058</v>
      </c>
      <c r="D58" s="589">
        <v>79442930</v>
      </c>
      <c r="E58" s="590">
        <f t="shared" ref="E58:E66" si="5">D58-C58</f>
        <v>-3408128</v>
      </c>
    </row>
    <row r="59" spans="1:5" s="421" customFormat="1" x14ac:dyDescent="0.2">
      <c r="A59" s="588">
        <v>2</v>
      </c>
      <c r="B59" s="587" t="s">
        <v>637</v>
      </c>
      <c r="C59" s="589">
        <v>29672851</v>
      </c>
      <c r="D59" s="591">
        <v>31785235</v>
      </c>
      <c r="E59" s="590">
        <f t="shared" si="5"/>
        <v>2112384</v>
      </c>
    </row>
    <row r="60" spans="1:5" s="421" customFormat="1" x14ac:dyDescent="0.2">
      <c r="A60" s="588">
        <v>3</v>
      </c>
      <c r="B60" s="587" t="s">
        <v>779</v>
      </c>
      <c r="C60" s="589">
        <f>C61+C62</f>
        <v>17449662</v>
      </c>
      <c r="D60" s="591">
        <f>D61+D62</f>
        <v>15941006</v>
      </c>
      <c r="E60" s="590">
        <f t="shared" si="5"/>
        <v>-1508656</v>
      </c>
    </row>
    <row r="61" spans="1:5" s="421" customFormat="1" x14ac:dyDescent="0.2">
      <c r="A61" s="588">
        <v>4</v>
      </c>
      <c r="B61" s="587" t="s">
        <v>115</v>
      </c>
      <c r="C61" s="589">
        <v>17449662</v>
      </c>
      <c r="D61" s="591">
        <v>15941006</v>
      </c>
      <c r="E61" s="590">
        <f t="shared" si="5"/>
        <v>-1508656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153431</v>
      </c>
      <c r="D63" s="591">
        <v>150643</v>
      </c>
      <c r="E63" s="590">
        <f t="shared" si="5"/>
        <v>-2788</v>
      </c>
    </row>
    <row r="64" spans="1:5" s="421" customFormat="1" x14ac:dyDescent="0.2">
      <c r="A64" s="588">
        <v>7</v>
      </c>
      <c r="B64" s="587" t="s">
        <v>760</v>
      </c>
      <c r="C64" s="589">
        <v>1001844</v>
      </c>
      <c r="D64" s="591">
        <v>1185018</v>
      </c>
      <c r="E64" s="590">
        <f t="shared" si="5"/>
        <v>183174</v>
      </c>
    </row>
    <row r="65" spans="1:5" s="421" customFormat="1" x14ac:dyDescent="0.2">
      <c r="A65" s="588"/>
      <c r="B65" s="592" t="s">
        <v>794</v>
      </c>
      <c r="C65" s="593">
        <f>SUM(C59+C60+C63)</f>
        <v>47275944</v>
      </c>
      <c r="D65" s="593">
        <f>SUM(D59+D60+D63)</f>
        <v>47876884</v>
      </c>
      <c r="E65" s="593">
        <f t="shared" si="5"/>
        <v>600940</v>
      </c>
    </row>
    <row r="66" spans="1:5" s="421" customFormat="1" x14ac:dyDescent="0.2">
      <c r="A66" s="588"/>
      <c r="B66" s="592" t="s">
        <v>468</v>
      </c>
      <c r="C66" s="593">
        <f>SUM(C58+C65)</f>
        <v>130127002</v>
      </c>
      <c r="D66" s="593">
        <f>SUM(D58+D65)</f>
        <v>127319814</v>
      </c>
      <c r="E66" s="593">
        <f t="shared" si="5"/>
        <v>-2807188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116303887</v>
      </c>
      <c r="D69" s="590">
        <f t="shared" si="6"/>
        <v>112896209</v>
      </c>
      <c r="E69" s="590">
        <f t="shared" ref="E69:E77" si="7">D69-C69</f>
        <v>-3407678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81515834</v>
      </c>
      <c r="D70" s="590">
        <f t="shared" si="6"/>
        <v>83772561</v>
      </c>
      <c r="E70" s="590">
        <f t="shared" si="7"/>
        <v>2256727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29637708</v>
      </c>
      <c r="D71" s="590">
        <f t="shared" si="6"/>
        <v>26462697</v>
      </c>
      <c r="E71" s="590">
        <f t="shared" si="7"/>
        <v>-3175011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29637708</v>
      </c>
      <c r="D72" s="590">
        <f t="shared" si="6"/>
        <v>26462697</v>
      </c>
      <c r="E72" s="590">
        <f t="shared" si="7"/>
        <v>-3175011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174828</v>
      </c>
      <c r="D74" s="590">
        <f t="shared" si="6"/>
        <v>213932</v>
      </c>
      <c r="E74" s="590">
        <f t="shared" si="7"/>
        <v>39104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2037610</v>
      </c>
      <c r="D75" s="590">
        <f t="shared" si="6"/>
        <v>2037612</v>
      </c>
      <c r="E75" s="590">
        <f t="shared" si="7"/>
        <v>2</v>
      </c>
    </row>
    <row r="76" spans="1:5" s="421" customFormat="1" x14ac:dyDescent="0.2">
      <c r="A76" s="588"/>
      <c r="B76" s="592" t="s">
        <v>795</v>
      </c>
      <c r="C76" s="593">
        <f>SUM(C70+C71+C74)</f>
        <v>111328370</v>
      </c>
      <c r="D76" s="593">
        <f>SUM(D70+D71+D74)</f>
        <v>110449190</v>
      </c>
      <c r="E76" s="593">
        <f t="shared" si="7"/>
        <v>-879180</v>
      </c>
    </row>
    <row r="77" spans="1:5" s="421" customFormat="1" x14ac:dyDescent="0.2">
      <c r="A77" s="588"/>
      <c r="B77" s="592" t="s">
        <v>728</v>
      </c>
      <c r="C77" s="593">
        <f>SUM(C69+C76)</f>
        <v>227632257</v>
      </c>
      <c r="D77" s="593">
        <f>SUM(D69+D76)</f>
        <v>223345399</v>
      </c>
      <c r="E77" s="593">
        <f t="shared" si="7"/>
        <v>-4286858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9.7331955044827487E-2</v>
      </c>
      <c r="D83" s="599">
        <f t="shared" si="8"/>
        <v>9.5830326984027811E-2</v>
      </c>
      <c r="E83" s="599">
        <f t="shared" ref="E83:E91" si="9">D83-C83</f>
        <v>-1.5016280607996757E-3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0.24505197108135038</v>
      </c>
      <c r="D84" s="599">
        <f t="shared" si="8"/>
        <v>0.24553797960140789</v>
      </c>
      <c r="E84" s="599">
        <f t="shared" si="9"/>
        <v>4.8600852005750705E-4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7.4018667046143044E-2</v>
      </c>
      <c r="D85" s="599">
        <f t="shared" si="8"/>
        <v>6.8245910918348487E-2</v>
      </c>
      <c r="E85" s="599">
        <f t="shared" si="9"/>
        <v>-5.7727561277945566E-3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7.4018667046143044E-2</v>
      </c>
      <c r="D86" s="599">
        <f t="shared" si="8"/>
        <v>6.8245910918348487E-2</v>
      </c>
      <c r="E86" s="599">
        <f t="shared" si="9"/>
        <v>-5.7727561277945566E-3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1.9603645973419729E-4</v>
      </c>
      <c r="D88" s="599">
        <f t="shared" si="8"/>
        <v>4.4379965667179603E-4</v>
      </c>
      <c r="E88" s="599">
        <f t="shared" si="9"/>
        <v>2.4776319693759874E-4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4.7407269686731267E-3</v>
      </c>
      <c r="D89" s="599">
        <f t="shared" si="8"/>
        <v>3.5014187895424779E-3</v>
      </c>
      <c r="E89" s="599">
        <f t="shared" si="9"/>
        <v>-1.2393081791306488E-3</v>
      </c>
    </row>
    <row r="90" spans="1:5" s="421" customFormat="1" x14ac:dyDescent="0.2">
      <c r="A90" s="588"/>
      <c r="B90" s="592" t="s">
        <v>798</v>
      </c>
      <c r="C90" s="600">
        <f>SUM(C84+C85+C88)</f>
        <v>0.31926667458722763</v>
      </c>
      <c r="D90" s="600">
        <f>SUM(D84+D85+D88)</f>
        <v>0.31422769017642815</v>
      </c>
      <c r="E90" s="601">
        <f t="shared" si="9"/>
        <v>-5.0389844107994741E-3</v>
      </c>
    </row>
    <row r="91" spans="1:5" s="421" customFormat="1" x14ac:dyDescent="0.2">
      <c r="A91" s="588"/>
      <c r="B91" s="592" t="s">
        <v>799</v>
      </c>
      <c r="C91" s="600">
        <f>SUM(C83+C90)</f>
        <v>0.41659862963205513</v>
      </c>
      <c r="D91" s="600">
        <f>SUM(D83+D90)</f>
        <v>0.41005801716045598</v>
      </c>
      <c r="E91" s="601">
        <f t="shared" si="9"/>
        <v>-6.5406124715991498E-3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0.23535292131091501</v>
      </c>
      <c r="D95" s="599">
        <f t="shared" si="10"/>
        <v>0.22335572886861027</v>
      </c>
      <c r="E95" s="599">
        <f t="shared" ref="E95:E103" si="11">D95-C95</f>
        <v>-1.1997192442304738E-2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0.20225018543526907</v>
      </c>
      <c r="D96" s="599">
        <f t="shared" si="10"/>
        <v>0.21505617667844124</v>
      </c>
      <c r="E96" s="599">
        <f t="shared" si="11"/>
        <v>1.2805991243172166E-2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0.14439255052325792</v>
      </c>
      <c r="D97" s="599">
        <f t="shared" si="10"/>
        <v>0.15047372565275149</v>
      </c>
      <c r="E97" s="599">
        <f t="shared" si="11"/>
        <v>6.0811751294935767E-3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0.14439255052325792</v>
      </c>
      <c r="D98" s="599">
        <f t="shared" si="10"/>
        <v>0.15047372565275149</v>
      </c>
      <c r="E98" s="599">
        <f t="shared" si="11"/>
        <v>6.0811751294935767E-3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1.4057130985029073E-3</v>
      </c>
      <c r="D100" s="599">
        <f t="shared" si="10"/>
        <v>1.0563516397410102E-3</v>
      </c>
      <c r="E100" s="599">
        <f t="shared" si="11"/>
        <v>-3.4936145876189703E-4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1.2576479006319134E-2</v>
      </c>
      <c r="D101" s="599">
        <f t="shared" si="10"/>
        <v>9.2723210759712675E-3</v>
      </c>
      <c r="E101" s="599">
        <f t="shared" si="11"/>
        <v>-3.3041579303478667E-3</v>
      </c>
    </row>
    <row r="102" spans="1:5" s="421" customFormat="1" x14ac:dyDescent="0.2">
      <c r="A102" s="588"/>
      <c r="B102" s="592" t="s">
        <v>801</v>
      </c>
      <c r="C102" s="600">
        <f>SUM(C96+C97+C100)</f>
        <v>0.34804844905702992</v>
      </c>
      <c r="D102" s="600">
        <f>SUM(D96+D97+D100)</f>
        <v>0.36658625397093375</v>
      </c>
      <c r="E102" s="601">
        <f t="shared" si="11"/>
        <v>1.8537804913903833E-2</v>
      </c>
    </row>
    <row r="103" spans="1:5" s="421" customFormat="1" x14ac:dyDescent="0.2">
      <c r="A103" s="588"/>
      <c r="B103" s="592" t="s">
        <v>802</v>
      </c>
      <c r="C103" s="600">
        <f>SUM(C95+C102)</f>
        <v>0.58340137036794493</v>
      </c>
      <c r="D103" s="600">
        <f>SUM(D95+D102)</f>
        <v>0.58994198283954402</v>
      </c>
      <c r="E103" s="601">
        <f t="shared" si="11"/>
        <v>6.5406124715990943E-3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0.14695996710167489</v>
      </c>
      <c r="D109" s="599">
        <f t="shared" si="12"/>
        <v>0.14978270942577152</v>
      </c>
      <c r="E109" s="599">
        <f t="shared" ref="E109:E117" si="13">D109-C109</f>
        <v>2.8227423240966276E-3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0.22774884229171438</v>
      </c>
      <c r="D110" s="599">
        <f t="shared" si="12"/>
        <v>0.23276649634497285</v>
      </c>
      <c r="E110" s="599">
        <f t="shared" si="13"/>
        <v>5.0176540532584635E-3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5.3542701551300788E-2</v>
      </c>
      <c r="D111" s="599">
        <f t="shared" si="12"/>
        <v>4.7109504145191723E-2</v>
      </c>
      <c r="E111" s="599">
        <f t="shared" si="13"/>
        <v>-6.4331974061090647E-3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5.3542701551300788E-2</v>
      </c>
      <c r="D112" s="599">
        <f t="shared" si="12"/>
        <v>4.7109504145191723E-2</v>
      </c>
      <c r="E112" s="599">
        <f t="shared" si="13"/>
        <v>-6.4331974061090647E-3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9.399810150808284E-5</v>
      </c>
      <c r="D114" s="599">
        <f t="shared" si="12"/>
        <v>2.8336827301286827E-4</v>
      </c>
      <c r="E114" s="599">
        <f t="shared" si="13"/>
        <v>1.8937017150478543E-4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4.5501723422265239E-3</v>
      </c>
      <c r="D115" s="599">
        <f t="shared" si="12"/>
        <v>3.8173788393106767E-3</v>
      </c>
      <c r="E115" s="599">
        <f t="shared" si="13"/>
        <v>-7.3279350291584723E-4</v>
      </c>
    </row>
    <row r="116" spans="1:5" s="421" customFormat="1" x14ac:dyDescent="0.2">
      <c r="A116" s="588"/>
      <c r="B116" s="592" t="s">
        <v>798</v>
      </c>
      <c r="C116" s="600">
        <f>SUM(C110+C111+C114)</f>
        <v>0.28138554194452325</v>
      </c>
      <c r="D116" s="600">
        <f>SUM(D110+D111+D114)</f>
        <v>0.28015936876317743</v>
      </c>
      <c r="E116" s="601">
        <f t="shared" si="13"/>
        <v>-1.2261731813458243E-3</v>
      </c>
    </row>
    <row r="117" spans="1:5" s="421" customFormat="1" x14ac:dyDescent="0.2">
      <c r="A117" s="588"/>
      <c r="B117" s="592" t="s">
        <v>799</v>
      </c>
      <c r="C117" s="600">
        <f>SUM(C109+C116)</f>
        <v>0.42834550904619817</v>
      </c>
      <c r="D117" s="600">
        <f>SUM(D109+D116)</f>
        <v>0.42994207818894892</v>
      </c>
      <c r="E117" s="601">
        <f t="shared" si="13"/>
        <v>1.5965691427507478E-3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0.36396888161593022</v>
      </c>
      <c r="D121" s="599">
        <f t="shared" si="14"/>
        <v>0.35569539536384182</v>
      </c>
      <c r="E121" s="599">
        <f t="shared" ref="E121:E129" si="15">D121-C121</f>
        <v>-8.2734862520884023E-3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0.13035433286592593</v>
      </c>
      <c r="D122" s="599">
        <f t="shared" si="14"/>
        <v>0.14231425918023949</v>
      </c>
      <c r="E122" s="599">
        <f t="shared" si="15"/>
        <v>1.1959926314313557E-2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7.6657246340970028E-2</v>
      </c>
      <c r="D123" s="599">
        <f t="shared" si="14"/>
        <v>7.1373782810721792E-2</v>
      </c>
      <c r="E123" s="599">
        <f t="shared" si="15"/>
        <v>-5.2834635302482363E-3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7.6657246340970028E-2</v>
      </c>
      <c r="D124" s="599">
        <f t="shared" si="14"/>
        <v>7.1373782810721792E-2</v>
      </c>
      <c r="E124" s="599">
        <f t="shared" si="15"/>
        <v>-5.2834635302482363E-3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6.7403013097568152E-4</v>
      </c>
      <c r="D126" s="599">
        <f t="shared" si="14"/>
        <v>6.7448445624796599E-4</v>
      </c>
      <c r="E126" s="599">
        <f t="shared" si="15"/>
        <v>4.5432527228446862E-7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4.4011512832295993E-3</v>
      </c>
      <c r="D127" s="599">
        <f t="shared" si="14"/>
        <v>5.305764100383371E-3</v>
      </c>
      <c r="E127" s="599">
        <f t="shared" si="15"/>
        <v>9.0461281715377168E-4</v>
      </c>
    </row>
    <row r="128" spans="1:5" s="421" customFormat="1" x14ac:dyDescent="0.2">
      <c r="A128" s="588"/>
      <c r="B128" s="592" t="s">
        <v>801</v>
      </c>
      <c r="C128" s="600">
        <f>SUM(C122+C123+C126)</f>
        <v>0.20768560933787164</v>
      </c>
      <c r="D128" s="600">
        <f>SUM(D122+D123+D126)</f>
        <v>0.21436252644720924</v>
      </c>
      <c r="E128" s="601">
        <f t="shared" si="15"/>
        <v>6.676917109337599E-3</v>
      </c>
    </row>
    <row r="129" spans="1:5" s="421" customFormat="1" x14ac:dyDescent="0.2">
      <c r="A129" s="588"/>
      <c r="B129" s="592" t="s">
        <v>802</v>
      </c>
      <c r="C129" s="600">
        <f>SUM(C121+C128)</f>
        <v>0.57165449095380183</v>
      </c>
      <c r="D129" s="600">
        <f>SUM(D121+D128)</f>
        <v>0.57005792181105108</v>
      </c>
      <c r="E129" s="601">
        <f t="shared" si="15"/>
        <v>-1.5965691427507478E-3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2607</v>
      </c>
      <c r="D137" s="606">
        <v>2446</v>
      </c>
      <c r="E137" s="607">
        <f t="shared" ref="E137:E145" si="16">D137-C137</f>
        <v>-161</v>
      </c>
    </row>
    <row r="138" spans="1:5" s="421" customFormat="1" x14ac:dyDescent="0.2">
      <c r="A138" s="588">
        <v>2</v>
      </c>
      <c r="B138" s="587" t="s">
        <v>637</v>
      </c>
      <c r="C138" s="606">
        <v>4483</v>
      </c>
      <c r="D138" s="606">
        <v>4604</v>
      </c>
      <c r="E138" s="607">
        <f t="shared" si="16"/>
        <v>121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2182</v>
      </c>
      <c r="D139" s="606">
        <f>D140+D141</f>
        <v>2137</v>
      </c>
      <c r="E139" s="607">
        <f t="shared" si="16"/>
        <v>-45</v>
      </c>
    </row>
    <row r="140" spans="1:5" s="421" customFormat="1" x14ac:dyDescent="0.2">
      <c r="A140" s="588">
        <v>4</v>
      </c>
      <c r="B140" s="587" t="s">
        <v>115</v>
      </c>
      <c r="C140" s="606">
        <v>2182</v>
      </c>
      <c r="D140" s="606">
        <v>2137</v>
      </c>
      <c r="E140" s="607">
        <f t="shared" si="16"/>
        <v>-45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12</v>
      </c>
      <c r="D142" s="606">
        <v>21</v>
      </c>
      <c r="E142" s="607">
        <f t="shared" si="16"/>
        <v>9</v>
      </c>
    </row>
    <row r="143" spans="1:5" s="421" customFormat="1" x14ac:dyDescent="0.2">
      <c r="A143" s="588">
        <v>7</v>
      </c>
      <c r="B143" s="587" t="s">
        <v>760</v>
      </c>
      <c r="C143" s="606">
        <v>127</v>
      </c>
      <c r="D143" s="606">
        <v>96</v>
      </c>
      <c r="E143" s="607">
        <f t="shared" si="16"/>
        <v>-31</v>
      </c>
    </row>
    <row r="144" spans="1:5" s="421" customFormat="1" x14ac:dyDescent="0.2">
      <c r="A144" s="588"/>
      <c r="B144" s="592" t="s">
        <v>809</v>
      </c>
      <c r="C144" s="608">
        <f>SUM(C138+C139+C142)</f>
        <v>6677</v>
      </c>
      <c r="D144" s="608">
        <f>SUM(D138+D139+D142)</f>
        <v>6762</v>
      </c>
      <c r="E144" s="609">
        <f t="shared" si="16"/>
        <v>85</v>
      </c>
    </row>
    <row r="145" spans="1:5" s="421" customFormat="1" x14ac:dyDescent="0.2">
      <c r="A145" s="588"/>
      <c r="B145" s="592" t="s">
        <v>138</v>
      </c>
      <c r="C145" s="608">
        <f>SUM(C137+C144)</f>
        <v>9284</v>
      </c>
      <c r="D145" s="608">
        <f>SUM(D137+D144)</f>
        <v>9208</v>
      </c>
      <c r="E145" s="609">
        <f t="shared" si="16"/>
        <v>-76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8667</v>
      </c>
      <c r="D149" s="610">
        <v>7859</v>
      </c>
      <c r="E149" s="607">
        <f t="shared" ref="E149:E157" si="17">D149-C149</f>
        <v>-808</v>
      </c>
    </row>
    <row r="150" spans="1:5" s="421" customFormat="1" x14ac:dyDescent="0.2">
      <c r="A150" s="588">
        <v>2</v>
      </c>
      <c r="B150" s="587" t="s">
        <v>637</v>
      </c>
      <c r="C150" s="610">
        <v>22600</v>
      </c>
      <c r="D150" s="610">
        <v>22113</v>
      </c>
      <c r="E150" s="607">
        <f t="shared" si="17"/>
        <v>-487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8199</v>
      </c>
      <c r="D151" s="610">
        <f>D152+D153</f>
        <v>7226</v>
      </c>
      <c r="E151" s="607">
        <f t="shared" si="17"/>
        <v>-973</v>
      </c>
    </row>
    <row r="152" spans="1:5" s="421" customFormat="1" x14ac:dyDescent="0.2">
      <c r="A152" s="588">
        <v>4</v>
      </c>
      <c r="B152" s="587" t="s">
        <v>115</v>
      </c>
      <c r="C152" s="610">
        <v>8199</v>
      </c>
      <c r="D152" s="610">
        <v>7226</v>
      </c>
      <c r="E152" s="607">
        <f t="shared" si="17"/>
        <v>-973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26</v>
      </c>
      <c r="D154" s="610">
        <v>60</v>
      </c>
      <c r="E154" s="607">
        <f t="shared" si="17"/>
        <v>34</v>
      </c>
    </row>
    <row r="155" spans="1:5" s="421" customFormat="1" x14ac:dyDescent="0.2">
      <c r="A155" s="588">
        <v>7</v>
      </c>
      <c r="B155" s="587" t="s">
        <v>760</v>
      </c>
      <c r="C155" s="610">
        <v>662</v>
      </c>
      <c r="D155" s="610">
        <v>586</v>
      </c>
      <c r="E155" s="607">
        <f t="shared" si="17"/>
        <v>-76</v>
      </c>
    </row>
    <row r="156" spans="1:5" s="421" customFormat="1" x14ac:dyDescent="0.2">
      <c r="A156" s="588"/>
      <c r="B156" s="592" t="s">
        <v>810</v>
      </c>
      <c r="C156" s="608">
        <f>SUM(C150+C151+C154)</f>
        <v>30825</v>
      </c>
      <c r="D156" s="608">
        <f>SUM(D150+D151+D154)</f>
        <v>29399</v>
      </c>
      <c r="E156" s="609">
        <f t="shared" si="17"/>
        <v>-1426</v>
      </c>
    </row>
    <row r="157" spans="1:5" s="421" customFormat="1" x14ac:dyDescent="0.2">
      <c r="A157" s="588"/>
      <c r="B157" s="592" t="s">
        <v>140</v>
      </c>
      <c r="C157" s="608">
        <f>SUM(C149+C156)</f>
        <v>39492</v>
      </c>
      <c r="D157" s="608">
        <f>SUM(D149+D156)</f>
        <v>37258</v>
      </c>
      <c r="E157" s="609">
        <f t="shared" si="17"/>
        <v>-2234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3.324510932105869</v>
      </c>
      <c r="D161" s="612">
        <f t="shared" si="18"/>
        <v>3.2130008176614879</v>
      </c>
      <c r="E161" s="613">
        <f t="shared" ref="E161:E169" si="19">D161-C161</f>
        <v>-0.11151011444438108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5.0412670086995313</v>
      </c>
      <c r="D162" s="612">
        <f t="shared" si="18"/>
        <v>4.8029973935708083</v>
      </c>
      <c r="E162" s="613">
        <f t="shared" si="19"/>
        <v>-0.23826961512872291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3.7575618698441797</v>
      </c>
      <c r="D163" s="612">
        <f t="shared" si="18"/>
        <v>3.3813757604117924</v>
      </c>
      <c r="E163" s="613">
        <f t="shared" si="19"/>
        <v>-0.37618610943238728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3.7575618698441797</v>
      </c>
      <c r="D164" s="612">
        <f t="shared" si="18"/>
        <v>3.3813757604117924</v>
      </c>
      <c r="E164" s="613">
        <f t="shared" si="19"/>
        <v>-0.37618610943238728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2.1666666666666665</v>
      </c>
      <c r="D166" s="612">
        <f t="shared" si="18"/>
        <v>2.8571428571428572</v>
      </c>
      <c r="E166" s="613">
        <f t="shared" si="19"/>
        <v>0.69047619047619069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5.21259842519685</v>
      </c>
      <c r="D167" s="612">
        <f t="shared" si="18"/>
        <v>6.104166666666667</v>
      </c>
      <c r="E167" s="613">
        <f t="shared" si="19"/>
        <v>0.89156824146981695</v>
      </c>
    </row>
    <row r="168" spans="1:5" s="421" customFormat="1" x14ac:dyDescent="0.2">
      <c r="A168" s="588"/>
      <c r="B168" s="592" t="s">
        <v>812</v>
      </c>
      <c r="C168" s="614">
        <f t="shared" si="18"/>
        <v>4.6165942788677548</v>
      </c>
      <c r="D168" s="614">
        <f t="shared" si="18"/>
        <v>4.3476782017154685</v>
      </c>
      <c r="E168" s="615">
        <f t="shared" si="19"/>
        <v>-0.26891607715228627</v>
      </c>
    </row>
    <row r="169" spans="1:5" s="421" customFormat="1" x14ac:dyDescent="0.2">
      <c r="A169" s="588"/>
      <c r="B169" s="592" t="s">
        <v>746</v>
      </c>
      <c r="C169" s="614">
        <f t="shared" si="18"/>
        <v>4.2537699267557088</v>
      </c>
      <c r="D169" s="614">
        <f t="shared" si="18"/>
        <v>4.0462641181581231</v>
      </c>
      <c r="E169" s="615">
        <f t="shared" si="19"/>
        <v>-0.20750580859758561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1.1429499999999999</v>
      </c>
      <c r="D173" s="617">
        <f t="shared" si="20"/>
        <v>1.1702399999999999</v>
      </c>
      <c r="E173" s="618">
        <f t="shared" ref="E173:E181" si="21">D173-C173</f>
        <v>2.7290000000000036E-2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1.59467</v>
      </c>
      <c r="D174" s="617">
        <f t="shared" si="20"/>
        <v>1.52983</v>
      </c>
      <c r="E174" s="618">
        <f t="shared" si="21"/>
        <v>-6.4840000000000009E-2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0.99991000000000008</v>
      </c>
      <c r="D175" s="617">
        <f t="shared" si="20"/>
        <v>1.00499</v>
      </c>
      <c r="E175" s="618">
        <f t="shared" si="21"/>
        <v>5.0799999999999734E-3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0.99991000000000008</v>
      </c>
      <c r="D176" s="617">
        <f t="shared" si="20"/>
        <v>1.00499</v>
      </c>
      <c r="E176" s="618">
        <f t="shared" si="21"/>
        <v>5.0799999999999734E-3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0.55530000000000002</v>
      </c>
      <c r="D178" s="617">
        <f t="shared" si="20"/>
        <v>0.78796999999999984</v>
      </c>
      <c r="E178" s="618">
        <f t="shared" si="21"/>
        <v>0.23266999999999982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0.34031</v>
      </c>
      <c r="D179" s="617">
        <f t="shared" si="20"/>
        <v>0.94140999999999997</v>
      </c>
      <c r="E179" s="618">
        <f t="shared" si="21"/>
        <v>0.60109999999999997</v>
      </c>
    </row>
    <row r="180" spans="1:5" s="421" customFormat="1" x14ac:dyDescent="0.2">
      <c r="A180" s="588"/>
      <c r="B180" s="592" t="s">
        <v>814</v>
      </c>
      <c r="C180" s="619">
        <f t="shared" si="20"/>
        <v>1.398438345065149</v>
      </c>
      <c r="D180" s="619">
        <f t="shared" si="20"/>
        <v>1.3616605028098199</v>
      </c>
      <c r="E180" s="620">
        <f t="shared" si="21"/>
        <v>-3.6777842255329096E-2</v>
      </c>
    </row>
    <row r="181" spans="1:5" s="421" customFormat="1" x14ac:dyDescent="0.2">
      <c r="A181" s="588"/>
      <c r="B181" s="592" t="s">
        <v>725</v>
      </c>
      <c r="C181" s="619">
        <f t="shared" si="20"/>
        <v>1.3266957647565705</v>
      </c>
      <c r="D181" s="619">
        <f t="shared" si="20"/>
        <v>1.3108118331885319</v>
      </c>
      <c r="E181" s="620">
        <f t="shared" si="21"/>
        <v>-1.5883931568038578E-2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180790784</v>
      </c>
      <c r="D185" s="589">
        <v>175401432</v>
      </c>
      <c r="E185" s="590">
        <f>D185-C185</f>
        <v>-5389352</v>
      </c>
    </row>
    <row r="186" spans="1:5" s="421" customFormat="1" ht="25.5" x14ac:dyDescent="0.2">
      <c r="A186" s="588">
        <v>2</v>
      </c>
      <c r="B186" s="587" t="s">
        <v>817</v>
      </c>
      <c r="C186" s="589">
        <v>130814180</v>
      </c>
      <c r="D186" s="589">
        <v>123536229</v>
      </c>
      <c r="E186" s="590">
        <f>D186-C186</f>
        <v>-7277951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49976604</v>
      </c>
      <c r="D188" s="622">
        <f>+D185-D186</f>
        <v>51865203</v>
      </c>
      <c r="E188" s="590">
        <f t="shared" ref="E188:E197" si="22">D188-C188</f>
        <v>1888599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0.27643336067396002</v>
      </c>
      <c r="D189" s="623">
        <f>IF(D185=0,0,+D188/D185)</f>
        <v>0.29569429627005556</v>
      </c>
      <c r="E189" s="599">
        <f t="shared" si="22"/>
        <v>1.9260935596095541E-2</v>
      </c>
    </row>
    <row r="190" spans="1:5" s="421" customFormat="1" x14ac:dyDescent="0.2">
      <c r="A190" s="588">
        <v>5</v>
      </c>
      <c r="B190" s="587" t="s">
        <v>764</v>
      </c>
      <c r="C190" s="589">
        <v>3925009</v>
      </c>
      <c r="D190" s="589">
        <v>4095811</v>
      </c>
      <c r="E190" s="622">
        <f t="shared" si="22"/>
        <v>170802</v>
      </c>
    </row>
    <row r="191" spans="1:5" s="421" customFormat="1" x14ac:dyDescent="0.2">
      <c r="A191" s="588">
        <v>6</v>
      </c>
      <c r="B191" s="587" t="s">
        <v>750</v>
      </c>
      <c r="C191" s="589">
        <v>1594619</v>
      </c>
      <c r="D191" s="589">
        <v>1594619</v>
      </c>
      <c r="E191" s="622">
        <f t="shared" si="22"/>
        <v>0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8125010</v>
      </c>
      <c r="D193" s="589">
        <v>6216157</v>
      </c>
      <c r="E193" s="622">
        <f t="shared" si="22"/>
        <v>-1908853</v>
      </c>
    </row>
    <row r="194" spans="1:5" s="421" customFormat="1" x14ac:dyDescent="0.2">
      <c r="A194" s="588">
        <v>9</v>
      </c>
      <c r="B194" s="587" t="s">
        <v>820</v>
      </c>
      <c r="C194" s="589">
        <v>6385283</v>
      </c>
      <c r="D194" s="589">
        <v>4423863</v>
      </c>
      <c r="E194" s="622">
        <f t="shared" si="22"/>
        <v>-1961420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14510293</v>
      </c>
      <c r="D195" s="589">
        <f>+D193+D194</f>
        <v>10640020</v>
      </c>
      <c r="E195" s="625">
        <f t="shared" si="22"/>
        <v>-3870273</v>
      </c>
    </row>
    <row r="196" spans="1:5" s="421" customFormat="1" x14ac:dyDescent="0.2">
      <c r="A196" s="588">
        <v>11</v>
      </c>
      <c r="B196" s="587" t="s">
        <v>822</v>
      </c>
      <c r="C196" s="589">
        <v>8597041</v>
      </c>
      <c r="D196" s="589">
        <v>7100035</v>
      </c>
      <c r="E196" s="622">
        <f t="shared" si="22"/>
        <v>-1497006</v>
      </c>
    </row>
    <row r="197" spans="1:5" s="421" customFormat="1" x14ac:dyDescent="0.2">
      <c r="A197" s="588">
        <v>12</v>
      </c>
      <c r="B197" s="587" t="s">
        <v>712</v>
      </c>
      <c r="C197" s="589">
        <v>208792651</v>
      </c>
      <c r="D197" s="589">
        <v>203092473</v>
      </c>
      <c r="E197" s="622">
        <f t="shared" si="22"/>
        <v>-5700178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2979.6706499999996</v>
      </c>
      <c r="D203" s="629">
        <v>2862.4070400000001</v>
      </c>
      <c r="E203" s="630">
        <f t="shared" ref="E203:E211" si="23">D203-C203</f>
        <v>-117.26360999999952</v>
      </c>
    </row>
    <row r="204" spans="1:5" s="421" customFormat="1" x14ac:dyDescent="0.2">
      <c r="A204" s="588">
        <v>2</v>
      </c>
      <c r="B204" s="587" t="s">
        <v>637</v>
      </c>
      <c r="C204" s="629">
        <v>7148.9056099999998</v>
      </c>
      <c r="D204" s="629">
        <v>7043.3373200000005</v>
      </c>
      <c r="E204" s="630">
        <f t="shared" si="23"/>
        <v>-105.56828999999925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2181.8036200000001</v>
      </c>
      <c r="D205" s="629">
        <f>D206+D207</f>
        <v>2147.66363</v>
      </c>
      <c r="E205" s="630">
        <f t="shared" si="23"/>
        <v>-34.139990000000125</v>
      </c>
    </row>
    <row r="206" spans="1:5" s="421" customFormat="1" x14ac:dyDescent="0.2">
      <c r="A206" s="588">
        <v>4</v>
      </c>
      <c r="B206" s="587" t="s">
        <v>115</v>
      </c>
      <c r="C206" s="629">
        <v>2181.8036200000001</v>
      </c>
      <c r="D206" s="629">
        <v>2147.66363</v>
      </c>
      <c r="E206" s="630">
        <f t="shared" si="23"/>
        <v>-34.139990000000125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6.6636000000000006</v>
      </c>
      <c r="D208" s="629">
        <v>16.547369999999997</v>
      </c>
      <c r="E208" s="630">
        <f t="shared" si="23"/>
        <v>9.8837699999999966</v>
      </c>
    </row>
    <row r="209" spans="1:5" s="421" customFormat="1" x14ac:dyDescent="0.2">
      <c r="A209" s="588">
        <v>7</v>
      </c>
      <c r="B209" s="587" t="s">
        <v>760</v>
      </c>
      <c r="C209" s="629">
        <v>43.219369999999998</v>
      </c>
      <c r="D209" s="629">
        <v>90.375360000000001</v>
      </c>
      <c r="E209" s="630">
        <f t="shared" si="23"/>
        <v>47.155990000000003</v>
      </c>
    </row>
    <row r="210" spans="1:5" s="421" customFormat="1" x14ac:dyDescent="0.2">
      <c r="A210" s="588"/>
      <c r="B210" s="592" t="s">
        <v>825</v>
      </c>
      <c r="C210" s="631">
        <f>C204+C205+C208</f>
        <v>9337.3728300000002</v>
      </c>
      <c r="D210" s="631">
        <f>D204+D205+D208</f>
        <v>9207.5483200000017</v>
      </c>
      <c r="E210" s="632">
        <f t="shared" si="23"/>
        <v>-129.82450999999855</v>
      </c>
    </row>
    <row r="211" spans="1:5" s="421" customFormat="1" x14ac:dyDescent="0.2">
      <c r="A211" s="588"/>
      <c r="B211" s="592" t="s">
        <v>726</v>
      </c>
      <c r="C211" s="631">
        <f>C210+C203</f>
        <v>12317.04348</v>
      </c>
      <c r="D211" s="631">
        <f>D210+D203</f>
        <v>12069.955360000002</v>
      </c>
      <c r="E211" s="632">
        <f t="shared" si="23"/>
        <v>-247.08811999999853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6303.8399421338054</v>
      </c>
      <c r="D215" s="633">
        <f>IF(D14*D137=0,0,D25/D14*D137)</f>
        <v>5700.9939338272125</v>
      </c>
      <c r="E215" s="633">
        <f t="shared" ref="E215:E223" si="24">D215-C215</f>
        <v>-602.84600830659292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3699.9807726717545</v>
      </c>
      <c r="D216" s="633">
        <f>IF(D15*D138=0,0,D26/D15*D138)</f>
        <v>4032.4459744877131</v>
      </c>
      <c r="E216" s="633">
        <f t="shared" si="24"/>
        <v>332.46520181595861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4256.5552422787941</v>
      </c>
      <c r="D217" s="633">
        <f>D218+D219</f>
        <v>4711.818589463287</v>
      </c>
      <c r="E217" s="633">
        <f t="shared" si="24"/>
        <v>455.26334718449289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4256.5552422787941</v>
      </c>
      <c r="D218" s="633">
        <f t="shared" si="25"/>
        <v>4711.818589463287</v>
      </c>
      <c r="E218" s="633">
        <f t="shared" si="24"/>
        <v>455.26334718449289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86.048060676604209</v>
      </c>
      <c r="D220" s="633">
        <f t="shared" si="25"/>
        <v>49.985132032146957</v>
      </c>
      <c r="E220" s="633">
        <f t="shared" si="24"/>
        <v>-36.062928644457251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336.91306087799671</v>
      </c>
      <c r="D221" s="633">
        <f t="shared" si="25"/>
        <v>254.22346677061</v>
      </c>
      <c r="E221" s="633">
        <f t="shared" si="24"/>
        <v>-82.689594107386711</v>
      </c>
    </row>
    <row r="222" spans="1:5" s="421" customFormat="1" x14ac:dyDescent="0.2">
      <c r="A222" s="588"/>
      <c r="B222" s="592" t="s">
        <v>827</v>
      </c>
      <c r="C222" s="634">
        <f>C216+C218+C219+C220</f>
        <v>8042.5840756271527</v>
      </c>
      <c r="D222" s="634">
        <f>D216+D218+D219+D220</f>
        <v>8794.2496959831478</v>
      </c>
      <c r="E222" s="634">
        <f t="shared" si="24"/>
        <v>751.66562035599509</v>
      </c>
    </row>
    <row r="223" spans="1:5" s="421" customFormat="1" x14ac:dyDescent="0.2">
      <c r="A223" s="588"/>
      <c r="B223" s="592" t="s">
        <v>828</v>
      </c>
      <c r="C223" s="634">
        <f>C215+C222</f>
        <v>14346.424017760957</v>
      </c>
      <c r="D223" s="634">
        <f>D215+D222</f>
        <v>14495.24362981036</v>
      </c>
      <c r="E223" s="634">
        <f t="shared" si="24"/>
        <v>148.81961204940308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11227.022355641891</v>
      </c>
      <c r="D227" s="636">
        <f t="shared" si="26"/>
        <v>11687.114562155353</v>
      </c>
      <c r="E227" s="636">
        <f t="shared" ref="E227:E235" si="27">D227-C227</f>
        <v>460.09220651346186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7251.8768365721926</v>
      </c>
      <c r="D228" s="636">
        <f t="shared" si="26"/>
        <v>7381.0643503298797</v>
      </c>
      <c r="E228" s="636">
        <f t="shared" si="27"/>
        <v>129.18751375768716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5586.2250333969105</v>
      </c>
      <c r="D229" s="636">
        <f t="shared" si="26"/>
        <v>4899.1335761457203</v>
      </c>
      <c r="E229" s="636">
        <f t="shared" si="27"/>
        <v>-687.09145725119015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5586.2250333969105</v>
      </c>
      <c r="D230" s="636">
        <f t="shared" si="26"/>
        <v>4899.1335761457203</v>
      </c>
      <c r="E230" s="636">
        <f t="shared" si="27"/>
        <v>-687.09145725119015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3211.0270724533284</v>
      </c>
      <c r="D232" s="636">
        <f t="shared" si="26"/>
        <v>3824.7165561657234</v>
      </c>
      <c r="E232" s="636">
        <f t="shared" si="27"/>
        <v>613.68948371239503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23965.319253843823</v>
      </c>
      <c r="D233" s="636">
        <f t="shared" si="26"/>
        <v>9433.9209271199579</v>
      </c>
      <c r="E233" s="636">
        <f t="shared" si="27"/>
        <v>-14531.398326723865</v>
      </c>
    </row>
    <row r="234" spans="1:5" x14ac:dyDescent="0.2">
      <c r="A234" s="588"/>
      <c r="B234" s="592" t="s">
        <v>830</v>
      </c>
      <c r="C234" s="637">
        <f t="shared" si="26"/>
        <v>6859.7909889820685</v>
      </c>
      <c r="D234" s="637">
        <f t="shared" si="26"/>
        <v>6795.7618928900702</v>
      </c>
      <c r="E234" s="637">
        <f t="shared" si="27"/>
        <v>-64.029096091998326</v>
      </c>
    </row>
    <row r="235" spans="1:5" s="421" customFormat="1" x14ac:dyDescent="0.2">
      <c r="A235" s="588"/>
      <c r="B235" s="592" t="s">
        <v>831</v>
      </c>
      <c r="C235" s="637">
        <f t="shared" si="26"/>
        <v>7916.2873102076601</v>
      </c>
      <c r="D235" s="637">
        <f t="shared" si="26"/>
        <v>7955.7531188748308</v>
      </c>
      <c r="E235" s="637">
        <f t="shared" si="27"/>
        <v>39.465808667170677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13142.950766601396</v>
      </c>
      <c r="D239" s="636">
        <f t="shared" si="28"/>
        <v>13934.926246565583</v>
      </c>
      <c r="E239" s="638">
        <f t="shared" ref="E239:E247" si="29">D239-C239</f>
        <v>791.97547996418689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8019.7311345953958</v>
      </c>
      <c r="D240" s="636">
        <f t="shared" si="28"/>
        <v>7882.3709483269731</v>
      </c>
      <c r="E240" s="638">
        <f t="shared" si="29"/>
        <v>-137.36018626842269</v>
      </c>
    </row>
    <row r="241" spans="1:5" x14ac:dyDescent="0.2">
      <c r="A241" s="588">
        <v>3</v>
      </c>
      <c r="B241" s="587" t="s">
        <v>779</v>
      </c>
      <c r="C241" s="636">
        <f t="shared" si="28"/>
        <v>4099.4797451890063</v>
      </c>
      <c r="D241" s="636">
        <f t="shared" si="28"/>
        <v>3383.1960414706468</v>
      </c>
      <c r="E241" s="638">
        <f t="shared" si="29"/>
        <v>-716.28370371835945</v>
      </c>
    </row>
    <row r="242" spans="1:5" x14ac:dyDescent="0.2">
      <c r="A242" s="588">
        <v>4</v>
      </c>
      <c r="B242" s="587" t="s">
        <v>115</v>
      </c>
      <c r="C242" s="636">
        <f t="shared" si="28"/>
        <v>4099.4797451890063</v>
      </c>
      <c r="D242" s="636">
        <f t="shared" si="28"/>
        <v>3383.1960414706468</v>
      </c>
      <c r="E242" s="638">
        <f t="shared" si="29"/>
        <v>-716.28370371835945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1783.0849271158145</v>
      </c>
      <c r="D244" s="636">
        <f t="shared" si="28"/>
        <v>3013.7561685966321</v>
      </c>
      <c r="E244" s="638">
        <f t="shared" si="29"/>
        <v>1230.6712414808176</v>
      </c>
    </row>
    <row r="245" spans="1:5" x14ac:dyDescent="0.2">
      <c r="A245" s="588">
        <v>7</v>
      </c>
      <c r="B245" s="587" t="s">
        <v>760</v>
      </c>
      <c r="C245" s="636">
        <f t="shared" si="28"/>
        <v>2973.5979881254552</v>
      </c>
      <c r="D245" s="636">
        <f t="shared" si="28"/>
        <v>4661.3242083952118</v>
      </c>
      <c r="E245" s="638">
        <f t="shared" si="29"/>
        <v>1687.7262202697566</v>
      </c>
    </row>
    <row r="246" spans="1:5" ht="25.5" x14ac:dyDescent="0.2">
      <c r="A246" s="588"/>
      <c r="B246" s="592" t="s">
        <v>833</v>
      </c>
      <c r="C246" s="637">
        <f t="shared" si="28"/>
        <v>5878.203268433158</v>
      </c>
      <c r="D246" s="637">
        <f t="shared" si="28"/>
        <v>5444.1124206273325</v>
      </c>
      <c r="E246" s="639">
        <f t="shared" si="29"/>
        <v>-434.09084780582543</v>
      </c>
    </row>
    <row r="247" spans="1:5" x14ac:dyDescent="0.2">
      <c r="A247" s="588"/>
      <c r="B247" s="592" t="s">
        <v>834</v>
      </c>
      <c r="C247" s="637">
        <f t="shared" si="28"/>
        <v>9070.3440689402469</v>
      </c>
      <c r="D247" s="637">
        <f t="shared" si="28"/>
        <v>8783.5580588765661</v>
      </c>
      <c r="E247" s="639">
        <f t="shared" si="29"/>
        <v>-286.78601006368081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16686766.602628494</v>
      </c>
      <c r="D251" s="622">
        <f>((IF((IF(D15=0,0,D26/D15)*D138)=0,0,D59/(IF(D15=0,0,D26/D15)*D138)))-(IF((IF(D17=0,0,D28/D17)*D140)=0,0,D61/(IF(D17=0,0,D28/D17)*D140))))*(IF(D17=0,0,D28/D17)*D140)</f>
        <v>21199295.963372391</v>
      </c>
      <c r="E251" s="622">
        <f>D251-C251</f>
        <v>4512529.360743897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977763.71216934721</v>
      </c>
      <c r="D253" s="622">
        <f>IF(D233=0,0,(D228-D233)*D209+IF(D221=0,0,(D240-D245)*D221))</f>
        <v>633338.01669985289</v>
      </c>
      <c r="E253" s="622">
        <f>D253-C253</f>
        <v>-344425.69546949433</v>
      </c>
    </row>
    <row r="254" spans="1:5" ht="15" customHeight="1" x14ac:dyDescent="0.2">
      <c r="A254" s="588"/>
      <c r="B254" s="592" t="s">
        <v>761</v>
      </c>
      <c r="C254" s="640">
        <f>+C251+C252+C253</f>
        <v>17664530.314797841</v>
      </c>
      <c r="D254" s="640">
        <f>+D251+D252+D253</f>
        <v>21832633.980072245</v>
      </c>
      <c r="E254" s="640">
        <f>D254-C254</f>
        <v>4168103.665274404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543429524</v>
      </c>
      <c r="D258" s="625">
        <f>+D44</f>
        <v>549527239</v>
      </c>
      <c r="E258" s="622">
        <f t="shared" ref="E258:E271" si="30">D258-C258</f>
        <v>6097715</v>
      </c>
    </row>
    <row r="259" spans="1:5" x14ac:dyDescent="0.2">
      <c r="A259" s="588">
        <v>2</v>
      </c>
      <c r="B259" s="587" t="s">
        <v>744</v>
      </c>
      <c r="C259" s="622">
        <f>+(C43-C76)</f>
        <v>251310370</v>
      </c>
      <c r="D259" s="625">
        <f>+(D43-D76)</f>
        <v>263676617</v>
      </c>
      <c r="E259" s="622">
        <f t="shared" si="30"/>
        <v>12366247</v>
      </c>
    </row>
    <row r="260" spans="1:5" x14ac:dyDescent="0.2">
      <c r="A260" s="588">
        <v>3</v>
      </c>
      <c r="B260" s="587" t="s">
        <v>748</v>
      </c>
      <c r="C260" s="622">
        <f>C195</f>
        <v>14510293</v>
      </c>
      <c r="D260" s="622">
        <f>D195</f>
        <v>10640020</v>
      </c>
      <c r="E260" s="622">
        <f t="shared" si="30"/>
        <v>-3870273</v>
      </c>
    </row>
    <row r="261" spans="1:5" x14ac:dyDescent="0.2">
      <c r="A261" s="588">
        <v>4</v>
      </c>
      <c r="B261" s="587" t="s">
        <v>749</v>
      </c>
      <c r="C261" s="622">
        <f>C188</f>
        <v>49976604</v>
      </c>
      <c r="D261" s="622">
        <f>D188</f>
        <v>51865203</v>
      </c>
      <c r="E261" s="622">
        <f t="shared" si="30"/>
        <v>1888599</v>
      </c>
    </row>
    <row r="262" spans="1:5" x14ac:dyDescent="0.2">
      <c r="A262" s="588">
        <v>5</v>
      </c>
      <c r="B262" s="587" t="s">
        <v>750</v>
      </c>
      <c r="C262" s="622">
        <f>C191</f>
        <v>1594619</v>
      </c>
      <c r="D262" s="622">
        <f>D191</f>
        <v>1594619</v>
      </c>
      <c r="E262" s="622">
        <f t="shared" si="30"/>
        <v>0</v>
      </c>
    </row>
    <row r="263" spans="1:5" x14ac:dyDescent="0.2">
      <c r="A263" s="588">
        <v>6</v>
      </c>
      <c r="B263" s="587" t="s">
        <v>751</v>
      </c>
      <c r="C263" s="622">
        <f>+C259+C260+C261+C262</f>
        <v>317391886</v>
      </c>
      <c r="D263" s="622">
        <f>+D259+D260+D261+D262</f>
        <v>327776459</v>
      </c>
      <c r="E263" s="622">
        <f t="shared" si="30"/>
        <v>10384573</v>
      </c>
    </row>
    <row r="264" spans="1:5" x14ac:dyDescent="0.2">
      <c r="A264" s="588">
        <v>7</v>
      </c>
      <c r="B264" s="587" t="s">
        <v>656</v>
      </c>
      <c r="C264" s="622">
        <f>+C258-C263</f>
        <v>226037638</v>
      </c>
      <c r="D264" s="622">
        <f>+D258-D263</f>
        <v>221750780</v>
      </c>
      <c r="E264" s="622">
        <f t="shared" si="30"/>
        <v>-4286858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226037638</v>
      </c>
      <c r="D266" s="622">
        <f>+D264+D265</f>
        <v>221750780</v>
      </c>
      <c r="E266" s="641">
        <f t="shared" si="30"/>
        <v>-4286858</v>
      </c>
    </row>
    <row r="267" spans="1:5" x14ac:dyDescent="0.2">
      <c r="A267" s="588">
        <v>10</v>
      </c>
      <c r="B267" s="587" t="s">
        <v>839</v>
      </c>
      <c r="C267" s="642">
        <f>IF(C258=0,0,C266/C258)</f>
        <v>0.41594655427664984</v>
      </c>
      <c r="D267" s="642">
        <f>IF(D258=0,0,D266/D258)</f>
        <v>0.40353009689479652</v>
      </c>
      <c r="E267" s="643">
        <f t="shared" si="30"/>
        <v>-1.2416457381853319E-2</v>
      </c>
    </row>
    <row r="268" spans="1:5" x14ac:dyDescent="0.2">
      <c r="A268" s="588">
        <v>11</v>
      </c>
      <c r="B268" s="587" t="s">
        <v>718</v>
      </c>
      <c r="C268" s="622">
        <f>+C260*C267</f>
        <v>6035506.374894592</v>
      </c>
      <c r="D268" s="644">
        <f>+D260*D267</f>
        <v>4293568.3015625728</v>
      </c>
      <c r="E268" s="622">
        <f t="shared" si="30"/>
        <v>-1741938.0733320192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19731447.732091494</v>
      </c>
      <c r="D269" s="644">
        <f>((D17+D18+D28+D29)*D267)-(D50+D51+D61+D62)</f>
        <v>22038553.010957949</v>
      </c>
      <c r="E269" s="622">
        <f t="shared" si="30"/>
        <v>2307105.278866455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25766954.106986087</v>
      </c>
      <c r="D271" s="622">
        <f>+D268+D269+D270</f>
        <v>26332121.312520523</v>
      </c>
      <c r="E271" s="625">
        <f t="shared" si="30"/>
        <v>565167.20553443581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0.63246161717479066</v>
      </c>
      <c r="D276" s="623">
        <f t="shared" si="31"/>
        <v>0.63525266858299845</v>
      </c>
      <c r="E276" s="650">
        <f t="shared" ref="E276:E284" si="32">D276-C276</f>
        <v>2.7910514082077897E-3</v>
      </c>
    </row>
    <row r="277" spans="1:5" x14ac:dyDescent="0.2">
      <c r="A277" s="588">
        <v>2</v>
      </c>
      <c r="B277" s="587" t="s">
        <v>637</v>
      </c>
      <c r="C277" s="623">
        <f t="shared" si="31"/>
        <v>0.38930371929765117</v>
      </c>
      <c r="D277" s="623">
        <f t="shared" si="31"/>
        <v>0.38529163252051762</v>
      </c>
      <c r="E277" s="650">
        <f t="shared" si="32"/>
        <v>-4.01208677713355E-3</v>
      </c>
    </row>
    <row r="278" spans="1:5" x14ac:dyDescent="0.2">
      <c r="A278" s="588">
        <v>3</v>
      </c>
      <c r="B278" s="587" t="s">
        <v>779</v>
      </c>
      <c r="C278" s="623">
        <f t="shared" si="31"/>
        <v>0.30300486061418813</v>
      </c>
      <c r="D278" s="623">
        <f t="shared" si="31"/>
        <v>0.28055607943975236</v>
      </c>
      <c r="E278" s="650">
        <f t="shared" si="32"/>
        <v>-2.2448781174435772E-2</v>
      </c>
    </row>
    <row r="279" spans="1:5" x14ac:dyDescent="0.2">
      <c r="A279" s="588">
        <v>4</v>
      </c>
      <c r="B279" s="587" t="s">
        <v>115</v>
      </c>
      <c r="C279" s="623">
        <f t="shared" si="31"/>
        <v>0.30300486061418813</v>
      </c>
      <c r="D279" s="623">
        <f t="shared" si="31"/>
        <v>0.28055607943975236</v>
      </c>
      <c r="E279" s="650">
        <f t="shared" si="32"/>
        <v>-2.2448781174435772E-2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0.20085044869147298</v>
      </c>
      <c r="D281" s="623">
        <f t="shared" si="31"/>
        <v>0.25950877480728229</v>
      </c>
      <c r="E281" s="650">
        <f t="shared" si="32"/>
        <v>5.8658326115809317E-2</v>
      </c>
    </row>
    <row r="282" spans="1:5" x14ac:dyDescent="0.2">
      <c r="A282" s="588">
        <v>7</v>
      </c>
      <c r="B282" s="587" t="s">
        <v>760</v>
      </c>
      <c r="C282" s="623">
        <f t="shared" si="31"/>
        <v>0.4020439002255603</v>
      </c>
      <c r="D282" s="623">
        <f t="shared" si="31"/>
        <v>0.44310738647437148</v>
      </c>
      <c r="E282" s="650">
        <f t="shared" si="32"/>
        <v>4.1063486248811176E-2</v>
      </c>
    </row>
    <row r="283" spans="1:5" ht="29.25" customHeight="1" x14ac:dyDescent="0.2">
      <c r="A283" s="588"/>
      <c r="B283" s="592" t="s">
        <v>846</v>
      </c>
      <c r="C283" s="651">
        <f t="shared" si="31"/>
        <v>0.36918050973418931</v>
      </c>
      <c r="D283" s="651">
        <f t="shared" si="31"/>
        <v>0.36236686859994266</v>
      </c>
      <c r="E283" s="652">
        <f t="shared" si="32"/>
        <v>-6.8136411342466507E-3</v>
      </c>
    </row>
    <row r="284" spans="1:5" x14ac:dyDescent="0.2">
      <c r="A284" s="588"/>
      <c r="B284" s="592" t="s">
        <v>847</v>
      </c>
      <c r="C284" s="651">
        <f t="shared" si="31"/>
        <v>0.43069214969372038</v>
      </c>
      <c r="D284" s="651">
        <f t="shared" si="31"/>
        <v>0.42614012591304484</v>
      </c>
      <c r="E284" s="652">
        <f t="shared" si="32"/>
        <v>-4.5520237806755404E-3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0.64779148614417115</v>
      </c>
      <c r="D287" s="623">
        <f t="shared" si="33"/>
        <v>0.64724534061443362</v>
      </c>
      <c r="E287" s="650">
        <f t="shared" ref="E287:E295" si="34">D287-C287</f>
        <v>-5.461455297375295E-4</v>
      </c>
    </row>
    <row r="288" spans="1:5" x14ac:dyDescent="0.2">
      <c r="A288" s="588">
        <v>2</v>
      </c>
      <c r="B288" s="587" t="s">
        <v>637</v>
      </c>
      <c r="C288" s="623">
        <f t="shared" si="33"/>
        <v>0.26997721800459112</v>
      </c>
      <c r="D288" s="623">
        <f t="shared" si="33"/>
        <v>0.26895788546662264</v>
      </c>
      <c r="E288" s="650">
        <f t="shared" si="34"/>
        <v>-1.019332537968487E-3</v>
      </c>
    </row>
    <row r="289" spans="1:5" x14ac:dyDescent="0.2">
      <c r="A289" s="588">
        <v>3</v>
      </c>
      <c r="B289" s="587" t="s">
        <v>779</v>
      </c>
      <c r="C289" s="623">
        <f t="shared" si="33"/>
        <v>0.22238167743390788</v>
      </c>
      <c r="D289" s="623">
        <f t="shared" si="33"/>
        <v>0.19278170937751632</v>
      </c>
      <c r="E289" s="650">
        <f t="shared" si="34"/>
        <v>-2.9599968056391562E-2</v>
      </c>
    </row>
    <row r="290" spans="1:5" x14ac:dyDescent="0.2">
      <c r="A290" s="588">
        <v>4</v>
      </c>
      <c r="B290" s="587" t="s">
        <v>115</v>
      </c>
      <c r="C290" s="623">
        <f t="shared" si="33"/>
        <v>0.22238167743390788</v>
      </c>
      <c r="D290" s="623">
        <f t="shared" si="33"/>
        <v>0.19278170937751632</v>
      </c>
      <c r="E290" s="650">
        <f t="shared" si="34"/>
        <v>-2.9599968056391562E-2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0.20085062821865518</v>
      </c>
      <c r="D292" s="623">
        <f t="shared" si="33"/>
        <v>0.25950828087801081</v>
      </c>
      <c r="E292" s="650">
        <f t="shared" si="34"/>
        <v>5.865765265935563E-2</v>
      </c>
    </row>
    <row r="293" spans="1:5" x14ac:dyDescent="0.2">
      <c r="A293" s="588">
        <v>7</v>
      </c>
      <c r="B293" s="587" t="s">
        <v>760</v>
      </c>
      <c r="C293" s="623">
        <f t="shared" si="33"/>
        <v>0.14658779152028772</v>
      </c>
      <c r="D293" s="623">
        <f t="shared" si="33"/>
        <v>0.23256655571022686</v>
      </c>
      <c r="E293" s="650">
        <f t="shared" si="34"/>
        <v>8.5978764189939133E-2</v>
      </c>
    </row>
    <row r="294" spans="1:5" ht="29.25" customHeight="1" x14ac:dyDescent="0.2">
      <c r="A294" s="588"/>
      <c r="B294" s="592" t="s">
        <v>849</v>
      </c>
      <c r="C294" s="651">
        <f t="shared" si="33"/>
        <v>0.24995238046219176</v>
      </c>
      <c r="D294" s="651">
        <f t="shared" si="33"/>
        <v>0.23766239906161521</v>
      </c>
      <c r="E294" s="652">
        <f t="shared" si="34"/>
        <v>-1.228998140057655E-2</v>
      </c>
    </row>
    <row r="295" spans="1:5" x14ac:dyDescent="0.2">
      <c r="A295" s="588"/>
      <c r="B295" s="592" t="s">
        <v>850</v>
      </c>
      <c r="C295" s="651">
        <f t="shared" si="33"/>
        <v>0.41044668248092486</v>
      </c>
      <c r="D295" s="651">
        <f t="shared" si="33"/>
        <v>0.39273306550638859</v>
      </c>
      <c r="E295" s="652">
        <f t="shared" si="34"/>
        <v>-1.7713616974536273E-2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227632257</v>
      </c>
      <c r="D301" s="590">
        <f>+D48+D47+D50+D51+D52+D59+D58+D61+D62+D63</f>
        <v>223345399</v>
      </c>
      <c r="E301" s="590">
        <f>D301-C301</f>
        <v>-4286858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227632257</v>
      </c>
      <c r="D303" s="593">
        <f>+D301+D302</f>
        <v>223345399</v>
      </c>
      <c r="E303" s="593">
        <f>D303-C303</f>
        <v>-4286858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-8500070</v>
      </c>
      <c r="D305" s="654">
        <v>-10953589</v>
      </c>
      <c r="E305" s="655">
        <f>D305-C305</f>
        <v>-2453519</v>
      </c>
    </row>
    <row r="306" spans="1:5" x14ac:dyDescent="0.2">
      <c r="A306" s="588">
        <v>4</v>
      </c>
      <c r="B306" s="592" t="s">
        <v>857</v>
      </c>
      <c r="C306" s="593">
        <f>+C303+C305+C194+C190-C191</f>
        <v>227847860</v>
      </c>
      <c r="D306" s="593">
        <f>+D303+D305</f>
        <v>212391810</v>
      </c>
      <c r="E306" s="656">
        <f>D306-C306</f>
        <v>-15456050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219132186</v>
      </c>
      <c r="D308" s="589">
        <v>212392000</v>
      </c>
      <c r="E308" s="590">
        <f>D308-C308</f>
        <v>-6740186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8715674</v>
      </c>
      <c r="D310" s="658">
        <f>D306-D308</f>
        <v>-190</v>
      </c>
      <c r="E310" s="656">
        <f>D310-C310</f>
        <v>-8715864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543429524</v>
      </c>
      <c r="D314" s="590">
        <f>+D14+D15+D16+D19+D25+D26+D27+D30</f>
        <v>549527239</v>
      </c>
      <c r="E314" s="590">
        <f>D314-C314</f>
        <v>6097715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543429524</v>
      </c>
      <c r="D316" s="657">
        <f>D314+D315</f>
        <v>549527239</v>
      </c>
      <c r="E316" s="593">
        <f>D316-C316</f>
        <v>6097715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543429524</v>
      </c>
      <c r="D318" s="589">
        <v>549527239</v>
      </c>
      <c r="E318" s="590">
        <f>D318-C318</f>
        <v>6097715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14510293</v>
      </c>
      <c r="D324" s="589">
        <f>+D193+D194</f>
        <v>10640020</v>
      </c>
      <c r="E324" s="590">
        <f>D324-C324</f>
        <v>-3870273</v>
      </c>
    </row>
    <row r="325" spans="1:5" x14ac:dyDescent="0.2">
      <c r="A325" s="588">
        <v>2</v>
      </c>
      <c r="B325" s="587" t="s">
        <v>867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868</v>
      </c>
      <c r="C326" s="657">
        <f>C324+C325</f>
        <v>14510293</v>
      </c>
      <c r="D326" s="657">
        <f>D324+D325</f>
        <v>10640020</v>
      </c>
      <c r="E326" s="593">
        <f>D326-C326</f>
        <v>-3870273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14510293</v>
      </c>
      <c r="D328" s="589">
        <v>10640020</v>
      </c>
      <c r="E328" s="590">
        <f>D328-C328</f>
        <v>-3870273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FILING&amp;RMIDSTATE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tabSelected="1" zoomScaleNormal="100" zoomScaleSheetLayoutView="75" workbookViewId="0">
      <selection activeCell="B42" sqref="B42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52661375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134929808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37502987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37502987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243880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1924125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172676675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225338050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122740057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118179227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82689411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82689411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580494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5095393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201449132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324189189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175401432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374125807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549527239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33453279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51987326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10521691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10521691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63289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852594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62572306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96025585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79442930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31785235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15941006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15941006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150643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1185018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47876884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127319814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112896209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110449190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223345399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2446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4604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2137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2137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96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6762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9208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1.1702399999999999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1.52983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1.00499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1.00499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0.78796999999999995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0.94140999999999997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1.3616605028098199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1.3108118331885317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175401432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123536229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51865203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0.29569429627005556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4095811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1594619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6216157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4423863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10640020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7100035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203092473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223345399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223345399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-10953589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212391810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212392000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-190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549527239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549527239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549527239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10640020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10640020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10640020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FILING&amp;RMIDSTATE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zoomScale="90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7006</v>
      </c>
      <c r="D12" s="185">
        <v>6304</v>
      </c>
      <c r="E12" s="185">
        <f>+D12-C12</f>
        <v>-702</v>
      </c>
      <c r="F12" s="77">
        <f>IF(C12=0,0,+E12/C12)</f>
        <v>-0.10019982871824151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6656</v>
      </c>
      <c r="D13" s="185">
        <v>5989</v>
      </c>
      <c r="E13" s="185">
        <f>+D13-C13</f>
        <v>-667</v>
      </c>
      <c r="F13" s="77">
        <f>IF(C13=0,0,+E13/C13)</f>
        <v>-0.10021033653846154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8125010</v>
      </c>
      <c r="D15" s="76">
        <v>6216157</v>
      </c>
      <c r="E15" s="76">
        <f>+D15-C15</f>
        <v>-1908853</v>
      </c>
      <c r="F15" s="77">
        <f>IF(C15=0,0,+E15/C15)</f>
        <v>-0.23493546469481269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1220.7046274038462</v>
      </c>
      <c r="D16" s="79">
        <f>IF(D13=0,0,+D15/+D13)</f>
        <v>1037.9290365670395</v>
      </c>
      <c r="E16" s="79">
        <f>+D16-C16</f>
        <v>-182.77559083680671</v>
      </c>
      <c r="F16" s="80">
        <f>IF(C16=0,0,+E16/C16)</f>
        <v>-0.14972957973095238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0.40944199999999997</v>
      </c>
      <c r="D18" s="704">
        <v>0.37822899999999998</v>
      </c>
      <c r="E18" s="704">
        <f>+D18-C18</f>
        <v>-3.1212999999999991E-2</v>
      </c>
      <c r="F18" s="77">
        <f>IF(C18=0,0,+E18/C18)</f>
        <v>-7.6233019572979788E-2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3326720.34442</v>
      </c>
      <c r="D19" s="79">
        <f>+D15*D18</f>
        <v>2351130.8459529998</v>
      </c>
      <c r="E19" s="79">
        <f>+D19-C19</f>
        <v>-975589.4984670002</v>
      </c>
      <c r="F19" s="80">
        <f>IF(C19=0,0,+E19/C19)</f>
        <v>-0.29325864438932581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499.80774405348558</v>
      </c>
      <c r="D20" s="79">
        <f>IF(D13=0,0,+D19/D13)</f>
        <v>392.57486157171479</v>
      </c>
      <c r="E20" s="79">
        <f>+D20-C20</f>
        <v>-107.23288248177079</v>
      </c>
      <c r="F20" s="80">
        <f>IF(C20=0,0,+E20/C20)</f>
        <v>-0.21454826132164842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1646964</v>
      </c>
      <c r="D22" s="76">
        <v>1205338</v>
      </c>
      <c r="E22" s="76">
        <f>+D22-C22</f>
        <v>-441626</v>
      </c>
      <c r="F22" s="77">
        <f>IF(C22=0,0,+E22/C22)</f>
        <v>-0.26814550894858663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1688334</v>
      </c>
      <c r="D23" s="185">
        <v>1300971</v>
      </c>
      <c r="E23" s="185">
        <f>+D23-C23</f>
        <v>-387363</v>
      </c>
      <c r="F23" s="77">
        <f>IF(C23=0,0,+E23/C23)</f>
        <v>-0.22943505254292101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4789712</v>
      </c>
      <c r="D24" s="185">
        <v>3709848</v>
      </c>
      <c r="E24" s="185">
        <f>+D24-C24</f>
        <v>-1079864</v>
      </c>
      <c r="F24" s="77">
        <f>IF(C24=0,0,+E24/C24)</f>
        <v>-0.22545489165110555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8125010</v>
      </c>
      <c r="D25" s="79">
        <f>+D22+D23+D24</f>
        <v>6216157</v>
      </c>
      <c r="E25" s="79">
        <f>+E22+E23+E24</f>
        <v>-1908853</v>
      </c>
      <c r="F25" s="80">
        <f>IF(C25=0,0,+E25/C25)</f>
        <v>-0.23493546469481269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2039</v>
      </c>
      <c r="D27" s="185">
        <v>1781</v>
      </c>
      <c r="E27" s="185">
        <f>+D27-C27</f>
        <v>-258</v>
      </c>
      <c r="F27" s="77">
        <f>IF(C27=0,0,+E27/C27)</f>
        <v>-0.12653261402648358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500</v>
      </c>
      <c r="D28" s="185">
        <v>448</v>
      </c>
      <c r="E28" s="185">
        <f>+D28-C28</f>
        <v>-52</v>
      </c>
      <c r="F28" s="77">
        <f>IF(C28=0,0,+E28/C28)</f>
        <v>-0.104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7893</v>
      </c>
      <c r="D29" s="185">
        <v>6572</v>
      </c>
      <c r="E29" s="185">
        <f>+D29-C29</f>
        <v>-1321</v>
      </c>
      <c r="F29" s="77">
        <f>IF(C29=0,0,+E29/C29)</f>
        <v>-0.16736348663372608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2235</v>
      </c>
      <c r="D30" s="185">
        <v>2209</v>
      </c>
      <c r="E30" s="185">
        <f>+D30-C30</f>
        <v>-26</v>
      </c>
      <c r="F30" s="77">
        <f>IF(C30=0,0,+E30/C30)</f>
        <v>-1.1633109619686801E-2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3093127</v>
      </c>
      <c r="D33" s="76">
        <v>1110350</v>
      </c>
      <c r="E33" s="76">
        <f>+D33-C33</f>
        <v>-1982777</v>
      </c>
      <c r="F33" s="77">
        <f>IF(C33=0,0,+E33/C33)</f>
        <v>-0.64102670210437529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1217619</v>
      </c>
      <c r="D34" s="185">
        <v>1405186</v>
      </c>
      <c r="E34" s="185">
        <f>+D34-C34</f>
        <v>187567</v>
      </c>
      <c r="F34" s="77">
        <f>IF(C34=0,0,+E34/C34)</f>
        <v>0.1540440811124005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2074537</v>
      </c>
      <c r="D35" s="185">
        <v>1908327</v>
      </c>
      <c r="E35" s="185">
        <f>+D35-C35</f>
        <v>-166210</v>
      </c>
      <c r="F35" s="77">
        <f>IF(C35=0,0,+E35/C35)</f>
        <v>-8.0119081992753083E-2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6385283</v>
      </c>
      <c r="D36" s="79">
        <f>+D33+D34+D35</f>
        <v>4423863</v>
      </c>
      <c r="E36" s="79">
        <f>+E33+E34+E35</f>
        <v>-1961420</v>
      </c>
      <c r="F36" s="80">
        <f>IF(C36=0,0,+E36/C36)</f>
        <v>-0.3071782409644177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8125010</v>
      </c>
      <c r="D39" s="76">
        <f>+D25</f>
        <v>6216157</v>
      </c>
      <c r="E39" s="76">
        <f>+D39-C39</f>
        <v>-1908853</v>
      </c>
      <c r="F39" s="77">
        <f>IF(C39=0,0,+E39/C39)</f>
        <v>-0.23493546469481269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6385283</v>
      </c>
      <c r="D40" s="185">
        <f>+D36</f>
        <v>4423863</v>
      </c>
      <c r="E40" s="185">
        <f>+D40-C40</f>
        <v>-1961420</v>
      </c>
      <c r="F40" s="77">
        <f>IF(C40=0,0,+E40/C40)</f>
        <v>-0.3071782409644177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14510293</v>
      </c>
      <c r="D41" s="79">
        <f>+D39+D40</f>
        <v>10640020</v>
      </c>
      <c r="E41" s="79">
        <f>+E39+E40</f>
        <v>-3870273</v>
      </c>
      <c r="F41" s="80">
        <f>IF(C41=0,0,+E41/C41)</f>
        <v>-0.2667260406113095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4740091</v>
      </c>
      <c r="D43" s="76">
        <f t="shared" si="0"/>
        <v>2315688</v>
      </c>
      <c r="E43" s="76">
        <f>+D43-C43</f>
        <v>-2424403</v>
      </c>
      <c r="F43" s="77">
        <f>IF(C43=0,0,+E43/C43)</f>
        <v>-0.51146760684552262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2905953</v>
      </c>
      <c r="D44" s="185">
        <f t="shared" si="0"/>
        <v>2706157</v>
      </c>
      <c r="E44" s="185">
        <f>+D44-C44</f>
        <v>-199796</v>
      </c>
      <c r="F44" s="77">
        <f>IF(C44=0,0,+E44/C44)</f>
        <v>-6.8754036971692245E-2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6864249</v>
      </c>
      <c r="D45" s="185">
        <f t="shared" si="0"/>
        <v>5618175</v>
      </c>
      <c r="E45" s="185">
        <f>+D45-C45</f>
        <v>-1246074</v>
      </c>
      <c r="F45" s="77">
        <f>IF(C45=0,0,+E45/C45)</f>
        <v>-0.18153100215333098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14510293</v>
      </c>
      <c r="D46" s="79">
        <f>+D43+D44+D45</f>
        <v>10640020</v>
      </c>
      <c r="E46" s="79">
        <f>+E43+E44+E45</f>
        <v>-3870273</v>
      </c>
      <c r="F46" s="80">
        <f>IF(C46=0,0,+E46/C46)</f>
        <v>-0.2667260406113095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FILING&amp;RMIDSTATE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75" zoomScaleNormal="75" zoomScaleSheetLayoutView="90" workbookViewId="0">
      <selection activeCell="B42" sqref="B42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180790784</v>
      </c>
      <c r="D15" s="76">
        <v>175401432</v>
      </c>
      <c r="E15" s="76">
        <f>+D15-C15</f>
        <v>-5389352</v>
      </c>
      <c r="F15" s="77">
        <f>IF(C15=0,0,E15/C15)</f>
        <v>-2.980988234444517E-2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49976604</v>
      </c>
      <c r="D17" s="76">
        <v>51865203</v>
      </c>
      <c r="E17" s="76">
        <f>+D17-C17</f>
        <v>1888599</v>
      </c>
      <c r="F17" s="77">
        <f>IF(C17=0,0,E17/C17)</f>
        <v>3.7789662538895201E-2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130814180</v>
      </c>
      <c r="D19" s="79">
        <f>+D15-D17</f>
        <v>123536229</v>
      </c>
      <c r="E19" s="79">
        <f>+D19-C19</f>
        <v>-7277951</v>
      </c>
      <c r="F19" s="80">
        <f>IF(C19=0,0,E19/C19)</f>
        <v>-5.5635795752417665E-2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0.27643336067396002</v>
      </c>
      <c r="D21" s="720">
        <f>IF(D15=0,0,D17/D15)</f>
        <v>0.29569429627005556</v>
      </c>
      <c r="E21" s="720">
        <f>+D21-C21</f>
        <v>1.9260935596095541E-2</v>
      </c>
      <c r="F21" s="80">
        <f>IF(C21=0,0,E21/C21)</f>
        <v>6.9676596012638634E-2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FILING&amp;R&amp;12MIDSTATE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="75" zoomScaleNormal="75" workbookViewId="0">
      <selection activeCell="B42" sqref="B42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219546008</v>
      </c>
      <c r="D10" s="744">
        <v>226391995</v>
      </c>
      <c r="E10" s="744">
        <v>225338050</v>
      </c>
    </row>
    <row r="11" spans="1:6" ht="26.1" customHeight="1" x14ac:dyDescent="0.25">
      <c r="A11" s="742">
        <v>2</v>
      </c>
      <c r="B11" s="743" t="s">
        <v>934</v>
      </c>
      <c r="C11" s="744">
        <v>285501650</v>
      </c>
      <c r="D11" s="744">
        <v>317037529</v>
      </c>
      <c r="E11" s="744">
        <v>324189189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505047658</v>
      </c>
      <c r="D12" s="744">
        <f>+D11+D10</f>
        <v>543429524</v>
      </c>
      <c r="E12" s="744">
        <f>+E11+E10</f>
        <v>549527239</v>
      </c>
    </row>
    <row r="13" spans="1:6" ht="26.1" customHeight="1" x14ac:dyDescent="0.25">
      <c r="A13" s="742">
        <v>4</v>
      </c>
      <c r="B13" s="743" t="s">
        <v>507</v>
      </c>
      <c r="C13" s="744">
        <v>217746204</v>
      </c>
      <c r="D13" s="744">
        <v>219132186</v>
      </c>
      <c r="E13" s="744">
        <v>212391809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210520148</v>
      </c>
      <c r="D16" s="744">
        <v>208792651</v>
      </c>
      <c r="E16" s="744">
        <v>203092473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41898</v>
      </c>
      <c r="D19" s="747">
        <v>39492</v>
      </c>
      <c r="E19" s="747">
        <v>37258</v>
      </c>
    </row>
    <row r="20" spans="1:5" ht="26.1" customHeight="1" x14ac:dyDescent="0.25">
      <c r="A20" s="742">
        <v>2</v>
      </c>
      <c r="B20" s="743" t="s">
        <v>381</v>
      </c>
      <c r="C20" s="748">
        <v>9847</v>
      </c>
      <c r="D20" s="748">
        <v>9284</v>
      </c>
      <c r="E20" s="748">
        <v>9208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4.2548999695338683</v>
      </c>
      <c r="D21" s="749">
        <f>IF(D20=0,0,+D19/D20)</f>
        <v>4.2537699267557088</v>
      </c>
      <c r="E21" s="749">
        <f>IF(E20=0,0,+E19/E20)</f>
        <v>4.0462641181581231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96382.926602263702</v>
      </c>
      <c r="D22" s="748">
        <f>IF(D10=0,0,D19*(D12/D10))</f>
        <v>94796.279178546043</v>
      </c>
      <c r="E22" s="748">
        <f>IF(E10=0,0,E19*(E12/E10))</f>
        <v>90860.313518564653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22652.219157298456</v>
      </c>
      <c r="D23" s="748">
        <f>IF(D10=0,0,D20*(D12/D10))</f>
        <v>22285.238931774067</v>
      </c>
      <c r="E23" s="748">
        <f>IF(E10=0,0,E20*(E12/E10))</f>
        <v>22455.3590337362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1.2865042835381333</v>
      </c>
      <c r="D26" s="750">
        <v>1.3266957647565705</v>
      </c>
      <c r="E26" s="750">
        <v>1.3108118331885317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53901.956471680707</v>
      </c>
      <c r="D27" s="748">
        <f>D19*D26</f>
        <v>52393.869141766481</v>
      </c>
      <c r="E27" s="748">
        <f>E19*E26</f>
        <v>48838.227280938314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12668.207679999998</v>
      </c>
      <c r="D28" s="748">
        <f>D20*D26</f>
        <v>12317.04348</v>
      </c>
      <c r="E28" s="748">
        <f>E20*E26</f>
        <v>12069.95536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123997.04793375375</v>
      </c>
      <c r="D29" s="748">
        <f>D22*D26</f>
        <v>125765.8221008585</v>
      </c>
      <c r="E29" s="748">
        <f>E22*E26</f>
        <v>119100.77412735445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29142.176977509029</v>
      </c>
      <c r="D30" s="748">
        <f>D23*D26</f>
        <v>29565.732107372893</v>
      </c>
      <c r="E30" s="748">
        <f>E23*E26</f>
        <v>29434.750339918402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12054.218769392333</v>
      </c>
      <c r="D33" s="744">
        <f>IF(D19=0,0,D12/D19)</f>
        <v>13760.496404335056</v>
      </c>
      <c r="E33" s="744">
        <f>IF(E19=0,0,E12/E19)</f>
        <v>14749.241478340222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51289.495074642022</v>
      </c>
      <c r="D34" s="744">
        <f>IF(D20=0,0,D12/D20)</f>
        <v>58533.985781990523</v>
      </c>
      <c r="E34" s="744">
        <f>IF(E20=0,0,E12/E20)</f>
        <v>59679.326563857518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5240.0116473340013</v>
      </c>
      <c r="D35" s="744">
        <f>IF(D22=0,0,D12/D22)</f>
        <v>5732.6039451028055</v>
      </c>
      <c r="E35" s="744">
        <f>IF(E22=0,0,E12/E22)</f>
        <v>6048.0447152289444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22295.725398598559</v>
      </c>
      <c r="D36" s="744">
        <f>IF(D23=0,0,D12/D23)</f>
        <v>24385.178263679449</v>
      </c>
      <c r="E36" s="744">
        <f>IF(E23=0,0,E12/E23)</f>
        <v>24471.986316246745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4073.061951199234</v>
      </c>
      <c r="D37" s="744">
        <f>IF(D29=0,0,D12/D29)</f>
        <v>4320.9634773761836</v>
      </c>
      <c r="E37" s="744">
        <f>IF(E29=0,0,E12/E29)</f>
        <v>4613.9686582758104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17330.471172067177</v>
      </c>
      <c r="D38" s="744">
        <f>IF(D30=0,0,D12/D30)</f>
        <v>18380.38449467258</v>
      </c>
      <c r="E38" s="744">
        <f>IF(E30=0,0,E12/E30)</f>
        <v>18669.335824287591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2277.8516459246384</v>
      </c>
      <c r="D39" s="744">
        <f>IF(D22=0,0,D10/D22)</f>
        <v>2388.1949477531416</v>
      </c>
      <c r="E39" s="744">
        <f>IF(E22=0,0,E10/E22)</f>
        <v>2480.0492236245559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9692.0308988474153</v>
      </c>
      <c r="D40" s="744">
        <f>IF(D23=0,0,D10/D23)</f>
        <v>10158.831847982236</v>
      </c>
      <c r="E40" s="744">
        <f>IF(E23=0,0,E10/E23)</f>
        <v>10034.934184817952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5197.0548474867537</v>
      </c>
      <c r="D43" s="744">
        <f>IF(D19=0,0,D13/D19)</f>
        <v>5548.7740808264962</v>
      </c>
      <c r="E43" s="744">
        <f>IF(E19=0,0,E13/E19)</f>
        <v>5700.569246873155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22112.948512237228</v>
      </c>
      <c r="D44" s="744">
        <f>IF(D20=0,0,D13/D20)</f>
        <v>23603.2083153813</v>
      </c>
      <c r="E44" s="744">
        <f>IF(E20=0,0,E13/E20)</f>
        <v>23066.008796698523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2259.1781726919039</v>
      </c>
      <c r="D45" s="744">
        <f>IF(D22=0,0,D13/D22)</f>
        <v>2311.6116782101844</v>
      </c>
      <c r="E45" s="744">
        <f>IF(E22=0,0,E13/E22)</f>
        <v>2337.5641220586799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9612.5771381583618</v>
      </c>
      <c r="D46" s="744">
        <f>IF(D23=0,0,D13/D23)</f>
        <v>9833.0642391077781</v>
      </c>
      <c r="E46" s="744">
        <f>IF(E23=0,0,E13/E23)</f>
        <v>9458.4018309798321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1756.0595806791493</v>
      </c>
      <c r="D47" s="744">
        <f>IF(D29=0,0,D13/D29)</f>
        <v>1742.3826468868936</v>
      </c>
      <c r="E47" s="744">
        <f>IF(E29=0,0,E13/E29)</f>
        <v>1783.2949496439835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7471.8578563313695</v>
      </c>
      <c r="D48" s="744">
        <f>IF(D30=0,0,D13/D30)</f>
        <v>7411.6949042284787</v>
      </c>
      <c r="E48" s="744">
        <f>IF(E30=0,0,E13/E30)</f>
        <v>7215.6823668370471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5024.587044727672</v>
      </c>
      <c r="D51" s="744">
        <f>IF(D19=0,0,D16/D19)</f>
        <v>5286.9606755798641</v>
      </c>
      <c r="E51" s="744">
        <f>IF(E19=0,0,E16/E19)</f>
        <v>5450.9762467121154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21379.11526353204</v>
      </c>
      <c r="D52" s="744">
        <f>IF(D20=0,0,D16/D20)</f>
        <v>22489.514325721673</v>
      </c>
      <c r="E52" s="744">
        <f>IF(E20=0,0,E16/E20)</f>
        <v>22056.089596003476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2184.2058072041941</v>
      </c>
      <c r="D53" s="744">
        <f>IF(D22=0,0,D16/D22)</f>
        <v>2202.5405723651356</v>
      </c>
      <c r="E53" s="744">
        <f>IF(E22=0,0,E16/E22)</f>
        <v>2235.2165113155147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9293.5772225288238</v>
      </c>
      <c r="D54" s="744">
        <f>IF(D23=0,0,D16/D23)</f>
        <v>9369.1008491861194</v>
      </c>
      <c r="E54" s="744">
        <f>IF(E23=0,0,E16/E23)</f>
        <v>9044.2763660505479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1697.7835481411767</v>
      </c>
      <c r="D55" s="744">
        <f>IF(D29=0,0,D16/D29)</f>
        <v>1660.170048684274</v>
      </c>
      <c r="E55" s="744">
        <f>IF(E29=0,0,E16/E29)</f>
        <v>1705.2153899758302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7223.8991672609945</v>
      </c>
      <c r="D56" s="744">
        <f>IF(D30=0,0,D16/D30)</f>
        <v>7061.981426393726</v>
      </c>
      <c r="E56" s="744">
        <f>IF(E30=0,0,E16/E30)</f>
        <v>6899.7518461902127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27207529</v>
      </c>
      <c r="D59" s="752">
        <v>27000116</v>
      </c>
      <c r="E59" s="752">
        <v>26330425</v>
      </c>
    </row>
    <row r="60" spans="1:6" ht="26.1" customHeight="1" x14ac:dyDescent="0.25">
      <c r="A60" s="742">
        <v>2</v>
      </c>
      <c r="B60" s="743" t="s">
        <v>970</v>
      </c>
      <c r="C60" s="752">
        <v>8488460</v>
      </c>
      <c r="D60" s="752">
        <v>7365276</v>
      </c>
      <c r="E60" s="752">
        <v>7006264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35695989</v>
      </c>
      <c r="D61" s="755">
        <f>D59+D60</f>
        <v>34365392</v>
      </c>
      <c r="E61" s="755">
        <f>E59+E60</f>
        <v>33336689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7916881</v>
      </c>
      <c r="D64" s="744">
        <v>8218072</v>
      </c>
      <c r="E64" s="752">
        <v>7884815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1632894</v>
      </c>
      <c r="D65" s="752">
        <v>1416831</v>
      </c>
      <c r="E65" s="752">
        <v>1347769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9549775</v>
      </c>
      <c r="D66" s="757">
        <f>D64+D65</f>
        <v>9634903</v>
      </c>
      <c r="E66" s="757">
        <f>E64+E65</f>
        <v>9232584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40133370</v>
      </c>
      <c r="D69" s="752">
        <v>34527167</v>
      </c>
      <c r="E69" s="752">
        <v>32498265</v>
      </c>
    </row>
    <row r="70" spans="1:6" ht="26.1" customHeight="1" x14ac:dyDescent="0.25">
      <c r="A70" s="742">
        <v>2</v>
      </c>
      <c r="B70" s="743" t="s">
        <v>978</v>
      </c>
      <c r="C70" s="752">
        <v>12528463</v>
      </c>
      <c r="D70" s="752">
        <v>10870710</v>
      </c>
      <c r="E70" s="752">
        <v>8973235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52661833</v>
      </c>
      <c r="D71" s="755">
        <f>D69+D70</f>
        <v>45397877</v>
      </c>
      <c r="E71" s="755">
        <f>E69+E70</f>
        <v>41471500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75257780</v>
      </c>
      <c r="D75" s="744">
        <f t="shared" si="0"/>
        <v>69745355</v>
      </c>
      <c r="E75" s="744">
        <f t="shared" si="0"/>
        <v>66713505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22649817</v>
      </c>
      <c r="D76" s="744">
        <f t="shared" si="0"/>
        <v>19652817</v>
      </c>
      <c r="E76" s="744">
        <f t="shared" si="0"/>
        <v>17327268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97907597</v>
      </c>
      <c r="D77" s="757">
        <f>D75+D76</f>
        <v>89398172</v>
      </c>
      <c r="E77" s="757">
        <f>E75+E76</f>
        <v>84040773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310.2</v>
      </c>
      <c r="D80" s="749">
        <v>298.39999999999998</v>
      </c>
      <c r="E80" s="749">
        <v>263.7</v>
      </c>
    </row>
    <row r="81" spans="1:5" ht="26.1" customHeight="1" x14ac:dyDescent="0.25">
      <c r="A81" s="742">
        <v>2</v>
      </c>
      <c r="B81" s="743" t="s">
        <v>617</v>
      </c>
      <c r="C81" s="749">
        <v>44.7</v>
      </c>
      <c r="D81" s="749">
        <v>45.6</v>
      </c>
      <c r="E81" s="749">
        <v>46.4</v>
      </c>
    </row>
    <row r="82" spans="1:5" ht="26.1" customHeight="1" x14ac:dyDescent="0.25">
      <c r="A82" s="742">
        <v>3</v>
      </c>
      <c r="B82" s="743" t="s">
        <v>984</v>
      </c>
      <c r="C82" s="749">
        <v>673.2</v>
      </c>
      <c r="D82" s="749">
        <v>619.29999999999995</v>
      </c>
      <c r="E82" s="749">
        <v>566.79999999999995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1028.0999999999999</v>
      </c>
      <c r="D83" s="759">
        <f>D80+D81+D82</f>
        <v>963.3</v>
      </c>
      <c r="E83" s="759">
        <f>E80+E81+E82</f>
        <v>876.89999999999986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87709.635718891048</v>
      </c>
      <c r="D86" s="752">
        <f>IF(D80=0,0,D59/D80)</f>
        <v>90482.962466487937</v>
      </c>
      <c r="E86" s="752">
        <f>IF(E80=0,0,E59/E80)</f>
        <v>99849.92415623815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27364.474532559641</v>
      </c>
      <c r="D87" s="752">
        <f>IF(D80=0,0,D60/D80)</f>
        <v>24682.56032171582</v>
      </c>
      <c r="E87" s="752">
        <f>IF(E80=0,0,E60/E80)</f>
        <v>26569.07091391733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115074.11025145069</v>
      </c>
      <c r="D88" s="755">
        <f>+D86+D87</f>
        <v>115165.52278820376</v>
      </c>
      <c r="E88" s="755">
        <f>+E86+E87</f>
        <v>126418.99507015548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177111.43176733781</v>
      </c>
      <c r="D91" s="744">
        <f>IF(D81=0,0,D64/D81)</f>
        <v>180220.87719298244</v>
      </c>
      <c r="E91" s="744">
        <f>IF(E81=0,0,E64/E81)</f>
        <v>169931.3577586207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36530.067114093959</v>
      </c>
      <c r="D92" s="744">
        <f>IF(D81=0,0,D65/D81)</f>
        <v>31070.855263157893</v>
      </c>
      <c r="E92" s="744">
        <f>IF(E81=0,0,E65/E81)</f>
        <v>29046.745689655174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213641.49888143176</v>
      </c>
      <c r="D93" s="757">
        <f>+D91+D92</f>
        <v>211291.73245614034</v>
      </c>
      <c r="E93" s="757">
        <f>+E91+E92</f>
        <v>198978.10344827588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59615.819964349372</v>
      </c>
      <c r="D96" s="752">
        <f>IF(D82=0,0,D69/D82)</f>
        <v>55751.92475375424</v>
      </c>
      <c r="E96" s="752">
        <f>IF(E82=0,0,E69/E82)</f>
        <v>57336.388496824278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18610.313428401663</v>
      </c>
      <c r="D97" s="752">
        <f>IF(D82=0,0,D70/D82)</f>
        <v>17553.221378976265</v>
      </c>
      <c r="E97" s="752">
        <f>IF(E82=0,0,E70/E82)</f>
        <v>15831.395553987299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78226.133392751042</v>
      </c>
      <c r="D98" s="757">
        <f>+D96+D97</f>
        <v>73305.146132730501</v>
      </c>
      <c r="E98" s="757">
        <f>+E96+E97</f>
        <v>73167.784050811577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73200.83649450443</v>
      </c>
      <c r="D101" s="744">
        <f>IF(D83=0,0,D75/D83)</f>
        <v>72402.527769126958</v>
      </c>
      <c r="E101" s="744">
        <f>IF(E83=0,0,E75/E83)</f>
        <v>76078.806021211101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22030.752845053987</v>
      </c>
      <c r="D102" s="761">
        <f>IF(D83=0,0,D76/D83)</f>
        <v>20401.554033011525</v>
      </c>
      <c r="E102" s="761">
        <f>IF(E83=0,0,E76/E83)</f>
        <v>19759.68525487513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95231.589339558413</v>
      </c>
      <c r="D103" s="757">
        <f>+D101+D102</f>
        <v>92804.081802138477</v>
      </c>
      <c r="E103" s="757">
        <f>+E101+E102</f>
        <v>95838.491276086235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2336.8083679411907</v>
      </c>
      <c r="D108" s="744">
        <f>IF(D19=0,0,D77/D19)</f>
        <v>2263.7033323204701</v>
      </c>
      <c r="E108" s="744">
        <f>IF(E19=0,0,E77/E19)</f>
        <v>2255.6437006817328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9942.8858535594591</v>
      </c>
      <c r="D109" s="744">
        <f>IF(D20=0,0,D77/D20)</f>
        <v>9629.2731581214994</v>
      </c>
      <c r="E109" s="744">
        <f>IF(E20=0,0,E77/E20)</f>
        <v>9126.9301694178976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1015.8188846457012</v>
      </c>
      <c r="D110" s="744">
        <f>IF(D22=0,0,D77/D22)</f>
        <v>943.05570613822442</v>
      </c>
      <c r="E110" s="744">
        <f>IF(E22=0,0,E77/E22)</f>
        <v>924.94478332202459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4322.2077413309216</v>
      </c>
      <c r="D111" s="744">
        <f>IF(D23=0,0,D77/D23)</f>
        <v>4011.5420020261481</v>
      </c>
      <c r="E111" s="744">
        <f>IF(E23=0,0,E77/E23)</f>
        <v>3742.5708880334482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789.59619306669128</v>
      </c>
      <c r="D112" s="744">
        <f>IF(D29=0,0,D77/D29)</f>
        <v>710.83041884230454</v>
      </c>
      <c r="E112" s="744">
        <f>IF(E29=0,0,E77/E29)</f>
        <v>705.62742866923099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3359.6528178235226</v>
      </c>
      <c r="D113" s="744">
        <f>IF(D30=0,0,D77/D30)</f>
        <v>3023.7090586945592</v>
      </c>
      <c r="E113" s="744">
        <f>IF(E30=0,0,E77/E30)</f>
        <v>2855.1549454124902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FILING&amp;R&amp;"Arial,Bold"&amp;12MIDSTATE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5" zoomScaleNormal="75" zoomScaleSheetLayoutView="75" workbookViewId="0">
      <selection activeCell="B42" sqref="B42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543429524</v>
      </c>
      <c r="D12" s="76">
        <v>549527239</v>
      </c>
      <c r="E12" s="76">
        <f t="shared" ref="E12:E21" si="0">D12-C12</f>
        <v>6097715</v>
      </c>
      <c r="F12" s="77">
        <f t="shared" ref="F12:F21" si="1">IF(C12=0,0,E12/C12)</f>
        <v>1.1220801834830011E-2</v>
      </c>
    </row>
    <row r="13" spans="1:8" ht="23.1" customHeight="1" x14ac:dyDescent="0.2">
      <c r="A13" s="74">
        <v>2</v>
      </c>
      <c r="B13" s="75" t="s">
        <v>72</v>
      </c>
      <c r="C13" s="76">
        <v>309787045</v>
      </c>
      <c r="D13" s="76">
        <v>326495410</v>
      </c>
      <c r="E13" s="76">
        <f t="shared" si="0"/>
        <v>16708365</v>
      </c>
      <c r="F13" s="77">
        <f t="shared" si="1"/>
        <v>5.3935002349759335E-2</v>
      </c>
    </row>
    <row r="14" spans="1:8" ht="23.1" customHeight="1" x14ac:dyDescent="0.2">
      <c r="A14" s="74">
        <v>3</v>
      </c>
      <c r="B14" s="75" t="s">
        <v>73</v>
      </c>
      <c r="C14" s="76">
        <v>8125010</v>
      </c>
      <c r="D14" s="76">
        <v>6216157</v>
      </c>
      <c r="E14" s="76">
        <f t="shared" si="0"/>
        <v>-1908853</v>
      </c>
      <c r="F14" s="77">
        <f t="shared" si="1"/>
        <v>-0.23493546469481269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225517469</v>
      </c>
      <c r="D16" s="79">
        <f>D12-D13-D14-D15</f>
        <v>216815672</v>
      </c>
      <c r="E16" s="79">
        <f t="shared" si="0"/>
        <v>-8701797</v>
      </c>
      <c r="F16" s="80">
        <f t="shared" si="1"/>
        <v>-3.8585911054189778E-2</v>
      </c>
    </row>
    <row r="17" spans="1:7" ht="23.1" customHeight="1" x14ac:dyDescent="0.2">
      <c r="A17" s="74">
        <v>5</v>
      </c>
      <c r="B17" s="75" t="s">
        <v>76</v>
      </c>
      <c r="C17" s="76">
        <v>6385283</v>
      </c>
      <c r="D17" s="76">
        <v>4423863</v>
      </c>
      <c r="E17" s="76">
        <f t="shared" si="0"/>
        <v>-1961420</v>
      </c>
      <c r="F17" s="77">
        <f t="shared" si="1"/>
        <v>-0.3071782409644177</v>
      </c>
      <c r="G17" s="65"/>
    </row>
    <row r="18" spans="1:7" ht="31.5" customHeight="1" x14ac:dyDescent="0.25">
      <c r="A18" s="71"/>
      <c r="B18" s="81" t="s">
        <v>77</v>
      </c>
      <c r="C18" s="79">
        <f>C16-C17</f>
        <v>219132186</v>
      </c>
      <c r="D18" s="79">
        <f>D16-D17</f>
        <v>212391809</v>
      </c>
      <c r="E18" s="79">
        <f t="shared" si="0"/>
        <v>-6740377</v>
      </c>
      <c r="F18" s="80">
        <f t="shared" si="1"/>
        <v>-3.0759411125483867E-2</v>
      </c>
    </row>
    <row r="19" spans="1:7" ht="23.1" customHeight="1" x14ac:dyDescent="0.2">
      <c r="A19" s="74">
        <v>6</v>
      </c>
      <c r="B19" s="75" t="s">
        <v>78</v>
      </c>
      <c r="C19" s="76">
        <v>8274793</v>
      </c>
      <c r="D19" s="76">
        <v>6998179</v>
      </c>
      <c r="E19" s="76">
        <f t="shared" si="0"/>
        <v>-1276614</v>
      </c>
      <c r="F19" s="77">
        <f t="shared" si="1"/>
        <v>-0.15427745443299912</v>
      </c>
      <c r="G19" s="65"/>
    </row>
    <row r="20" spans="1:7" ht="33" customHeight="1" x14ac:dyDescent="0.2">
      <c r="A20" s="74">
        <v>7</v>
      </c>
      <c r="B20" s="82" t="s">
        <v>79</v>
      </c>
      <c r="C20" s="76">
        <v>322248</v>
      </c>
      <c r="D20" s="76">
        <v>101856</v>
      </c>
      <c r="E20" s="76">
        <f t="shared" si="0"/>
        <v>-220392</v>
      </c>
      <c r="F20" s="77">
        <f t="shared" si="1"/>
        <v>-0.68392045877709096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227729227</v>
      </c>
      <c r="D21" s="79">
        <f>SUM(D18:D20)</f>
        <v>219491844</v>
      </c>
      <c r="E21" s="79">
        <f t="shared" si="0"/>
        <v>-8237383</v>
      </c>
      <c r="F21" s="80">
        <f t="shared" si="1"/>
        <v>-3.6171830504654549E-2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69745355</v>
      </c>
      <c r="D24" s="76">
        <v>66713505</v>
      </c>
      <c r="E24" s="76">
        <f t="shared" ref="E24:E33" si="2">D24-C24</f>
        <v>-3031850</v>
      </c>
      <c r="F24" s="77">
        <f t="shared" ref="F24:F33" si="3">IF(C24=0,0,E24/C24)</f>
        <v>-4.3470278414956813E-2</v>
      </c>
    </row>
    <row r="25" spans="1:7" ht="23.1" customHeight="1" x14ac:dyDescent="0.2">
      <c r="A25" s="74">
        <v>2</v>
      </c>
      <c r="B25" s="75" t="s">
        <v>83</v>
      </c>
      <c r="C25" s="76">
        <v>19652817</v>
      </c>
      <c r="D25" s="76">
        <v>17327268</v>
      </c>
      <c r="E25" s="76">
        <f t="shared" si="2"/>
        <v>-2325549</v>
      </c>
      <c r="F25" s="77">
        <f t="shared" si="3"/>
        <v>-0.1183315857467151</v>
      </c>
    </row>
    <row r="26" spans="1:7" ht="23.1" customHeight="1" x14ac:dyDescent="0.2">
      <c r="A26" s="74">
        <v>3</v>
      </c>
      <c r="B26" s="75" t="s">
        <v>84</v>
      </c>
      <c r="C26" s="76">
        <v>3834533</v>
      </c>
      <c r="D26" s="76">
        <v>4016634</v>
      </c>
      <c r="E26" s="76">
        <f t="shared" si="2"/>
        <v>182101</v>
      </c>
      <c r="F26" s="77">
        <f t="shared" si="3"/>
        <v>4.7489746469778722E-2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32858794</v>
      </c>
      <c r="D27" s="76">
        <v>34145823</v>
      </c>
      <c r="E27" s="76">
        <f t="shared" si="2"/>
        <v>1287029</v>
      </c>
      <c r="F27" s="77">
        <f t="shared" si="3"/>
        <v>3.9168479524841968E-2</v>
      </c>
    </row>
    <row r="28" spans="1:7" ht="23.1" customHeight="1" x14ac:dyDescent="0.2">
      <c r="A28" s="74">
        <v>5</v>
      </c>
      <c r="B28" s="75" t="s">
        <v>86</v>
      </c>
      <c r="C28" s="76">
        <v>12906996</v>
      </c>
      <c r="D28" s="76">
        <v>12305503</v>
      </c>
      <c r="E28" s="76">
        <f t="shared" si="2"/>
        <v>-601493</v>
      </c>
      <c r="F28" s="77">
        <f t="shared" si="3"/>
        <v>-4.6602090835078901E-2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3992280</v>
      </c>
      <c r="D30" s="76">
        <v>3968133</v>
      </c>
      <c r="E30" s="76">
        <f t="shared" si="2"/>
        <v>-24147</v>
      </c>
      <c r="F30" s="77">
        <f t="shared" si="3"/>
        <v>-6.0484234572725356E-3</v>
      </c>
    </row>
    <row r="31" spans="1:7" ht="23.1" customHeight="1" x14ac:dyDescent="0.2">
      <c r="A31" s="74">
        <v>8</v>
      </c>
      <c r="B31" s="75" t="s">
        <v>89</v>
      </c>
      <c r="C31" s="76">
        <v>2753277</v>
      </c>
      <c r="D31" s="76">
        <v>2190432</v>
      </c>
      <c r="E31" s="76">
        <f t="shared" si="2"/>
        <v>-562845</v>
      </c>
      <c r="F31" s="77">
        <f t="shared" si="3"/>
        <v>-0.20442730607926482</v>
      </c>
    </row>
    <row r="32" spans="1:7" ht="23.1" customHeight="1" x14ac:dyDescent="0.2">
      <c r="A32" s="74">
        <v>9</v>
      </c>
      <c r="B32" s="75" t="s">
        <v>90</v>
      </c>
      <c r="C32" s="76">
        <v>63048599</v>
      </c>
      <c r="D32" s="76">
        <v>62425175</v>
      </c>
      <c r="E32" s="76">
        <f t="shared" si="2"/>
        <v>-623424</v>
      </c>
      <c r="F32" s="77">
        <f t="shared" si="3"/>
        <v>-9.8879913255487239E-3</v>
      </c>
    </row>
    <row r="33" spans="1:6" ht="23.1" customHeight="1" x14ac:dyDescent="0.25">
      <c r="A33" s="71"/>
      <c r="B33" s="78" t="s">
        <v>91</v>
      </c>
      <c r="C33" s="79">
        <f>SUM(C24:C32)</f>
        <v>208792651</v>
      </c>
      <c r="D33" s="79">
        <f>SUM(D24:D32)</f>
        <v>203092473</v>
      </c>
      <c r="E33" s="79">
        <f t="shared" si="2"/>
        <v>-5700178</v>
      </c>
      <c r="F33" s="80">
        <f t="shared" si="3"/>
        <v>-2.7300663949134878E-2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18936576</v>
      </c>
      <c r="D35" s="79">
        <f>+D21-D33</f>
        <v>16399371</v>
      </c>
      <c r="E35" s="79">
        <f>D35-C35</f>
        <v>-2537205</v>
      </c>
      <c r="F35" s="80">
        <f>IF(C35=0,0,E35/C35)</f>
        <v>-0.13398435915764287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17066</v>
      </c>
      <c r="D38" s="76">
        <v>1211021</v>
      </c>
      <c r="E38" s="76">
        <f>D38-C38</f>
        <v>1193955</v>
      </c>
      <c r="F38" s="77">
        <f>IF(C38=0,0,E38/C38)</f>
        <v>69.961033634126338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3854108</v>
      </c>
      <c r="D40" s="76">
        <v>-2703971</v>
      </c>
      <c r="E40" s="76">
        <f>D40-C40</f>
        <v>-6558079</v>
      </c>
      <c r="F40" s="77">
        <f>IF(C40=0,0,E40/C40)</f>
        <v>-1.70158153326269</v>
      </c>
    </row>
    <row r="41" spans="1:6" ht="23.1" customHeight="1" x14ac:dyDescent="0.25">
      <c r="A41" s="83"/>
      <c r="B41" s="78" t="s">
        <v>97</v>
      </c>
      <c r="C41" s="79">
        <f>SUM(C38:C40)</f>
        <v>3871174</v>
      </c>
      <c r="D41" s="79">
        <f>SUM(D38:D40)</f>
        <v>-1492950</v>
      </c>
      <c r="E41" s="79">
        <f>D41-C41</f>
        <v>-5364124</v>
      </c>
      <c r="F41" s="80">
        <f>IF(C41=0,0,E41/C41)</f>
        <v>-1.3856582008455316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22807750</v>
      </c>
      <c r="D43" s="79">
        <f>D35+D41</f>
        <v>14906421</v>
      </c>
      <c r="E43" s="79">
        <f>D43-C43</f>
        <v>-7901329</v>
      </c>
      <c r="F43" s="80">
        <f>IF(C43=0,0,E43/C43)</f>
        <v>-0.34643176113382512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-723879</v>
      </c>
      <c r="D47" s="76">
        <v>-1109757</v>
      </c>
      <c r="E47" s="76">
        <f>D47-C47</f>
        <v>-385878</v>
      </c>
      <c r="F47" s="77">
        <f>IF(C47=0,0,E47/C47)</f>
        <v>0.53306975337038376</v>
      </c>
    </row>
    <row r="48" spans="1:6" ht="23.1" customHeight="1" x14ac:dyDescent="0.25">
      <c r="A48" s="83"/>
      <c r="B48" s="78" t="s">
        <v>102</v>
      </c>
      <c r="C48" s="79">
        <f>SUM(C46:C47)</f>
        <v>-723879</v>
      </c>
      <c r="D48" s="79">
        <f>SUM(D46:D47)</f>
        <v>-1109757</v>
      </c>
      <c r="E48" s="79">
        <f>D48-C48</f>
        <v>-385878</v>
      </c>
      <c r="F48" s="80">
        <f>IF(C48=0,0,E48/C48)</f>
        <v>0.53306975337038376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22083871</v>
      </c>
      <c r="D50" s="79">
        <f>D43+D48</f>
        <v>13796664</v>
      </c>
      <c r="E50" s="79">
        <f>D50-C50</f>
        <v>-8287207</v>
      </c>
      <c r="F50" s="80">
        <f>IF(C50=0,0,E50/C50)</f>
        <v>-0.37526061440949371</v>
      </c>
    </row>
    <row r="51" spans="1:6" ht="23.1" customHeight="1" x14ac:dyDescent="0.2">
      <c r="A51" s="85"/>
      <c r="B51" s="75" t="s">
        <v>104</v>
      </c>
      <c r="C51" s="76">
        <v>955854</v>
      </c>
      <c r="D51" s="76">
        <v>1099156</v>
      </c>
      <c r="E51" s="76">
        <f>D51-C51</f>
        <v>143302</v>
      </c>
      <c r="F51" s="77">
        <f>IF(C51=0,0,E51/C51)</f>
        <v>0.14992038533081412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FILING&amp;RMIDSTATE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topLeftCell="A20" zoomScale="75" zoomScaleNormal="75" workbookViewId="0">
      <selection activeCell="B42" sqref="B42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99307055</v>
      </c>
      <c r="D14" s="113">
        <v>99125681</v>
      </c>
      <c r="E14" s="113">
        <f t="shared" ref="E14:E25" si="0">D14-C14</f>
        <v>-181374</v>
      </c>
      <c r="F14" s="114">
        <f t="shared" ref="F14:F25" si="1">IF(C14=0,0,E14/C14)</f>
        <v>-1.8263959192023164E-3</v>
      </c>
    </row>
    <row r="15" spans="1:6" x14ac:dyDescent="0.2">
      <c r="A15" s="115">
        <v>2</v>
      </c>
      <c r="B15" s="116" t="s">
        <v>114</v>
      </c>
      <c r="C15" s="113">
        <v>33861421</v>
      </c>
      <c r="D15" s="113">
        <v>35804127</v>
      </c>
      <c r="E15" s="113">
        <f t="shared" si="0"/>
        <v>1942706</v>
      </c>
      <c r="F15" s="114">
        <f t="shared" si="1"/>
        <v>5.7372252629327047E-2</v>
      </c>
    </row>
    <row r="16" spans="1:6" x14ac:dyDescent="0.2">
      <c r="A16" s="115">
        <v>3</v>
      </c>
      <c r="B16" s="116" t="s">
        <v>115</v>
      </c>
      <c r="C16" s="113">
        <v>40223929</v>
      </c>
      <c r="D16" s="113">
        <v>37502987</v>
      </c>
      <c r="E16" s="113">
        <f t="shared" si="0"/>
        <v>-2720942</v>
      </c>
      <c r="F16" s="114">
        <f t="shared" si="1"/>
        <v>-6.7644858860008428E-2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106532</v>
      </c>
      <c r="D18" s="113">
        <v>243880</v>
      </c>
      <c r="E18" s="113">
        <f t="shared" si="0"/>
        <v>137348</v>
      </c>
      <c r="F18" s="114">
        <f t="shared" si="1"/>
        <v>1.2892651973116058</v>
      </c>
    </row>
    <row r="19" spans="1:6" x14ac:dyDescent="0.2">
      <c r="A19" s="115">
        <v>6</v>
      </c>
      <c r="B19" s="116" t="s">
        <v>118</v>
      </c>
      <c r="C19" s="113">
        <v>2033161</v>
      </c>
      <c r="D19" s="113">
        <v>1840046</v>
      </c>
      <c r="E19" s="113">
        <f t="shared" si="0"/>
        <v>-193115</v>
      </c>
      <c r="F19" s="114">
        <f t="shared" si="1"/>
        <v>-9.4982640331975676E-2</v>
      </c>
    </row>
    <row r="20" spans="1:6" x14ac:dyDescent="0.2">
      <c r="A20" s="115">
        <v>7</v>
      </c>
      <c r="B20" s="116" t="s">
        <v>119</v>
      </c>
      <c r="C20" s="113">
        <v>47276274</v>
      </c>
      <c r="D20" s="113">
        <v>47170450</v>
      </c>
      <c r="E20" s="113">
        <f t="shared" si="0"/>
        <v>-105824</v>
      </c>
      <c r="F20" s="114">
        <f t="shared" si="1"/>
        <v>-2.238416673869011E-3</v>
      </c>
    </row>
    <row r="21" spans="1:6" x14ac:dyDescent="0.2">
      <c r="A21" s="115">
        <v>8</v>
      </c>
      <c r="B21" s="116" t="s">
        <v>120</v>
      </c>
      <c r="C21" s="113">
        <v>1007372</v>
      </c>
      <c r="D21" s="113">
        <v>1726754</v>
      </c>
      <c r="E21" s="113">
        <f t="shared" si="0"/>
        <v>719382</v>
      </c>
      <c r="F21" s="114">
        <f t="shared" si="1"/>
        <v>0.71411752560126751</v>
      </c>
    </row>
    <row r="22" spans="1:6" x14ac:dyDescent="0.2">
      <c r="A22" s="115">
        <v>9</v>
      </c>
      <c r="B22" s="116" t="s">
        <v>121</v>
      </c>
      <c r="C22" s="113">
        <v>2576251</v>
      </c>
      <c r="D22" s="113">
        <v>1924125</v>
      </c>
      <c r="E22" s="113">
        <f t="shared" si="0"/>
        <v>-652126</v>
      </c>
      <c r="F22" s="114">
        <f t="shared" si="1"/>
        <v>-0.25312983866867012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226391995</v>
      </c>
      <c r="D25" s="119">
        <f>SUM(D14:D24)</f>
        <v>225338050</v>
      </c>
      <c r="E25" s="119">
        <f t="shared" si="0"/>
        <v>-1053945</v>
      </c>
      <c r="F25" s="120">
        <f t="shared" si="1"/>
        <v>-4.6553987034744755E-3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77323593</v>
      </c>
      <c r="D27" s="113">
        <v>84351170</v>
      </c>
      <c r="E27" s="113">
        <f t="shared" ref="E27:E38" si="2">D27-C27</f>
        <v>7027577</v>
      </c>
      <c r="F27" s="114">
        <f t="shared" ref="F27:F38" si="3">IF(C27=0,0,E27/C27)</f>
        <v>9.0885287754282187E-2</v>
      </c>
    </row>
    <row r="28" spans="1:6" x14ac:dyDescent="0.2">
      <c r="A28" s="115">
        <v>2</v>
      </c>
      <c r="B28" s="116" t="s">
        <v>114</v>
      </c>
      <c r="C28" s="113">
        <v>32585129</v>
      </c>
      <c r="D28" s="113">
        <v>33828057</v>
      </c>
      <c r="E28" s="113">
        <f t="shared" si="2"/>
        <v>1242928</v>
      </c>
      <c r="F28" s="114">
        <f t="shared" si="3"/>
        <v>3.8144025760953715E-2</v>
      </c>
    </row>
    <row r="29" spans="1:6" x14ac:dyDescent="0.2">
      <c r="A29" s="115">
        <v>3</v>
      </c>
      <c r="B29" s="116" t="s">
        <v>115</v>
      </c>
      <c r="C29" s="113">
        <v>78467175</v>
      </c>
      <c r="D29" s="113">
        <v>82689411</v>
      </c>
      <c r="E29" s="113">
        <f t="shared" si="2"/>
        <v>4222236</v>
      </c>
      <c r="F29" s="114">
        <f t="shared" si="3"/>
        <v>5.3808946224966042E-2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763906</v>
      </c>
      <c r="D31" s="113">
        <v>580494</v>
      </c>
      <c r="E31" s="113">
        <f t="shared" si="2"/>
        <v>-183412</v>
      </c>
      <c r="F31" s="114">
        <f t="shared" si="3"/>
        <v>-0.24009760363186047</v>
      </c>
    </row>
    <row r="32" spans="1:6" x14ac:dyDescent="0.2">
      <c r="A32" s="115">
        <v>6</v>
      </c>
      <c r="B32" s="116" t="s">
        <v>118</v>
      </c>
      <c r="C32" s="113">
        <v>5437931</v>
      </c>
      <c r="D32" s="113">
        <v>6354266</v>
      </c>
      <c r="E32" s="113">
        <f t="shared" si="2"/>
        <v>916335</v>
      </c>
      <c r="F32" s="114">
        <f t="shared" si="3"/>
        <v>0.16850802262845924</v>
      </c>
    </row>
    <row r="33" spans="1:6" x14ac:dyDescent="0.2">
      <c r="A33" s="115">
        <v>7</v>
      </c>
      <c r="B33" s="116" t="s">
        <v>119</v>
      </c>
      <c r="C33" s="113">
        <v>111555273</v>
      </c>
      <c r="D33" s="113">
        <v>107722194</v>
      </c>
      <c r="E33" s="113">
        <f t="shared" si="2"/>
        <v>-3833079</v>
      </c>
      <c r="F33" s="114">
        <f t="shared" si="3"/>
        <v>-3.4360356950585383E-2</v>
      </c>
    </row>
    <row r="34" spans="1:6" x14ac:dyDescent="0.2">
      <c r="A34" s="115">
        <v>8</v>
      </c>
      <c r="B34" s="116" t="s">
        <v>120</v>
      </c>
      <c r="C34" s="113">
        <v>4070092</v>
      </c>
      <c r="D34" s="113">
        <v>3568204</v>
      </c>
      <c r="E34" s="113">
        <f t="shared" si="2"/>
        <v>-501888</v>
      </c>
      <c r="F34" s="114">
        <f t="shared" si="3"/>
        <v>-0.12331121753513188</v>
      </c>
    </row>
    <row r="35" spans="1:6" x14ac:dyDescent="0.2">
      <c r="A35" s="115">
        <v>9</v>
      </c>
      <c r="B35" s="116" t="s">
        <v>121</v>
      </c>
      <c r="C35" s="113">
        <v>6834430</v>
      </c>
      <c r="D35" s="113">
        <v>5095393</v>
      </c>
      <c r="E35" s="113">
        <f t="shared" si="2"/>
        <v>-1739037</v>
      </c>
      <c r="F35" s="114">
        <f t="shared" si="3"/>
        <v>-0.25445238300780021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317037529</v>
      </c>
      <c r="D38" s="119">
        <f>SUM(D27:D37)</f>
        <v>324189189</v>
      </c>
      <c r="E38" s="119">
        <f t="shared" si="2"/>
        <v>7151660</v>
      </c>
      <c r="F38" s="120">
        <f t="shared" si="3"/>
        <v>2.255777107069239E-2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176630648</v>
      </c>
      <c r="D41" s="119">
        <f t="shared" si="4"/>
        <v>183476851</v>
      </c>
      <c r="E41" s="123">
        <f t="shared" ref="E41:E52" si="5">D41-C41</f>
        <v>6846203</v>
      </c>
      <c r="F41" s="124">
        <f t="shared" ref="F41:F52" si="6">IF(C41=0,0,E41/C41)</f>
        <v>3.8759994811319497E-2</v>
      </c>
    </row>
    <row r="42" spans="1:6" ht="15.75" x14ac:dyDescent="0.25">
      <c r="A42" s="121">
        <v>2</v>
      </c>
      <c r="B42" s="122" t="s">
        <v>114</v>
      </c>
      <c r="C42" s="119">
        <f t="shared" si="4"/>
        <v>66446550</v>
      </c>
      <c r="D42" s="119">
        <f t="shared" si="4"/>
        <v>69632184</v>
      </c>
      <c r="E42" s="123">
        <f t="shared" si="5"/>
        <v>3185634</v>
      </c>
      <c r="F42" s="124">
        <f t="shared" si="6"/>
        <v>4.7942805156926886E-2</v>
      </c>
    </row>
    <row r="43" spans="1:6" ht="15.75" x14ac:dyDescent="0.25">
      <c r="A43" s="121">
        <v>3</v>
      </c>
      <c r="B43" s="122" t="s">
        <v>115</v>
      </c>
      <c r="C43" s="119">
        <f t="shared" si="4"/>
        <v>118691104</v>
      </c>
      <c r="D43" s="119">
        <f t="shared" si="4"/>
        <v>120192398</v>
      </c>
      <c r="E43" s="123">
        <f t="shared" si="5"/>
        <v>1501294</v>
      </c>
      <c r="F43" s="124">
        <f t="shared" si="6"/>
        <v>1.2648749142985477E-2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870438</v>
      </c>
      <c r="D45" s="119">
        <f t="shared" si="4"/>
        <v>824374</v>
      </c>
      <c r="E45" s="123">
        <f t="shared" si="5"/>
        <v>-46064</v>
      </c>
      <c r="F45" s="124">
        <f t="shared" si="6"/>
        <v>-5.2920483710499774E-2</v>
      </c>
    </row>
    <row r="46" spans="1:6" ht="15.75" x14ac:dyDescent="0.25">
      <c r="A46" s="121">
        <v>6</v>
      </c>
      <c r="B46" s="122" t="s">
        <v>118</v>
      </c>
      <c r="C46" s="119">
        <f t="shared" si="4"/>
        <v>7471092</v>
      </c>
      <c r="D46" s="119">
        <f t="shared" si="4"/>
        <v>8194312</v>
      </c>
      <c r="E46" s="123">
        <f t="shared" si="5"/>
        <v>723220</v>
      </c>
      <c r="F46" s="124">
        <f t="shared" si="6"/>
        <v>9.680244869157012E-2</v>
      </c>
    </row>
    <row r="47" spans="1:6" ht="15.75" x14ac:dyDescent="0.25">
      <c r="A47" s="121">
        <v>7</v>
      </c>
      <c r="B47" s="122" t="s">
        <v>119</v>
      </c>
      <c r="C47" s="119">
        <f t="shared" si="4"/>
        <v>158831547</v>
      </c>
      <c r="D47" s="119">
        <f t="shared" si="4"/>
        <v>154892644</v>
      </c>
      <c r="E47" s="123">
        <f t="shared" si="5"/>
        <v>-3938903</v>
      </c>
      <c r="F47" s="124">
        <f t="shared" si="6"/>
        <v>-2.4799248476752543E-2</v>
      </c>
    </row>
    <row r="48" spans="1:6" ht="15.75" x14ac:dyDescent="0.25">
      <c r="A48" s="121">
        <v>8</v>
      </c>
      <c r="B48" s="122" t="s">
        <v>120</v>
      </c>
      <c r="C48" s="119">
        <f t="shared" si="4"/>
        <v>5077464</v>
      </c>
      <c r="D48" s="119">
        <f t="shared" si="4"/>
        <v>5294958</v>
      </c>
      <c r="E48" s="123">
        <f t="shared" si="5"/>
        <v>217494</v>
      </c>
      <c r="F48" s="124">
        <f t="shared" si="6"/>
        <v>4.2835163380774338E-2</v>
      </c>
    </row>
    <row r="49" spans="1:6" ht="15.75" x14ac:dyDescent="0.25">
      <c r="A49" s="121">
        <v>9</v>
      </c>
      <c r="B49" s="122" t="s">
        <v>121</v>
      </c>
      <c r="C49" s="119">
        <f t="shared" si="4"/>
        <v>9410681</v>
      </c>
      <c r="D49" s="119">
        <f t="shared" si="4"/>
        <v>7019518</v>
      </c>
      <c r="E49" s="123">
        <f t="shared" si="5"/>
        <v>-2391163</v>
      </c>
      <c r="F49" s="124">
        <f t="shared" si="6"/>
        <v>-0.25409032566293555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543429524</v>
      </c>
      <c r="D52" s="128">
        <f>SUM(D41:D51)</f>
        <v>549527239</v>
      </c>
      <c r="E52" s="127">
        <f t="shared" si="5"/>
        <v>6097715</v>
      </c>
      <c r="F52" s="129">
        <f t="shared" si="6"/>
        <v>1.1220801834830011E-2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37721640</v>
      </c>
      <c r="D57" s="113">
        <v>38994916</v>
      </c>
      <c r="E57" s="113">
        <f t="shared" ref="E57:E68" si="7">D57-C57</f>
        <v>1273276</v>
      </c>
      <c r="F57" s="114">
        <f t="shared" ref="F57:F68" si="8">IF(C57=0,0,E57/C57)</f>
        <v>3.3754523928440014E-2</v>
      </c>
    </row>
    <row r="58" spans="1:6" x14ac:dyDescent="0.2">
      <c r="A58" s="115">
        <v>2</v>
      </c>
      <c r="B58" s="116" t="s">
        <v>114</v>
      </c>
      <c r="C58" s="113">
        <v>14121343</v>
      </c>
      <c r="D58" s="113">
        <v>12992410</v>
      </c>
      <c r="E58" s="113">
        <f t="shared" si="7"/>
        <v>-1128933</v>
      </c>
      <c r="F58" s="114">
        <f t="shared" si="8"/>
        <v>-7.9945158190690507E-2</v>
      </c>
    </row>
    <row r="59" spans="1:6" x14ac:dyDescent="0.2">
      <c r="A59" s="115">
        <v>3</v>
      </c>
      <c r="B59" s="116" t="s">
        <v>115</v>
      </c>
      <c r="C59" s="113">
        <v>12188046</v>
      </c>
      <c r="D59" s="113">
        <v>10521691</v>
      </c>
      <c r="E59" s="113">
        <f t="shared" si="7"/>
        <v>-1666355</v>
      </c>
      <c r="F59" s="114">
        <f t="shared" si="8"/>
        <v>-0.13672043902689571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21397</v>
      </c>
      <c r="D61" s="113">
        <v>63289</v>
      </c>
      <c r="E61" s="113">
        <f t="shared" si="7"/>
        <v>41892</v>
      </c>
      <c r="F61" s="114">
        <f t="shared" si="8"/>
        <v>1.9578445576482684</v>
      </c>
    </row>
    <row r="62" spans="1:6" x14ac:dyDescent="0.2">
      <c r="A62" s="115">
        <v>6</v>
      </c>
      <c r="B62" s="116" t="s">
        <v>118</v>
      </c>
      <c r="C62" s="113">
        <v>2192183</v>
      </c>
      <c r="D62" s="113">
        <v>1299674</v>
      </c>
      <c r="E62" s="113">
        <f t="shared" si="7"/>
        <v>-892509</v>
      </c>
      <c r="F62" s="114">
        <f t="shared" si="8"/>
        <v>-0.40713252497624514</v>
      </c>
    </row>
    <row r="63" spans="1:6" x14ac:dyDescent="0.2">
      <c r="A63" s="115">
        <v>7</v>
      </c>
      <c r="B63" s="116" t="s">
        <v>119</v>
      </c>
      <c r="C63" s="113">
        <v>29217508</v>
      </c>
      <c r="D63" s="113">
        <v>29574257</v>
      </c>
      <c r="E63" s="113">
        <f t="shared" si="7"/>
        <v>356749</v>
      </c>
      <c r="F63" s="114">
        <f t="shared" si="8"/>
        <v>1.2210110458427872E-2</v>
      </c>
    </row>
    <row r="64" spans="1:6" x14ac:dyDescent="0.2">
      <c r="A64" s="115">
        <v>8</v>
      </c>
      <c r="B64" s="116" t="s">
        <v>120</v>
      </c>
      <c r="C64" s="113">
        <v>1007372</v>
      </c>
      <c r="D64" s="113">
        <v>1726754</v>
      </c>
      <c r="E64" s="113">
        <f t="shared" si="7"/>
        <v>719382</v>
      </c>
      <c r="F64" s="114">
        <f t="shared" si="8"/>
        <v>0.71411752560126751</v>
      </c>
    </row>
    <row r="65" spans="1:6" x14ac:dyDescent="0.2">
      <c r="A65" s="115">
        <v>9</v>
      </c>
      <c r="B65" s="116" t="s">
        <v>121</v>
      </c>
      <c r="C65" s="113">
        <v>1035766</v>
      </c>
      <c r="D65" s="113">
        <v>852594</v>
      </c>
      <c r="E65" s="113">
        <f t="shared" si="7"/>
        <v>-183172</v>
      </c>
      <c r="F65" s="114">
        <f t="shared" si="8"/>
        <v>-0.17684689398956907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97505255</v>
      </c>
      <c r="D68" s="119">
        <f>SUM(D57:D67)</f>
        <v>96025585</v>
      </c>
      <c r="E68" s="119">
        <f t="shared" si="7"/>
        <v>-1479670</v>
      </c>
      <c r="F68" s="120">
        <f t="shared" si="8"/>
        <v>-1.5175284655170637E-2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21320301</v>
      </c>
      <c r="D70" s="113">
        <v>23064946</v>
      </c>
      <c r="E70" s="113">
        <f t="shared" ref="E70:E81" si="9">D70-C70</f>
        <v>1744645</v>
      </c>
      <c r="F70" s="114">
        <f t="shared" ref="F70:F81" si="10">IF(C70=0,0,E70/C70)</f>
        <v>8.1830223691494786E-2</v>
      </c>
    </row>
    <row r="71" spans="1:6" x14ac:dyDescent="0.2">
      <c r="A71" s="115">
        <v>2</v>
      </c>
      <c r="B71" s="116" t="s">
        <v>114</v>
      </c>
      <c r="C71" s="113">
        <v>8352550</v>
      </c>
      <c r="D71" s="113">
        <v>8720289</v>
      </c>
      <c r="E71" s="113">
        <f t="shared" si="9"/>
        <v>367739</v>
      </c>
      <c r="F71" s="114">
        <f t="shared" si="10"/>
        <v>4.4027153384295817E-2</v>
      </c>
    </row>
    <row r="72" spans="1:6" x14ac:dyDescent="0.2">
      <c r="A72" s="115">
        <v>3</v>
      </c>
      <c r="B72" s="116" t="s">
        <v>115</v>
      </c>
      <c r="C72" s="113">
        <v>17449662</v>
      </c>
      <c r="D72" s="113">
        <v>15941006</v>
      </c>
      <c r="E72" s="113">
        <f t="shared" si="9"/>
        <v>-1508656</v>
      </c>
      <c r="F72" s="114">
        <f t="shared" si="10"/>
        <v>-8.6457605883712818E-2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153431</v>
      </c>
      <c r="D74" s="113">
        <v>150643</v>
      </c>
      <c r="E74" s="113">
        <f t="shared" si="9"/>
        <v>-2788</v>
      </c>
      <c r="F74" s="114">
        <f t="shared" si="10"/>
        <v>-1.8171034536697276E-2</v>
      </c>
    </row>
    <row r="75" spans="1:6" x14ac:dyDescent="0.2">
      <c r="A75" s="115">
        <v>6</v>
      </c>
      <c r="B75" s="116" t="s">
        <v>118</v>
      </c>
      <c r="C75" s="113">
        <v>5790564</v>
      </c>
      <c r="D75" s="113">
        <v>5206957</v>
      </c>
      <c r="E75" s="113">
        <f t="shared" si="9"/>
        <v>-583607</v>
      </c>
      <c r="F75" s="114">
        <f t="shared" si="10"/>
        <v>-0.10078586472751186</v>
      </c>
    </row>
    <row r="76" spans="1:6" x14ac:dyDescent="0.2">
      <c r="A76" s="115">
        <v>7</v>
      </c>
      <c r="B76" s="116" t="s">
        <v>119</v>
      </c>
      <c r="C76" s="113">
        <v>71988557</v>
      </c>
      <c r="D76" s="113">
        <v>69482751</v>
      </c>
      <c r="E76" s="113">
        <f t="shared" si="9"/>
        <v>-2505806</v>
      </c>
      <c r="F76" s="114">
        <f t="shared" si="10"/>
        <v>-3.4808393228384894E-2</v>
      </c>
    </row>
    <row r="77" spans="1:6" x14ac:dyDescent="0.2">
      <c r="A77" s="115">
        <v>8</v>
      </c>
      <c r="B77" s="116" t="s">
        <v>120</v>
      </c>
      <c r="C77" s="113">
        <v>4070093</v>
      </c>
      <c r="D77" s="113">
        <v>3568204</v>
      </c>
      <c r="E77" s="113">
        <f t="shared" si="9"/>
        <v>-501889</v>
      </c>
      <c r="F77" s="114">
        <f t="shared" si="10"/>
        <v>-0.12331143293285927</v>
      </c>
    </row>
    <row r="78" spans="1:6" x14ac:dyDescent="0.2">
      <c r="A78" s="115">
        <v>9</v>
      </c>
      <c r="B78" s="116" t="s">
        <v>121</v>
      </c>
      <c r="C78" s="113">
        <v>1001844</v>
      </c>
      <c r="D78" s="113">
        <v>1185018</v>
      </c>
      <c r="E78" s="113">
        <f t="shared" si="9"/>
        <v>183174</v>
      </c>
      <c r="F78" s="114">
        <f t="shared" si="10"/>
        <v>0.18283684885071927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130127002</v>
      </c>
      <c r="D81" s="119">
        <f>SUM(D70:D80)</f>
        <v>127319814</v>
      </c>
      <c r="E81" s="119">
        <f t="shared" si="9"/>
        <v>-2807188</v>
      </c>
      <c r="F81" s="120">
        <f t="shared" si="10"/>
        <v>-2.157267866664599E-2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59041941</v>
      </c>
      <c r="D84" s="119">
        <f t="shared" si="11"/>
        <v>62059862</v>
      </c>
      <c r="E84" s="119">
        <f t="shared" ref="E84:E95" si="12">D84-C84</f>
        <v>3017921</v>
      </c>
      <c r="F84" s="120">
        <f t="shared" ref="F84:F95" si="13">IF(C84=0,0,E84/C84)</f>
        <v>5.1114867649761038E-2</v>
      </c>
    </row>
    <row r="85" spans="1:6" ht="15.75" x14ac:dyDescent="0.25">
      <c r="A85" s="130">
        <v>2</v>
      </c>
      <c r="B85" s="122" t="s">
        <v>114</v>
      </c>
      <c r="C85" s="119">
        <f t="shared" si="11"/>
        <v>22473893</v>
      </c>
      <c r="D85" s="119">
        <f t="shared" si="11"/>
        <v>21712699</v>
      </c>
      <c r="E85" s="119">
        <f t="shared" si="12"/>
        <v>-761194</v>
      </c>
      <c r="F85" s="120">
        <f t="shared" si="13"/>
        <v>-3.3870144349267835E-2</v>
      </c>
    </row>
    <row r="86" spans="1:6" ht="15.75" x14ac:dyDescent="0.25">
      <c r="A86" s="130">
        <v>3</v>
      </c>
      <c r="B86" s="122" t="s">
        <v>115</v>
      </c>
      <c r="C86" s="119">
        <f t="shared" si="11"/>
        <v>29637708</v>
      </c>
      <c r="D86" s="119">
        <f t="shared" si="11"/>
        <v>26462697</v>
      </c>
      <c r="E86" s="119">
        <f t="shared" si="12"/>
        <v>-3175011</v>
      </c>
      <c r="F86" s="120">
        <f t="shared" si="13"/>
        <v>-0.10712741349634729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174828</v>
      </c>
      <c r="D88" s="119">
        <f t="shared" si="11"/>
        <v>213932</v>
      </c>
      <c r="E88" s="119">
        <f t="shared" si="12"/>
        <v>39104</v>
      </c>
      <c r="F88" s="120">
        <f t="shared" si="13"/>
        <v>0.22367126547234997</v>
      </c>
    </row>
    <row r="89" spans="1:6" ht="15.75" x14ac:dyDescent="0.25">
      <c r="A89" s="130">
        <v>6</v>
      </c>
      <c r="B89" s="122" t="s">
        <v>118</v>
      </c>
      <c r="C89" s="119">
        <f t="shared" si="11"/>
        <v>7982747</v>
      </c>
      <c r="D89" s="119">
        <f t="shared" si="11"/>
        <v>6506631</v>
      </c>
      <c r="E89" s="119">
        <f t="shared" si="12"/>
        <v>-1476116</v>
      </c>
      <c r="F89" s="120">
        <f t="shared" si="13"/>
        <v>-0.18491328862107242</v>
      </c>
    </row>
    <row r="90" spans="1:6" ht="15.75" x14ac:dyDescent="0.25">
      <c r="A90" s="130">
        <v>7</v>
      </c>
      <c r="B90" s="122" t="s">
        <v>119</v>
      </c>
      <c r="C90" s="119">
        <f t="shared" si="11"/>
        <v>101206065</v>
      </c>
      <c r="D90" s="119">
        <f t="shared" si="11"/>
        <v>99057008</v>
      </c>
      <c r="E90" s="119">
        <f t="shared" si="12"/>
        <v>-2149057</v>
      </c>
      <c r="F90" s="120">
        <f t="shared" si="13"/>
        <v>-2.123446850739627E-2</v>
      </c>
    </row>
    <row r="91" spans="1:6" ht="15.75" x14ac:dyDescent="0.25">
      <c r="A91" s="130">
        <v>8</v>
      </c>
      <c r="B91" s="122" t="s">
        <v>120</v>
      </c>
      <c r="C91" s="119">
        <f t="shared" si="11"/>
        <v>5077465</v>
      </c>
      <c r="D91" s="119">
        <f t="shared" si="11"/>
        <v>5294958</v>
      </c>
      <c r="E91" s="119">
        <f t="shared" si="12"/>
        <v>217493</v>
      </c>
      <c r="F91" s="120">
        <f t="shared" si="13"/>
        <v>4.2834957995771514E-2</v>
      </c>
    </row>
    <row r="92" spans="1:6" ht="15.75" x14ac:dyDescent="0.25">
      <c r="A92" s="130">
        <v>9</v>
      </c>
      <c r="B92" s="122" t="s">
        <v>121</v>
      </c>
      <c r="C92" s="119">
        <f t="shared" si="11"/>
        <v>2037610</v>
      </c>
      <c r="D92" s="119">
        <f t="shared" si="11"/>
        <v>2037612</v>
      </c>
      <c r="E92" s="119">
        <f t="shared" si="12"/>
        <v>2</v>
      </c>
      <c r="F92" s="120">
        <f t="shared" si="13"/>
        <v>9.8154210079455828E-7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227632257</v>
      </c>
      <c r="D95" s="128">
        <f>SUM(D84:D94)</f>
        <v>223345399</v>
      </c>
      <c r="E95" s="128">
        <f t="shared" si="12"/>
        <v>-4286858</v>
      </c>
      <c r="F95" s="129">
        <f t="shared" si="13"/>
        <v>-1.883238367223148E-2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3388</v>
      </c>
      <c r="D100" s="133">
        <v>3397</v>
      </c>
      <c r="E100" s="133">
        <f t="shared" ref="E100:E111" si="14">D100-C100</f>
        <v>9</v>
      </c>
      <c r="F100" s="114">
        <f t="shared" ref="F100:F111" si="15">IF(C100=0,0,E100/C100)</f>
        <v>2.6564344746162929E-3</v>
      </c>
    </row>
    <row r="101" spans="1:6" x14ac:dyDescent="0.2">
      <c r="A101" s="115">
        <v>2</v>
      </c>
      <c r="B101" s="116" t="s">
        <v>114</v>
      </c>
      <c r="C101" s="133">
        <v>1095</v>
      </c>
      <c r="D101" s="133">
        <v>1207</v>
      </c>
      <c r="E101" s="133">
        <f t="shared" si="14"/>
        <v>112</v>
      </c>
      <c r="F101" s="114">
        <f t="shared" si="15"/>
        <v>0.10228310502283106</v>
      </c>
    </row>
    <row r="102" spans="1:6" x14ac:dyDescent="0.2">
      <c r="A102" s="115">
        <v>3</v>
      </c>
      <c r="B102" s="116" t="s">
        <v>115</v>
      </c>
      <c r="C102" s="133">
        <v>2182</v>
      </c>
      <c r="D102" s="133">
        <v>2137</v>
      </c>
      <c r="E102" s="133">
        <f t="shared" si="14"/>
        <v>-45</v>
      </c>
      <c r="F102" s="114">
        <f t="shared" si="15"/>
        <v>-2.0623281393217233E-2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12</v>
      </c>
      <c r="D104" s="133">
        <v>21</v>
      </c>
      <c r="E104" s="133">
        <f t="shared" si="14"/>
        <v>9</v>
      </c>
      <c r="F104" s="114">
        <f t="shared" si="15"/>
        <v>0.75</v>
      </c>
    </row>
    <row r="105" spans="1:6" x14ac:dyDescent="0.2">
      <c r="A105" s="115">
        <v>6</v>
      </c>
      <c r="B105" s="116" t="s">
        <v>118</v>
      </c>
      <c r="C105" s="133">
        <v>107</v>
      </c>
      <c r="D105" s="133">
        <v>79</v>
      </c>
      <c r="E105" s="133">
        <f t="shared" si="14"/>
        <v>-28</v>
      </c>
      <c r="F105" s="114">
        <f t="shared" si="15"/>
        <v>-0.26168224299065418</v>
      </c>
    </row>
    <row r="106" spans="1:6" x14ac:dyDescent="0.2">
      <c r="A106" s="115">
        <v>7</v>
      </c>
      <c r="B106" s="116" t="s">
        <v>119</v>
      </c>
      <c r="C106" s="133">
        <v>2346</v>
      </c>
      <c r="D106" s="133">
        <v>2225</v>
      </c>
      <c r="E106" s="133">
        <f t="shared" si="14"/>
        <v>-121</v>
      </c>
      <c r="F106" s="114">
        <f t="shared" si="15"/>
        <v>-5.1577152600170505E-2</v>
      </c>
    </row>
    <row r="107" spans="1:6" x14ac:dyDescent="0.2">
      <c r="A107" s="115">
        <v>8</v>
      </c>
      <c r="B107" s="116" t="s">
        <v>120</v>
      </c>
      <c r="C107" s="133">
        <v>27</v>
      </c>
      <c r="D107" s="133">
        <v>46</v>
      </c>
      <c r="E107" s="133">
        <f t="shared" si="14"/>
        <v>19</v>
      </c>
      <c r="F107" s="114">
        <f t="shared" si="15"/>
        <v>0.70370370370370372</v>
      </c>
    </row>
    <row r="108" spans="1:6" x14ac:dyDescent="0.2">
      <c r="A108" s="115">
        <v>9</v>
      </c>
      <c r="B108" s="116" t="s">
        <v>121</v>
      </c>
      <c r="C108" s="133">
        <v>127</v>
      </c>
      <c r="D108" s="133">
        <v>96</v>
      </c>
      <c r="E108" s="133">
        <f t="shared" si="14"/>
        <v>-31</v>
      </c>
      <c r="F108" s="114">
        <f t="shared" si="15"/>
        <v>-0.24409448818897639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9284</v>
      </c>
      <c r="D111" s="134">
        <f>SUM(D100:D110)</f>
        <v>9208</v>
      </c>
      <c r="E111" s="134">
        <f t="shared" si="14"/>
        <v>-76</v>
      </c>
      <c r="F111" s="120">
        <f t="shared" si="15"/>
        <v>-8.1861266695389921E-3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17151</v>
      </c>
      <c r="D113" s="133">
        <v>16548</v>
      </c>
      <c r="E113" s="133">
        <f t="shared" ref="E113:E124" si="16">D113-C113</f>
        <v>-603</v>
      </c>
      <c r="F113" s="114">
        <f t="shared" ref="F113:F124" si="17">IF(C113=0,0,E113/C113)</f>
        <v>-3.5158299807591394E-2</v>
      </c>
    </row>
    <row r="114" spans="1:6" x14ac:dyDescent="0.2">
      <c r="A114" s="115">
        <v>2</v>
      </c>
      <c r="B114" s="116" t="s">
        <v>114</v>
      </c>
      <c r="C114" s="133">
        <v>5449</v>
      </c>
      <c r="D114" s="133">
        <v>5565</v>
      </c>
      <c r="E114" s="133">
        <f t="shared" si="16"/>
        <v>116</v>
      </c>
      <c r="F114" s="114">
        <f t="shared" si="17"/>
        <v>2.1288309781611305E-2</v>
      </c>
    </row>
    <row r="115" spans="1:6" x14ac:dyDescent="0.2">
      <c r="A115" s="115">
        <v>3</v>
      </c>
      <c r="B115" s="116" t="s">
        <v>115</v>
      </c>
      <c r="C115" s="133">
        <v>8199</v>
      </c>
      <c r="D115" s="133">
        <v>7226</v>
      </c>
      <c r="E115" s="133">
        <f t="shared" si="16"/>
        <v>-973</v>
      </c>
      <c r="F115" s="114">
        <f t="shared" si="17"/>
        <v>-0.11867300890352482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26</v>
      </c>
      <c r="D117" s="133">
        <v>60</v>
      </c>
      <c r="E117" s="133">
        <f t="shared" si="16"/>
        <v>34</v>
      </c>
      <c r="F117" s="114">
        <f t="shared" si="17"/>
        <v>1.3076923076923077</v>
      </c>
    </row>
    <row r="118" spans="1:6" x14ac:dyDescent="0.2">
      <c r="A118" s="115">
        <v>6</v>
      </c>
      <c r="B118" s="116" t="s">
        <v>118</v>
      </c>
      <c r="C118" s="133">
        <v>337</v>
      </c>
      <c r="D118" s="133">
        <v>275</v>
      </c>
      <c r="E118" s="133">
        <f t="shared" si="16"/>
        <v>-62</v>
      </c>
      <c r="F118" s="114">
        <f t="shared" si="17"/>
        <v>-0.18397626112759644</v>
      </c>
    </row>
    <row r="119" spans="1:6" x14ac:dyDescent="0.2">
      <c r="A119" s="115">
        <v>7</v>
      </c>
      <c r="B119" s="116" t="s">
        <v>119</v>
      </c>
      <c r="C119" s="133">
        <v>7571</v>
      </c>
      <c r="D119" s="133">
        <v>6868</v>
      </c>
      <c r="E119" s="133">
        <f t="shared" si="16"/>
        <v>-703</v>
      </c>
      <c r="F119" s="114">
        <f t="shared" si="17"/>
        <v>-9.2854312508255182E-2</v>
      </c>
    </row>
    <row r="120" spans="1:6" x14ac:dyDescent="0.2">
      <c r="A120" s="115">
        <v>8</v>
      </c>
      <c r="B120" s="116" t="s">
        <v>120</v>
      </c>
      <c r="C120" s="133">
        <v>97</v>
      </c>
      <c r="D120" s="133">
        <v>130</v>
      </c>
      <c r="E120" s="133">
        <f t="shared" si="16"/>
        <v>33</v>
      </c>
      <c r="F120" s="114">
        <f t="shared" si="17"/>
        <v>0.34020618556701032</v>
      </c>
    </row>
    <row r="121" spans="1:6" x14ac:dyDescent="0.2">
      <c r="A121" s="115">
        <v>9</v>
      </c>
      <c r="B121" s="116" t="s">
        <v>121</v>
      </c>
      <c r="C121" s="133">
        <v>662</v>
      </c>
      <c r="D121" s="133">
        <v>586</v>
      </c>
      <c r="E121" s="133">
        <f t="shared" si="16"/>
        <v>-76</v>
      </c>
      <c r="F121" s="114">
        <f t="shared" si="17"/>
        <v>-0.11480362537764351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39492</v>
      </c>
      <c r="D124" s="134">
        <f>SUM(D113:D123)</f>
        <v>37258</v>
      </c>
      <c r="E124" s="134">
        <f t="shared" si="16"/>
        <v>-2234</v>
      </c>
      <c r="F124" s="120">
        <f t="shared" si="17"/>
        <v>-5.6568418920287654E-2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31790</v>
      </c>
      <c r="D126" s="133">
        <v>31463</v>
      </c>
      <c r="E126" s="133">
        <f t="shared" ref="E126:E137" si="18">D126-C126</f>
        <v>-327</v>
      </c>
      <c r="F126" s="114">
        <f t="shared" ref="F126:F137" si="19">IF(C126=0,0,E126/C126)</f>
        <v>-1.0286253538848695E-2</v>
      </c>
    </row>
    <row r="127" spans="1:6" x14ac:dyDescent="0.2">
      <c r="A127" s="115">
        <v>2</v>
      </c>
      <c r="B127" s="116" t="s">
        <v>114</v>
      </c>
      <c r="C127" s="133">
        <v>12539</v>
      </c>
      <c r="D127" s="133">
        <v>12908</v>
      </c>
      <c r="E127" s="133">
        <f t="shared" si="18"/>
        <v>369</v>
      </c>
      <c r="F127" s="114">
        <f t="shared" si="19"/>
        <v>2.9428184065714968E-2</v>
      </c>
    </row>
    <row r="128" spans="1:6" x14ac:dyDescent="0.2">
      <c r="A128" s="115">
        <v>3</v>
      </c>
      <c r="B128" s="116" t="s">
        <v>115</v>
      </c>
      <c r="C128" s="133">
        <v>52128</v>
      </c>
      <c r="D128" s="133">
        <v>49058</v>
      </c>
      <c r="E128" s="133">
        <f t="shared" si="18"/>
        <v>-3070</v>
      </c>
      <c r="F128" s="114">
        <f t="shared" si="19"/>
        <v>-5.8893492940454269E-2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505</v>
      </c>
      <c r="D130" s="133">
        <v>423</v>
      </c>
      <c r="E130" s="133">
        <f t="shared" si="18"/>
        <v>-82</v>
      </c>
      <c r="F130" s="114">
        <f t="shared" si="19"/>
        <v>-0.16237623762376238</v>
      </c>
    </row>
    <row r="131" spans="1:6" x14ac:dyDescent="0.2">
      <c r="A131" s="115">
        <v>6</v>
      </c>
      <c r="B131" s="116" t="s">
        <v>118</v>
      </c>
      <c r="C131" s="133">
        <v>2207</v>
      </c>
      <c r="D131" s="133">
        <v>2048</v>
      </c>
      <c r="E131" s="133">
        <f t="shared" si="18"/>
        <v>-159</v>
      </c>
      <c r="F131" s="114">
        <f t="shared" si="19"/>
        <v>-7.2043497961033071E-2</v>
      </c>
    </row>
    <row r="132" spans="1:6" x14ac:dyDescent="0.2">
      <c r="A132" s="115">
        <v>7</v>
      </c>
      <c r="B132" s="116" t="s">
        <v>119</v>
      </c>
      <c r="C132" s="133">
        <v>61518</v>
      </c>
      <c r="D132" s="133">
        <v>54874</v>
      </c>
      <c r="E132" s="133">
        <f t="shared" si="18"/>
        <v>-6644</v>
      </c>
      <c r="F132" s="114">
        <f t="shared" si="19"/>
        <v>-0.10800091030267564</v>
      </c>
    </row>
    <row r="133" spans="1:6" x14ac:dyDescent="0.2">
      <c r="A133" s="115">
        <v>8</v>
      </c>
      <c r="B133" s="116" t="s">
        <v>120</v>
      </c>
      <c r="C133" s="133">
        <v>1828</v>
      </c>
      <c r="D133" s="133">
        <v>2143</v>
      </c>
      <c r="E133" s="133">
        <f t="shared" si="18"/>
        <v>315</v>
      </c>
      <c r="F133" s="114">
        <f t="shared" si="19"/>
        <v>0.17231947483588622</v>
      </c>
    </row>
    <row r="134" spans="1:6" x14ac:dyDescent="0.2">
      <c r="A134" s="115">
        <v>9</v>
      </c>
      <c r="B134" s="116" t="s">
        <v>121</v>
      </c>
      <c r="C134" s="133">
        <v>5556</v>
      </c>
      <c r="D134" s="133">
        <v>4078</v>
      </c>
      <c r="E134" s="133">
        <f t="shared" si="18"/>
        <v>-1478</v>
      </c>
      <c r="F134" s="114">
        <f t="shared" si="19"/>
        <v>-0.26601871850251979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168071</v>
      </c>
      <c r="D137" s="134">
        <f>SUM(D126:D136)</f>
        <v>156995</v>
      </c>
      <c r="E137" s="134">
        <f t="shared" si="18"/>
        <v>-11076</v>
      </c>
      <c r="F137" s="120">
        <f t="shared" si="19"/>
        <v>-6.5900720528824133E-2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22709728</v>
      </c>
      <c r="D142" s="113">
        <v>22936108</v>
      </c>
      <c r="E142" s="113">
        <f t="shared" ref="E142:E153" si="20">D142-C142</f>
        <v>226380</v>
      </c>
      <c r="F142" s="114">
        <f t="shared" ref="F142:F153" si="21">IF(C142=0,0,E142/C142)</f>
        <v>9.968415297620473E-3</v>
      </c>
    </row>
    <row r="143" spans="1:6" x14ac:dyDescent="0.2">
      <c r="A143" s="115">
        <v>2</v>
      </c>
      <c r="B143" s="116" t="s">
        <v>114</v>
      </c>
      <c r="C143" s="113">
        <v>8015275</v>
      </c>
      <c r="D143" s="113">
        <v>8053082</v>
      </c>
      <c r="E143" s="113">
        <f t="shared" si="20"/>
        <v>37807</v>
      </c>
      <c r="F143" s="114">
        <f t="shared" si="21"/>
        <v>4.7168687287710027E-3</v>
      </c>
    </row>
    <row r="144" spans="1:6" x14ac:dyDescent="0.2">
      <c r="A144" s="115">
        <v>3</v>
      </c>
      <c r="B144" s="116" t="s">
        <v>115</v>
      </c>
      <c r="C144" s="113">
        <v>42555224</v>
      </c>
      <c r="D144" s="113">
        <v>43268329</v>
      </c>
      <c r="E144" s="113">
        <f t="shared" si="20"/>
        <v>713105</v>
      </c>
      <c r="F144" s="114">
        <f t="shared" si="21"/>
        <v>1.6757167110670126E-2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307105</v>
      </c>
      <c r="D146" s="113">
        <v>280013</v>
      </c>
      <c r="E146" s="113">
        <f t="shared" si="20"/>
        <v>-27092</v>
      </c>
      <c r="F146" s="114">
        <f t="shared" si="21"/>
        <v>-8.8217384933491808E-2</v>
      </c>
    </row>
    <row r="147" spans="1:6" x14ac:dyDescent="0.2">
      <c r="A147" s="115">
        <v>6</v>
      </c>
      <c r="B147" s="116" t="s">
        <v>118</v>
      </c>
      <c r="C147" s="113">
        <v>1061296</v>
      </c>
      <c r="D147" s="113">
        <v>1404156</v>
      </c>
      <c r="E147" s="113">
        <f t="shared" si="20"/>
        <v>342860</v>
      </c>
      <c r="F147" s="114">
        <f t="shared" si="21"/>
        <v>0.32305784625589845</v>
      </c>
    </row>
    <row r="148" spans="1:6" x14ac:dyDescent="0.2">
      <c r="A148" s="115">
        <v>7</v>
      </c>
      <c r="B148" s="116" t="s">
        <v>119</v>
      </c>
      <c r="C148" s="113">
        <v>28482162</v>
      </c>
      <c r="D148" s="113">
        <v>28080226</v>
      </c>
      <c r="E148" s="113">
        <f t="shared" si="20"/>
        <v>-401936</v>
      </c>
      <c r="F148" s="114">
        <f t="shared" si="21"/>
        <v>-1.4111850076549666E-2</v>
      </c>
    </row>
    <row r="149" spans="1:6" x14ac:dyDescent="0.2">
      <c r="A149" s="115">
        <v>8</v>
      </c>
      <c r="B149" s="116" t="s">
        <v>120</v>
      </c>
      <c r="C149" s="113">
        <v>974263</v>
      </c>
      <c r="D149" s="113">
        <v>960711</v>
      </c>
      <c r="E149" s="113">
        <f t="shared" si="20"/>
        <v>-13552</v>
      </c>
      <c r="F149" s="114">
        <f t="shared" si="21"/>
        <v>-1.3910001714116209E-2</v>
      </c>
    </row>
    <row r="150" spans="1:6" x14ac:dyDescent="0.2">
      <c r="A150" s="115">
        <v>9</v>
      </c>
      <c r="B150" s="116" t="s">
        <v>121</v>
      </c>
      <c r="C150" s="113">
        <v>5186682</v>
      </c>
      <c r="D150" s="113">
        <v>4098340</v>
      </c>
      <c r="E150" s="113">
        <f t="shared" si="20"/>
        <v>-1088342</v>
      </c>
      <c r="F150" s="114">
        <f t="shared" si="21"/>
        <v>-0.20983395550373052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109291735</v>
      </c>
      <c r="D153" s="119">
        <f>SUM(D142:D152)</f>
        <v>109080965</v>
      </c>
      <c r="E153" s="119">
        <f t="shared" si="20"/>
        <v>-210770</v>
      </c>
      <c r="F153" s="120">
        <f t="shared" si="21"/>
        <v>-1.9285081346727636E-3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4545010</v>
      </c>
      <c r="D155" s="113">
        <v>4706855</v>
      </c>
      <c r="E155" s="113">
        <f t="shared" ref="E155:E166" si="22">D155-C155</f>
        <v>161845</v>
      </c>
      <c r="F155" s="114">
        <f t="shared" ref="F155:F166" si="23">IF(C155=0,0,E155/C155)</f>
        <v>3.5609382597618047E-2</v>
      </c>
    </row>
    <row r="156" spans="1:6" x14ac:dyDescent="0.2">
      <c r="A156" s="115">
        <v>2</v>
      </c>
      <c r="B156" s="116" t="s">
        <v>114</v>
      </c>
      <c r="C156" s="113">
        <v>1602904</v>
      </c>
      <c r="D156" s="113">
        <v>1594337</v>
      </c>
      <c r="E156" s="113">
        <f t="shared" si="22"/>
        <v>-8567</v>
      </c>
      <c r="F156" s="114">
        <f t="shared" si="23"/>
        <v>-5.3446744159350778E-3</v>
      </c>
    </row>
    <row r="157" spans="1:6" x14ac:dyDescent="0.2">
      <c r="A157" s="115">
        <v>3</v>
      </c>
      <c r="B157" s="116" t="s">
        <v>115</v>
      </c>
      <c r="C157" s="113">
        <v>8397392</v>
      </c>
      <c r="D157" s="113">
        <v>7943862</v>
      </c>
      <c r="E157" s="113">
        <f t="shared" si="22"/>
        <v>-453530</v>
      </c>
      <c r="F157" s="114">
        <f t="shared" si="23"/>
        <v>-5.4008434999818992E-2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56545</v>
      </c>
      <c r="D159" s="113">
        <v>60519</v>
      </c>
      <c r="E159" s="113">
        <f t="shared" si="22"/>
        <v>3974</v>
      </c>
      <c r="F159" s="114">
        <f t="shared" si="23"/>
        <v>7.0280307719515434E-2</v>
      </c>
    </row>
    <row r="160" spans="1:6" x14ac:dyDescent="0.2">
      <c r="A160" s="115">
        <v>6</v>
      </c>
      <c r="B160" s="116" t="s">
        <v>118</v>
      </c>
      <c r="C160" s="113">
        <v>551986</v>
      </c>
      <c r="D160" s="113">
        <v>802980</v>
      </c>
      <c r="E160" s="113">
        <f t="shared" si="22"/>
        <v>250994</v>
      </c>
      <c r="F160" s="114">
        <f t="shared" si="23"/>
        <v>0.4547108078828086</v>
      </c>
    </row>
    <row r="161" spans="1:6" x14ac:dyDescent="0.2">
      <c r="A161" s="115">
        <v>7</v>
      </c>
      <c r="B161" s="116" t="s">
        <v>119</v>
      </c>
      <c r="C161" s="113">
        <v>17344209</v>
      </c>
      <c r="D161" s="113">
        <v>17971183</v>
      </c>
      <c r="E161" s="113">
        <f t="shared" si="22"/>
        <v>626974</v>
      </c>
      <c r="F161" s="114">
        <f t="shared" si="23"/>
        <v>3.6148895576615804E-2</v>
      </c>
    </row>
    <row r="162" spans="1:6" x14ac:dyDescent="0.2">
      <c r="A162" s="115">
        <v>8</v>
      </c>
      <c r="B162" s="116" t="s">
        <v>120</v>
      </c>
      <c r="C162" s="113">
        <v>610221</v>
      </c>
      <c r="D162" s="113">
        <v>643295</v>
      </c>
      <c r="E162" s="113">
        <f t="shared" si="22"/>
        <v>33074</v>
      </c>
      <c r="F162" s="114">
        <f t="shared" si="23"/>
        <v>5.4200035724762015E-2</v>
      </c>
    </row>
    <row r="163" spans="1:6" x14ac:dyDescent="0.2">
      <c r="A163" s="115">
        <v>9</v>
      </c>
      <c r="B163" s="116" t="s">
        <v>121</v>
      </c>
      <c r="C163" s="113">
        <v>146156</v>
      </c>
      <c r="D163" s="113">
        <v>224429</v>
      </c>
      <c r="E163" s="113">
        <f t="shared" si="22"/>
        <v>78273</v>
      </c>
      <c r="F163" s="114">
        <f t="shared" si="23"/>
        <v>0.5355442130326501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33254423</v>
      </c>
      <c r="D166" s="119">
        <f>SUM(D155:D165)</f>
        <v>33947460</v>
      </c>
      <c r="E166" s="119">
        <f t="shared" si="22"/>
        <v>693037</v>
      </c>
      <c r="F166" s="120">
        <f t="shared" si="23"/>
        <v>2.0840445795736705E-2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7940</v>
      </c>
      <c r="D168" s="133">
        <v>8000</v>
      </c>
      <c r="E168" s="133">
        <f t="shared" ref="E168:E179" si="24">D168-C168</f>
        <v>60</v>
      </c>
      <c r="F168" s="114">
        <f t="shared" ref="F168:F179" si="25">IF(C168=0,0,E168/C168)</f>
        <v>7.556675062972292E-3</v>
      </c>
    </row>
    <row r="169" spans="1:6" x14ac:dyDescent="0.2">
      <c r="A169" s="115">
        <v>2</v>
      </c>
      <c r="B169" s="116" t="s">
        <v>114</v>
      </c>
      <c r="C169" s="133">
        <v>2501</v>
      </c>
      <c r="D169" s="133">
        <v>2653</v>
      </c>
      <c r="E169" s="133">
        <f t="shared" si="24"/>
        <v>152</v>
      </c>
      <c r="F169" s="114">
        <f t="shared" si="25"/>
        <v>6.0775689724110356E-2</v>
      </c>
    </row>
    <row r="170" spans="1:6" x14ac:dyDescent="0.2">
      <c r="A170" s="115">
        <v>3</v>
      </c>
      <c r="B170" s="116" t="s">
        <v>115</v>
      </c>
      <c r="C170" s="133">
        <v>23826</v>
      </c>
      <c r="D170" s="133">
        <v>23886</v>
      </c>
      <c r="E170" s="133">
        <f t="shared" si="24"/>
        <v>60</v>
      </c>
      <c r="F170" s="114">
        <f t="shared" si="25"/>
        <v>2.5182573659027953E-3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200</v>
      </c>
      <c r="D172" s="133">
        <v>196</v>
      </c>
      <c r="E172" s="133">
        <f t="shared" si="24"/>
        <v>-4</v>
      </c>
      <c r="F172" s="114">
        <f t="shared" si="25"/>
        <v>-0.02</v>
      </c>
    </row>
    <row r="173" spans="1:6" x14ac:dyDescent="0.2">
      <c r="A173" s="115">
        <v>6</v>
      </c>
      <c r="B173" s="116" t="s">
        <v>118</v>
      </c>
      <c r="C173" s="133">
        <v>542</v>
      </c>
      <c r="D173" s="133">
        <v>634</v>
      </c>
      <c r="E173" s="133">
        <f t="shared" si="24"/>
        <v>92</v>
      </c>
      <c r="F173" s="114">
        <f t="shared" si="25"/>
        <v>0.16974169741697417</v>
      </c>
    </row>
    <row r="174" spans="1:6" x14ac:dyDescent="0.2">
      <c r="A174" s="115">
        <v>7</v>
      </c>
      <c r="B174" s="116" t="s">
        <v>119</v>
      </c>
      <c r="C174" s="133">
        <v>13205</v>
      </c>
      <c r="D174" s="133">
        <v>13003</v>
      </c>
      <c r="E174" s="133">
        <f t="shared" si="24"/>
        <v>-202</v>
      </c>
      <c r="F174" s="114">
        <f t="shared" si="25"/>
        <v>-1.5297235895494131E-2</v>
      </c>
    </row>
    <row r="175" spans="1:6" x14ac:dyDescent="0.2">
      <c r="A175" s="115">
        <v>8</v>
      </c>
      <c r="B175" s="116" t="s">
        <v>120</v>
      </c>
      <c r="C175" s="133">
        <v>779</v>
      </c>
      <c r="D175" s="133">
        <v>686</v>
      </c>
      <c r="E175" s="133">
        <f t="shared" si="24"/>
        <v>-93</v>
      </c>
      <c r="F175" s="114">
        <f t="shared" si="25"/>
        <v>-0.11938382541720154</v>
      </c>
    </row>
    <row r="176" spans="1:6" x14ac:dyDescent="0.2">
      <c r="A176" s="115">
        <v>9</v>
      </c>
      <c r="B176" s="116" t="s">
        <v>121</v>
      </c>
      <c r="C176" s="133">
        <v>3276</v>
      </c>
      <c r="D176" s="133">
        <v>2587</v>
      </c>
      <c r="E176" s="133">
        <f t="shared" si="24"/>
        <v>-689</v>
      </c>
      <c r="F176" s="114">
        <f t="shared" si="25"/>
        <v>-0.21031746031746032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52269</v>
      </c>
      <c r="D179" s="134">
        <f>SUM(D168:D178)</f>
        <v>51645</v>
      </c>
      <c r="E179" s="134">
        <f t="shared" si="24"/>
        <v>-624</v>
      </c>
      <c r="F179" s="120">
        <f t="shared" si="25"/>
        <v>-1.1938242552947254E-2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10:A11"/>
    <mergeCell ref="B10:B11"/>
    <mergeCell ref="C10:F11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FILING&amp;RMIDSTATE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topLeftCell="B1" zoomScale="75" zoomScaleNormal="75" workbookViewId="0">
      <selection activeCell="B42" sqref="B42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27000116</v>
      </c>
      <c r="D15" s="157">
        <v>26330425</v>
      </c>
      <c r="E15" s="157">
        <f>+D15-C15</f>
        <v>-669691</v>
      </c>
      <c r="F15" s="161">
        <f>IF(C15=0,0,E15/C15)</f>
        <v>-2.4803263808199937E-2</v>
      </c>
    </row>
    <row r="16" spans="1:6" ht="15" customHeight="1" x14ac:dyDescent="0.2">
      <c r="A16" s="147">
        <v>2</v>
      </c>
      <c r="B16" s="160" t="s">
        <v>157</v>
      </c>
      <c r="C16" s="157">
        <v>8218072</v>
      </c>
      <c r="D16" s="157">
        <v>7884815</v>
      </c>
      <c r="E16" s="157">
        <f>+D16-C16</f>
        <v>-333257</v>
      </c>
      <c r="F16" s="161">
        <f>IF(C16=0,0,E16/C16)</f>
        <v>-4.0551725514208201E-2</v>
      </c>
    </row>
    <row r="17" spans="1:6" ht="15" customHeight="1" x14ac:dyDescent="0.2">
      <c r="A17" s="147">
        <v>3</v>
      </c>
      <c r="B17" s="160" t="s">
        <v>158</v>
      </c>
      <c r="C17" s="157">
        <v>34527167</v>
      </c>
      <c r="D17" s="157">
        <v>32498265</v>
      </c>
      <c r="E17" s="157">
        <f>+D17-C17</f>
        <v>-2028902</v>
      </c>
      <c r="F17" s="161">
        <f>IF(C17=0,0,E17/C17)</f>
        <v>-5.8762481149988353E-2</v>
      </c>
    </row>
    <row r="18" spans="1:6" ht="15.75" customHeight="1" x14ac:dyDescent="0.25">
      <c r="A18" s="147"/>
      <c r="B18" s="162" t="s">
        <v>159</v>
      </c>
      <c r="C18" s="158">
        <f>SUM(C15:C17)</f>
        <v>69745355</v>
      </c>
      <c r="D18" s="158">
        <f>SUM(D15:D17)</f>
        <v>66713505</v>
      </c>
      <c r="E18" s="158">
        <f>+D18-C18</f>
        <v>-3031850</v>
      </c>
      <c r="F18" s="159">
        <f>IF(C18=0,0,E18/C18)</f>
        <v>-4.3470278414956813E-2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7365276</v>
      </c>
      <c r="D21" s="157">
        <v>7006264</v>
      </c>
      <c r="E21" s="157">
        <f>+D21-C21</f>
        <v>-359012</v>
      </c>
      <c r="F21" s="161">
        <f>IF(C21=0,0,E21/C21)</f>
        <v>-4.874386241601808E-2</v>
      </c>
    </row>
    <row r="22" spans="1:6" ht="15" customHeight="1" x14ac:dyDescent="0.2">
      <c r="A22" s="147">
        <v>2</v>
      </c>
      <c r="B22" s="160" t="s">
        <v>162</v>
      </c>
      <c r="C22" s="157">
        <v>1416831</v>
      </c>
      <c r="D22" s="157">
        <v>1347769</v>
      </c>
      <c r="E22" s="157">
        <f>+D22-C22</f>
        <v>-69062</v>
      </c>
      <c r="F22" s="161">
        <f>IF(C22=0,0,E22/C22)</f>
        <v>-4.8743992755663872E-2</v>
      </c>
    </row>
    <row r="23" spans="1:6" ht="15" customHeight="1" x14ac:dyDescent="0.2">
      <c r="A23" s="147">
        <v>3</v>
      </c>
      <c r="B23" s="160" t="s">
        <v>163</v>
      </c>
      <c r="C23" s="157">
        <v>10870710</v>
      </c>
      <c r="D23" s="157">
        <v>8973235</v>
      </c>
      <c r="E23" s="157">
        <f>+D23-C23</f>
        <v>-1897475</v>
      </c>
      <c r="F23" s="161">
        <f>IF(C23=0,0,E23/C23)</f>
        <v>-0.17454931646598981</v>
      </c>
    </row>
    <row r="24" spans="1:6" ht="15.75" customHeight="1" x14ac:dyDescent="0.25">
      <c r="A24" s="147"/>
      <c r="B24" s="162" t="s">
        <v>164</v>
      </c>
      <c r="C24" s="158">
        <f>SUM(C21:C23)</f>
        <v>19652817</v>
      </c>
      <c r="D24" s="158">
        <f>SUM(D21:D23)</f>
        <v>17327268</v>
      </c>
      <c r="E24" s="158">
        <f>+D24-C24</f>
        <v>-2325549</v>
      </c>
      <c r="F24" s="159">
        <f>IF(C24=0,0,E24/C24)</f>
        <v>-0.1183315857467151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675439</v>
      </c>
      <c r="D27" s="157">
        <v>958618</v>
      </c>
      <c r="E27" s="157">
        <f>+D27-C27</f>
        <v>283179</v>
      </c>
      <c r="F27" s="161">
        <f>IF(C27=0,0,E27/C27)</f>
        <v>0.41925177551192633</v>
      </c>
    </row>
    <row r="28" spans="1:6" ht="15" customHeight="1" x14ac:dyDescent="0.2">
      <c r="A28" s="147">
        <v>2</v>
      </c>
      <c r="B28" s="160" t="s">
        <v>167</v>
      </c>
      <c r="C28" s="157">
        <v>3834533</v>
      </c>
      <c r="D28" s="157">
        <v>4016634</v>
      </c>
      <c r="E28" s="157">
        <f>+D28-C28</f>
        <v>182101</v>
      </c>
      <c r="F28" s="161">
        <f>IF(C28=0,0,E28/C28)</f>
        <v>4.7489746469778722E-2</v>
      </c>
    </row>
    <row r="29" spans="1:6" ht="15" customHeight="1" x14ac:dyDescent="0.2">
      <c r="A29" s="147">
        <v>3</v>
      </c>
      <c r="B29" s="160" t="s">
        <v>168</v>
      </c>
      <c r="C29" s="157">
        <v>25612148</v>
      </c>
      <c r="D29" s="157">
        <v>26049687</v>
      </c>
      <c r="E29" s="157">
        <f>+D29-C29</f>
        <v>437539</v>
      </c>
      <c r="F29" s="161">
        <f>IF(C29=0,0,E29/C29)</f>
        <v>1.7083260646471355E-2</v>
      </c>
    </row>
    <row r="30" spans="1:6" ht="15.75" customHeight="1" x14ac:dyDescent="0.25">
      <c r="A30" s="147"/>
      <c r="B30" s="162" t="s">
        <v>169</v>
      </c>
      <c r="C30" s="158">
        <f>SUM(C27:C29)</f>
        <v>30122120</v>
      </c>
      <c r="D30" s="158">
        <f>SUM(D27:D29)</f>
        <v>31024939</v>
      </c>
      <c r="E30" s="158">
        <f>+D30-C30</f>
        <v>902819</v>
      </c>
      <c r="F30" s="159">
        <f>IF(C30=0,0,E30/C30)</f>
        <v>2.9971960804883586E-2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17137898</v>
      </c>
      <c r="D33" s="157">
        <v>17607146</v>
      </c>
      <c r="E33" s="157">
        <f>+D33-C33</f>
        <v>469248</v>
      </c>
      <c r="F33" s="161">
        <f>IF(C33=0,0,E33/C33)</f>
        <v>2.7380720786178096E-2</v>
      </c>
    </row>
    <row r="34" spans="1:6" ht="15" customHeight="1" x14ac:dyDescent="0.2">
      <c r="A34" s="147">
        <v>2</v>
      </c>
      <c r="B34" s="160" t="s">
        <v>173</v>
      </c>
      <c r="C34" s="157">
        <v>15720896</v>
      </c>
      <c r="D34" s="157">
        <v>16538677</v>
      </c>
      <c r="E34" s="157">
        <f>+D34-C34</f>
        <v>817781</v>
      </c>
      <c r="F34" s="161">
        <f>IF(C34=0,0,E34/C34)</f>
        <v>5.2018727176873378E-2</v>
      </c>
    </row>
    <row r="35" spans="1:6" ht="15.75" customHeight="1" x14ac:dyDescent="0.25">
      <c r="A35" s="147"/>
      <c r="B35" s="162" t="s">
        <v>174</v>
      </c>
      <c r="C35" s="158">
        <f>SUM(C33:C34)</f>
        <v>32858794</v>
      </c>
      <c r="D35" s="158">
        <f>SUM(D33:D34)</f>
        <v>34145823</v>
      </c>
      <c r="E35" s="158">
        <f>+D35-C35</f>
        <v>1287029</v>
      </c>
      <c r="F35" s="159">
        <f>IF(C35=0,0,E35/C35)</f>
        <v>3.9168479524841968E-2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6126074</v>
      </c>
      <c r="D38" s="157">
        <v>3953437</v>
      </c>
      <c r="E38" s="157">
        <f>+D38-C38</f>
        <v>-2172637</v>
      </c>
      <c r="F38" s="161">
        <f>IF(C38=0,0,E38/C38)</f>
        <v>-0.35465405739467071</v>
      </c>
    </row>
    <row r="39" spans="1:6" ht="15" customHeight="1" x14ac:dyDescent="0.2">
      <c r="A39" s="147">
        <v>2</v>
      </c>
      <c r="B39" s="160" t="s">
        <v>178</v>
      </c>
      <c r="C39" s="157">
        <v>6703183</v>
      </c>
      <c r="D39" s="157">
        <v>8274330</v>
      </c>
      <c r="E39" s="157">
        <f>+D39-C39</f>
        <v>1571147</v>
      </c>
      <c r="F39" s="161">
        <f>IF(C39=0,0,E39/C39)</f>
        <v>0.23438820035198205</v>
      </c>
    </row>
    <row r="40" spans="1:6" ht="15" customHeight="1" x14ac:dyDescent="0.2">
      <c r="A40" s="147">
        <v>3</v>
      </c>
      <c r="B40" s="160" t="s">
        <v>179</v>
      </c>
      <c r="C40" s="157">
        <v>77739</v>
      </c>
      <c r="D40" s="157">
        <v>77736</v>
      </c>
      <c r="E40" s="157">
        <f>+D40-C40</f>
        <v>-3</v>
      </c>
      <c r="F40" s="161">
        <f>IF(C40=0,0,E40/C40)</f>
        <v>-3.8590668776289896E-5</v>
      </c>
    </row>
    <row r="41" spans="1:6" ht="15.75" customHeight="1" x14ac:dyDescent="0.25">
      <c r="A41" s="147"/>
      <c r="B41" s="162" t="s">
        <v>180</v>
      </c>
      <c r="C41" s="158">
        <f>SUM(C38:C40)</f>
        <v>12906996</v>
      </c>
      <c r="D41" s="158">
        <f>SUM(D38:D40)</f>
        <v>12305503</v>
      </c>
      <c r="E41" s="158">
        <f>+D41-C41</f>
        <v>-601493</v>
      </c>
      <c r="F41" s="159">
        <f>IF(C41=0,0,E41/C41)</f>
        <v>-4.6602090835078901E-2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3992280</v>
      </c>
      <c r="D47" s="157">
        <v>3968133</v>
      </c>
      <c r="E47" s="157">
        <f>+D47-C47</f>
        <v>-24147</v>
      </c>
      <c r="F47" s="161">
        <f>IF(C47=0,0,E47/C47)</f>
        <v>-6.0484234572725356E-3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2753277</v>
      </c>
      <c r="D50" s="157">
        <v>2190432</v>
      </c>
      <c r="E50" s="157">
        <f>+D50-C50</f>
        <v>-562845</v>
      </c>
      <c r="F50" s="161">
        <f>IF(C50=0,0,E50/C50)</f>
        <v>-0.20442730607926482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300000</v>
      </c>
      <c r="D53" s="157">
        <v>300000</v>
      </c>
      <c r="E53" s="157">
        <f t="shared" ref="E53:E59" si="0">+D53-C53</f>
        <v>0</v>
      </c>
      <c r="F53" s="161">
        <f t="shared" ref="F53:F59" si="1">IF(C53=0,0,E53/C53)</f>
        <v>0</v>
      </c>
    </row>
    <row r="54" spans="1:6" ht="15" customHeight="1" x14ac:dyDescent="0.2">
      <c r="A54" s="147">
        <v>2</v>
      </c>
      <c r="B54" s="160" t="s">
        <v>189</v>
      </c>
      <c r="C54" s="157">
        <v>632574</v>
      </c>
      <c r="D54" s="157">
        <v>622318</v>
      </c>
      <c r="E54" s="157">
        <f t="shared" si="0"/>
        <v>-10256</v>
      </c>
      <c r="F54" s="161">
        <f t="shared" si="1"/>
        <v>-1.6213122891551027E-2</v>
      </c>
    </row>
    <row r="55" spans="1:6" ht="15" customHeight="1" x14ac:dyDescent="0.2">
      <c r="A55" s="147">
        <v>3</v>
      </c>
      <c r="B55" s="160" t="s">
        <v>190</v>
      </c>
      <c r="C55" s="157">
        <v>87755</v>
      </c>
      <c r="D55" s="157">
        <v>0</v>
      </c>
      <c r="E55" s="157">
        <f t="shared" si="0"/>
        <v>-87755</v>
      </c>
      <c r="F55" s="161">
        <f t="shared" si="1"/>
        <v>-1</v>
      </c>
    </row>
    <row r="56" spans="1:6" ht="15" customHeight="1" x14ac:dyDescent="0.2">
      <c r="A56" s="147">
        <v>4</v>
      </c>
      <c r="B56" s="160" t="s">
        <v>191</v>
      </c>
      <c r="C56" s="157">
        <v>1791375</v>
      </c>
      <c r="D56" s="157">
        <v>1815301</v>
      </c>
      <c r="E56" s="157">
        <f t="shared" si="0"/>
        <v>23926</v>
      </c>
      <c r="F56" s="161">
        <f t="shared" si="1"/>
        <v>1.3356220780126998E-2</v>
      </c>
    </row>
    <row r="57" spans="1:6" ht="15" customHeight="1" x14ac:dyDescent="0.2">
      <c r="A57" s="147">
        <v>5</v>
      </c>
      <c r="B57" s="160" t="s">
        <v>192</v>
      </c>
      <c r="C57" s="157">
        <v>436294</v>
      </c>
      <c r="D57" s="157">
        <v>360593</v>
      </c>
      <c r="E57" s="157">
        <f t="shared" si="0"/>
        <v>-75701</v>
      </c>
      <c r="F57" s="161">
        <f t="shared" si="1"/>
        <v>-0.17350914750145544</v>
      </c>
    </row>
    <row r="58" spans="1:6" ht="15" customHeight="1" x14ac:dyDescent="0.2">
      <c r="A58" s="147">
        <v>6</v>
      </c>
      <c r="B58" s="160" t="s">
        <v>193</v>
      </c>
      <c r="C58" s="157">
        <v>18868</v>
      </c>
      <c r="D58" s="157">
        <v>7681</v>
      </c>
      <c r="E58" s="157">
        <f t="shared" si="0"/>
        <v>-11187</v>
      </c>
      <c r="F58" s="161">
        <f t="shared" si="1"/>
        <v>-0.59290862836548652</v>
      </c>
    </row>
    <row r="59" spans="1:6" ht="15.75" customHeight="1" x14ac:dyDescent="0.25">
      <c r="A59" s="147"/>
      <c r="B59" s="162" t="s">
        <v>194</v>
      </c>
      <c r="C59" s="158">
        <f>SUM(C53:C58)</f>
        <v>3266866</v>
      </c>
      <c r="D59" s="158">
        <f>SUM(D53:D58)</f>
        <v>3105893</v>
      </c>
      <c r="E59" s="158">
        <f t="shared" si="0"/>
        <v>-160973</v>
      </c>
      <c r="F59" s="159">
        <f t="shared" si="1"/>
        <v>-4.9274442233014762E-2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277664</v>
      </c>
      <c r="D62" s="157">
        <v>42817</v>
      </c>
      <c r="E62" s="157">
        <f t="shared" ref="E62:E90" si="2">+D62-C62</f>
        <v>-234847</v>
      </c>
      <c r="F62" s="161">
        <f t="shared" ref="F62:F90" si="3">IF(C62=0,0,E62/C62)</f>
        <v>-0.84579563789328105</v>
      </c>
    </row>
    <row r="63" spans="1:6" ht="15" customHeight="1" x14ac:dyDescent="0.2">
      <c r="A63" s="147">
        <v>2</v>
      </c>
      <c r="B63" s="160" t="s">
        <v>198</v>
      </c>
      <c r="C63" s="157">
        <v>74739</v>
      </c>
      <c r="D63" s="157">
        <v>59950</v>
      </c>
      <c r="E63" s="157">
        <f t="shared" si="2"/>
        <v>-14789</v>
      </c>
      <c r="F63" s="161">
        <f t="shared" si="3"/>
        <v>-0.19787527261536814</v>
      </c>
    </row>
    <row r="64" spans="1:6" ht="15" customHeight="1" x14ac:dyDescent="0.2">
      <c r="A64" s="147">
        <v>3</v>
      </c>
      <c r="B64" s="160" t="s">
        <v>199</v>
      </c>
      <c r="C64" s="157">
        <v>2532438</v>
      </c>
      <c r="D64" s="157">
        <v>408718</v>
      </c>
      <c r="E64" s="157">
        <f t="shared" si="2"/>
        <v>-2123720</v>
      </c>
      <c r="F64" s="161">
        <f t="shared" si="3"/>
        <v>-0.83860690765183588</v>
      </c>
    </row>
    <row r="65" spans="1:6" ht="15" customHeight="1" x14ac:dyDescent="0.2">
      <c r="A65" s="147">
        <v>4</v>
      </c>
      <c r="B65" s="160" t="s">
        <v>200</v>
      </c>
      <c r="C65" s="157">
        <v>517498</v>
      </c>
      <c r="D65" s="157">
        <v>547574</v>
      </c>
      <c r="E65" s="157">
        <f t="shared" si="2"/>
        <v>30076</v>
      </c>
      <c r="F65" s="161">
        <f t="shared" si="3"/>
        <v>5.8118099007145922E-2</v>
      </c>
    </row>
    <row r="66" spans="1:6" ht="15" customHeight="1" x14ac:dyDescent="0.2">
      <c r="A66" s="147">
        <v>5</v>
      </c>
      <c r="B66" s="160" t="s">
        <v>201</v>
      </c>
      <c r="C66" s="157">
        <v>754635</v>
      </c>
      <c r="D66" s="157">
        <v>566268</v>
      </c>
      <c r="E66" s="157">
        <f t="shared" si="2"/>
        <v>-188367</v>
      </c>
      <c r="F66" s="161">
        <f t="shared" si="3"/>
        <v>-0.24961338925440776</v>
      </c>
    </row>
    <row r="67" spans="1:6" ht="15" customHeight="1" x14ac:dyDescent="0.2">
      <c r="A67" s="147">
        <v>6</v>
      </c>
      <c r="B67" s="160" t="s">
        <v>202</v>
      </c>
      <c r="C67" s="157">
        <v>2985159</v>
      </c>
      <c r="D67" s="157">
        <v>3412377</v>
      </c>
      <c r="E67" s="157">
        <f t="shared" si="2"/>
        <v>427218</v>
      </c>
      <c r="F67" s="161">
        <f t="shared" si="3"/>
        <v>0.14311398488321728</v>
      </c>
    </row>
    <row r="68" spans="1:6" ht="15" customHeight="1" x14ac:dyDescent="0.2">
      <c r="A68" s="147">
        <v>7</v>
      </c>
      <c r="B68" s="160" t="s">
        <v>203</v>
      </c>
      <c r="C68" s="157">
        <v>4541385</v>
      </c>
      <c r="D68" s="157">
        <v>4363192</v>
      </c>
      <c r="E68" s="157">
        <f t="shared" si="2"/>
        <v>-178193</v>
      </c>
      <c r="F68" s="161">
        <f t="shared" si="3"/>
        <v>-3.9237589413802176E-2</v>
      </c>
    </row>
    <row r="69" spans="1:6" ht="15" customHeight="1" x14ac:dyDescent="0.2">
      <c r="A69" s="147">
        <v>8</v>
      </c>
      <c r="B69" s="160" t="s">
        <v>204</v>
      </c>
      <c r="C69" s="157">
        <v>276208</v>
      </c>
      <c r="D69" s="157">
        <v>536266</v>
      </c>
      <c r="E69" s="157">
        <f t="shared" si="2"/>
        <v>260058</v>
      </c>
      <c r="F69" s="161">
        <f t="shared" si="3"/>
        <v>0.9415295719168163</v>
      </c>
    </row>
    <row r="70" spans="1:6" ht="15" customHeight="1" x14ac:dyDescent="0.2">
      <c r="A70" s="147">
        <v>9</v>
      </c>
      <c r="B70" s="160" t="s">
        <v>205</v>
      </c>
      <c r="C70" s="157">
        <v>78607</v>
      </c>
      <c r="D70" s="157">
        <v>59439</v>
      </c>
      <c r="E70" s="157">
        <f t="shared" si="2"/>
        <v>-19168</v>
      </c>
      <c r="F70" s="161">
        <f t="shared" si="3"/>
        <v>-0.24384596791634333</v>
      </c>
    </row>
    <row r="71" spans="1:6" ht="15" customHeight="1" x14ac:dyDescent="0.2">
      <c r="A71" s="147">
        <v>10</v>
      </c>
      <c r="B71" s="160" t="s">
        <v>206</v>
      </c>
      <c r="C71" s="157">
        <v>49817</v>
      </c>
      <c r="D71" s="157">
        <v>141879</v>
      </c>
      <c r="E71" s="157">
        <f t="shared" si="2"/>
        <v>92062</v>
      </c>
      <c r="F71" s="161">
        <f t="shared" si="3"/>
        <v>1.8480036935182769</v>
      </c>
    </row>
    <row r="72" spans="1:6" ht="15" customHeight="1" x14ac:dyDescent="0.2">
      <c r="A72" s="147">
        <v>11</v>
      </c>
      <c r="B72" s="160" t="s">
        <v>207</v>
      </c>
      <c r="C72" s="157">
        <v>235818</v>
      </c>
      <c r="D72" s="157">
        <v>204371</v>
      </c>
      <c r="E72" s="157">
        <f t="shared" si="2"/>
        <v>-31447</v>
      </c>
      <c r="F72" s="161">
        <f t="shared" si="3"/>
        <v>-0.13335283990195829</v>
      </c>
    </row>
    <row r="73" spans="1:6" ht="15" customHeight="1" x14ac:dyDescent="0.2">
      <c r="A73" s="147">
        <v>12</v>
      </c>
      <c r="B73" s="160" t="s">
        <v>208</v>
      </c>
      <c r="C73" s="157">
        <v>2246524</v>
      </c>
      <c r="D73" s="157">
        <v>2294457</v>
      </c>
      <c r="E73" s="157">
        <f t="shared" si="2"/>
        <v>47933</v>
      </c>
      <c r="F73" s="161">
        <f t="shared" si="3"/>
        <v>2.1336518105304018E-2</v>
      </c>
    </row>
    <row r="74" spans="1:6" ht="15" customHeight="1" x14ac:dyDescent="0.2">
      <c r="A74" s="147">
        <v>13</v>
      </c>
      <c r="B74" s="160" t="s">
        <v>209</v>
      </c>
      <c r="C74" s="157">
        <v>73454</v>
      </c>
      <c r="D74" s="157">
        <v>1414</v>
      </c>
      <c r="E74" s="157">
        <f t="shared" si="2"/>
        <v>-72040</v>
      </c>
      <c r="F74" s="161">
        <f t="shared" si="3"/>
        <v>-0.98074985705339401</v>
      </c>
    </row>
    <row r="75" spans="1:6" ht="15" customHeight="1" x14ac:dyDescent="0.2">
      <c r="A75" s="147">
        <v>14</v>
      </c>
      <c r="B75" s="160" t="s">
        <v>210</v>
      </c>
      <c r="C75" s="157">
        <v>151692</v>
      </c>
      <c r="D75" s="157">
        <v>138344</v>
      </c>
      <c r="E75" s="157">
        <f t="shared" si="2"/>
        <v>-13348</v>
      </c>
      <c r="F75" s="161">
        <f t="shared" si="3"/>
        <v>-8.799409329430688E-2</v>
      </c>
    </row>
    <row r="76" spans="1:6" ht="15" customHeight="1" x14ac:dyDescent="0.2">
      <c r="A76" s="147">
        <v>15</v>
      </c>
      <c r="B76" s="160" t="s">
        <v>211</v>
      </c>
      <c r="C76" s="157">
        <v>421006</v>
      </c>
      <c r="D76" s="157">
        <v>41685</v>
      </c>
      <c r="E76" s="157">
        <f t="shared" si="2"/>
        <v>-379321</v>
      </c>
      <c r="F76" s="161">
        <f t="shared" si="3"/>
        <v>-0.90098715932789553</v>
      </c>
    </row>
    <row r="77" spans="1:6" ht="15" customHeight="1" x14ac:dyDescent="0.2">
      <c r="A77" s="147">
        <v>16</v>
      </c>
      <c r="B77" s="160" t="s">
        <v>212</v>
      </c>
      <c r="C77" s="157">
        <v>4378866</v>
      </c>
      <c r="D77" s="157">
        <v>5015247</v>
      </c>
      <c r="E77" s="157">
        <f t="shared" si="2"/>
        <v>636381</v>
      </c>
      <c r="F77" s="161">
        <f t="shared" si="3"/>
        <v>0.14533009231157107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1030017</v>
      </c>
      <c r="D80" s="157">
        <v>894531</v>
      </c>
      <c r="E80" s="157">
        <f t="shared" si="2"/>
        <v>-135486</v>
      </c>
      <c r="F80" s="161">
        <f t="shared" si="3"/>
        <v>-0.13153763481573605</v>
      </c>
    </row>
    <row r="81" spans="1:6" ht="15" customHeight="1" x14ac:dyDescent="0.2">
      <c r="A81" s="147">
        <v>20</v>
      </c>
      <c r="B81" s="160" t="s">
        <v>216</v>
      </c>
      <c r="C81" s="157">
        <v>967932</v>
      </c>
      <c r="D81" s="157">
        <v>782854</v>
      </c>
      <c r="E81" s="157">
        <f t="shared" si="2"/>
        <v>-185078</v>
      </c>
      <c r="F81" s="161">
        <f t="shared" si="3"/>
        <v>-0.19120971307901793</v>
      </c>
    </row>
    <row r="82" spans="1:6" ht="15" customHeight="1" x14ac:dyDescent="0.2">
      <c r="A82" s="147">
        <v>21</v>
      </c>
      <c r="B82" s="160" t="s">
        <v>217</v>
      </c>
      <c r="C82" s="157">
        <v>367647</v>
      </c>
      <c r="D82" s="157">
        <v>100395</v>
      </c>
      <c r="E82" s="157">
        <f t="shared" si="2"/>
        <v>-267252</v>
      </c>
      <c r="F82" s="161">
        <f t="shared" si="3"/>
        <v>-0.72692555630808897</v>
      </c>
    </row>
    <row r="83" spans="1:6" ht="15" customHeight="1" x14ac:dyDescent="0.2">
      <c r="A83" s="147">
        <v>22</v>
      </c>
      <c r="B83" s="160" t="s">
        <v>218</v>
      </c>
      <c r="C83" s="157">
        <v>661959</v>
      </c>
      <c r="D83" s="157">
        <v>722833</v>
      </c>
      <c r="E83" s="157">
        <f t="shared" si="2"/>
        <v>60874</v>
      </c>
      <c r="F83" s="161">
        <f t="shared" si="3"/>
        <v>9.1960378210735105E-2</v>
      </c>
    </row>
    <row r="84" spans="1:6" ht="15" customHeight="1" x14ac:dyDescent="0.2">
      <c r="A84" s="147">
        <v>23</v>
      </c>
      <c r="B84" s="160" t="s">
        <v>219</v>
      </c>
      <c r="C84" s="157">
        <v>579637</v>
      </c>
      <c r="D84" s="157">
        <v>519260</v>
      </c>
      <c r="E84" s="157">
        <f t="shared" si="2"/>
        <v>-60377</v>
      </c>
      <c r="F84" s="161">
        <f t="shared" si="3"/>
        <v>-0.10416346782555289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144916</v>
      </c>
      <c r="D86" s="157">
        <v>175670</v>
      </c>
      <c r="E86" s="157">
        <f t="shared" si="2"/>
        <v>30754</v>
      </c>
      <c r="F86" s="161">
        <f t="shared" si="3"/>
        <v>0.21221949267161666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10146528</v>
      </c>
      <c r="D89" s="157">
        <v>11281436</v>
      </c>
      <c r="E89" s="157">
        <f t="shared" si="2"/>
        <v>1134908</v>
      </c>
      <c r="F89" s="161">
        <f t="shared" si="3"/>
        <v>0.11185185710816548</v>
      </c>
    </row>
    <row r="90" spans="1:6" ht="15.75" customHeight="1" x14ac:dyDescent="0.25">
      <c r="A90" s="147"/>
      <c r="B90" s="162" t="s">
        <v>225</v>
      </c>
      <c r="C90" s="158">
        <f>SUM(C62:C89)</f>
        <v>33494146</v>
      </c>
      <c r="D90" s="158">
        <f>SUM(D62:D89)</f>
        <v>32310977</v>
      </c>
      <c r="E90" s="158">
        <f t="shared" si="2"/>
        <v>-1183169</v>
      </c>
      <c r="F90" s="159">
        <f t="shared" si="3"/>
        <v>-3.5324650462800276E-2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208792651</v>
      </c>
      <c r="D95" s="158">
        <f>+D93+D90+D59+D50+D47+D44+D41+D35+D30+D24+D18</f>
        <v>203092473</v>
      </c>
      <c r="E95" s="158">
        <f>+D95-C95</f>
        <v>-5700178</v>
      </c>
      <c r="F95" s="159">
        <f>IF(C95=0,0,E95/C95)</f>
        <v>-2.7300663949134878E-2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55746633</v>
      </c>
      <c r="D103" s="157">
        <v>45186965</v>
      </c>
      <c r="E103" s="157">
        <f t="shared" ref="E103:E121" si="4">D103-C103</f>
        <v>-10559668</v>
      </c>
      <c r="F103" s="161">
        <f t="shared" ref="F103:F121" si="5">IF(C103=0,0,E103/C103)</f>
        <v>-0.18942252530300799</v>
      </c>
    </row>
    <row r="104" spans="1:6" ht="15" customHeight="1" x14ac:dyDescent="0.2">
      <c r="A104" s="147">
        <v>2</v>
      </c>
      <c r="B104" s="169" t="s">
        <v>234</v>
      </c>
      <c r="C104" s="157">
        <v>1892098</v>
      </c>
      <c r="D104" s="157">
        <v>223657</v>
      </c>
      <c r="E104" s="157">
        <f t="shared" si="4"/>
        <v>-1668441</v>
      </c>
      <c r="F104" s="161">
        <f t="shared" si="5"/>
        <v>-0.88179417768001445</v>
      </c>
    </row>
    <row r="105" spans="1:6" ht="15" customHeight="1" x14ac:dyDescent="0.2">
      <c r="A105" s="147">
        <v>3</v>
      </c>
      <c r="B105" s="169" t="s">
        <v>235</v>
      </c>
      <c r="C105" s="157">
        <v>5758412</v>
      </c>
      <c r="D105" s="157">
        <v>6787998</v>
      </c>
      <c r="E105" s="157">
        <f t="shared" si="4"/>
        <v>1029586</v>
      </c>
      <c r="F105" s="161">
        <f t="shared" si="5"/>
        <v>0.17879686274618767</v>
      </c>
    </row>
    <row r="106" spans="1:6" ht="15" customHeight="1" x14ac:dyDescent="0.2">
      <c r="A106" s="147">
        <v>4</v>
      </c>
      <c r="B106" s="169" t="s">
        <v>236</v>
      </c>
      <c r="C106" s="157">
        <v>1767947</v>
      </c>
      <c r="D106" s="157">
        <v>470966</v>
      </c>
      <c r="E106" s="157">
        <f t="shared" si="4"/>
        <v>-1296981</v>
      </c>
      <c r="F106" s="161">
        <f t="shared" si="5"/>
        <v>-0.73360853011996396</v>
      </c>
    </row>
    <row r="107" spans="1:6" ht="15" customHeight="1" x14ac:dyDescent="0.2">
      <c r="A107" s="147">
        <v>5</v>
      </c>
      <c r="B107" s="169" t="s">
        <v>237</v>
      </c>
      <c r="C107" s="157">
        <v>6872313</v>
      </c>
      <c r="D107" s="157">
        <v>9394713</v>
      </c>
      <c r="E107" s="157">
        <f t="shared" si="4"/>
        <v>2522400</v>
      </c>
      <c r="F107" s="161">
        <f t="shared" si="5"/>
        <v>0.36703799725070729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731407</v>
      </c>
      <c r="D109" s="157">
        <v>1584110</v>
      </c>
      <c r="E109" s="157">
        <f t="shared" si="4"/>
        <v>852703</v>
      </c>
      <c r="F109" s="161">
        <f t="shared" si="5"/>
        <v>1.1658392659627266</v>
      </c>
    </row>
    <row r="110" spans="1:6" ht="15" customHeight="1" x14ac:dyDescent="0.2">
      <c r="A110" s="147">
        <v>8</v>
      </c>
      <c r="B110" s="169" t="s">
        <v>240</v>
      </c>
      <c r="C110" s="157">
        <v>1180987</v>
      </c>
      <c r="D110" s="157">
        <v>173194</v>
      </c>
      <c r="E110" s="157">
        <f t="shared" si="4"/>
        <v>-1007793</v>
      </c>
      <c r="F110" s="161">
        <f t="shared" si="5"/>
        <v>-0.85334808935238071</v>
      </c>
    </row>
    <row r="111" spans="1:6" ht="15" customHeight="1" x14ac:dyDescent="0.2">
      <c r="A111" s="147">
        <v>9</v>
      </c>
      <c r="B111" s="169" t="s">
        <v>241</v>
      </c>
      <c r="C111" s="157">
        <v>843469</v>
      </c>
      <c r="D111" s="157">
        <v>895394</v>
      </c>
      <c r="E111" s="157">
        <f t="shared" si="4"/>
        <v>51925</v>
      </c>
      <c r="F111" s="161">
        <f t="shared" si="5"/>
        <v>6.1561242914677364E-2</v>
      </c>
    </row>
    <row r="112" spans="1:6" ht="15" customHeight="1" x14ac:dyDescent="0.2">
      <c r="A112" s="147">
        <v>10</v>
      </c>
      <c r="B112" s="169" t="s">
        <v>242</v>
      </c>
      <c r="C112" s="157">
        <v>3265897</v>
      </c>
      <c r="D112" s="157">
        <v>3174727</v>
      </c>
      <c r="E112" s="157">
        <f t="shared" si="4"/>
        <v>-91170</v>
      </c>
      <c r="F112" s="161">
        <f t="shared" si="5"/>
        <v>-2.7915760968579229E-2</v>
      </c>
    </row>
    <row r="113" spans="1:6" ht="15" customHeight="1" x14ac:dyDescent="0.2">
      <c r="A113" s="147">
        <v>11</v>
      </c>
      <c r="B113" s="169" t="s">
        <v>243</v>
      </c>
      <c r="C113" s="157">
        <v>2515924</v>
      </c>
      <c r="D113" s="157">
        <v>2520170</v>
      </c>
      <c r="E113" s="157">
        <f t="shared" si="4"/>
        <v>4246</v>
      </c>
      <c r="F113" s="161">
        <f t="shared" si="5"/>
        <v>1.6876503423791816E-3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6332665</v>
      </c>
      <c r="D115" s="157">
        <v>6715339</v>
      </c>
      <c r="E115" s="157">
        <f t="shared" si="4"/>
        <v>382674</v>
      </c>
      <c r="F115" s="161">
        <f t="shared" si="5"/>
        <v>6.0428587332505349E-2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17690612</v>
      </c>
      <c r="D119" s="157">
        <v>18843773</v>
      </c>
      <c r="E119" s="157">
        <f t="shared" si="4"/>
        <v>1153161</v>
      </c>
      <c r="F119" s="161">
        <f t="shared" si="5"/>
        <v>6.5184912766160938E-2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104598364</v>
      </c>
      <c r="D121" s="158">
        <f>SUM(D103:D120)</f>
        <v>95971006</v>
      </c>
      <c r="E121" s="158">
        <f t="shared" si="4"/>
        <v>-8627358</v>
      </c>
      <c r="F121" s="159">
        <f t="shared" si="5"/>
        <v>-8.2480812032585907E-2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1033740</v>
      </c>
      <c r="D124" s="157">
        <v>1044466</v>
      </c>
      <c r="E124" s="157">
        <f t="shared" ref="E124:E130" si="6">D124-C124</f>
        <v>10726</v>
      </c>
      <c r="F124" s="161">
        <f t="shared" ref="F124:F130" si="7">IF(C124=0,0,E124/C124)</f>
        <v>1.0375916574767349E-2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1489652</v>
      </c>
      <c r="D126" s="157">
        <v>1474220</v>
      </c>
      <c r="E126" s="157">
        <f t="shared" si="6"/>
        <v>-15432</v>
      </c>
      <c r="F126" s="161">
        <f t="shared" si="7"/>
        <v>-1.0359466506271264E-2</v>
      </c>
    </row>
    <row r="127" spans="1:6" ht="15" customHeight="1" x14ac:dyDescent="0.2">
      <c r="A127" s="147">
        <v>4</v>
      </c>
      <c r="B127" s="169" t="s">
        <v>255</v>
      </c>
      <c r="C127" s="157">
        <v>858654</v>
      </c>
      <c r="D127" s="157">
        <v>339521</v>
      </c>
      <c r="E127" s="157">
        <f t="shared" si="6"/>
        <v>-519133</v>
      </c>
      <c r="F127" s="161">
        <f t="shared" si="7"/>
        <v>-0.60458927577347799</v>
      </c>
    </row>
    <row r="128" spans="1:6" ht="15" customHeight="1" x14ac:dyDescent="0.2">
      <c r="A128" s="147">
        <v>5</v>
      </c>
      <c r="B128" s="169" t="s">
        <v>256</v>
      </c>
      <c r="C128" s="157">
        <v>1579067</v>
      </c>
      <c r="D128" s="157">
        <v>1572108</v>
      </c>
      <c r="E128" s="157">
        <f t="shared" si="6"/>
        <v>-6959</v>
      </c>
      <c r="F128" s="161">
        <f t="shared" si="7"/>
        <v>-4.4070327604845139E-3</v>
      </c>
    </row>
    <row r="129" spans="1:6" ht="15" customHeight="1" x14ac:dyDescent="0.2">
      <c r="A129" s="147">
        <v>6</v>
      </c>
      <c r="B129" s="169" t="s">
        <v>257</v>
      </c>
      <c r="C129" s="157">
        <v>5167186</v>
      </c>
      <c r="D129" s="157">
        <v>4913831</v>
      </c>
      <c r="E129" s="157">
        <f t="shared" si="6"/>
        <v>-253355</v>
      </c>
      <c r="F129" s="161">
        <f t="shared" si="7"/>
        <v>-4.9031523153995234E-2</v>
      </c>
    </row>
    <row r="130" spans="1:6" ht="15.75" customHeight="1" x14ac:dyDescent="0.25">
      <c r="A130" s="147"/>
      <c r="B130" s="165" t="s">
        <v>258</v>
      </c>
      <c r="C130" s="158">
        <f>SUM(C124:C129)</f>
        <v>10128299</v>
      </c>
      <c r="D130" s="158">
        <f>SUM(D124:D129)</f>
        <v>9344146</v>
      </c>
      <c r="E130" s="158">
        <f t="shared" si="6"/>
        <v>-784153</v>
      </c>
      <c r="F130" s="159">
        <f t="shared" si="7"/>
        <v>-7.7421983691437227E-2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18966633</v>
      </c>
      <c r="D133" s="157">
        <v>20578502</v>
      </c>
      <c r="E133" s="157">
        <f t="shared" ref="E133:E167" si="8">D133-C133</f>
        <v>1611869</v>
      </c>
      <c r="F133" s="161">
        <f t="shared" ref="F133:F167" si="9">IF(C133=0,0,E133/C133)</f>
        <v>8.4984456650793003E-2</v>
      </c>
    </row>
    <row r="134" spans="1:6" ht="15" customHeight="1" x14ac:dyDescent="0.2">
      <c r="A134" s="147">
        <v>2</v>
      </c>
      <c r="B134" s="169" t="s">
        <v>261</v>
      </c>
      <c r="C134" s="157">
        <v>2522300</v>
      </c>
      <c r="D134" s="157">
        <v>2527030</v>
      </c>
      <c r="E134" s="157">
        <f t="shared" si="8"/>
        <v>4730</v>
      </c>
      <c r="F134" s="161">
        <f t="shared" si="9"/>
        <v>1.8752725686873091E-3</v>
      </c>
    </row>
    <row r="135" spans="1:6" ht="15" customHeight="1" x14ac:dyDescent="0.2">
      <c r="A135" s="147">
        <v>3</v>
      </c>
      <c r="B135" s="169" t="s">
        <v>262</v>
      </c>
      <c r="C135" s="157">
        <v>419320</v>
      </c>
      <c r="D135" s="157">
        <v>576343</v>
      </c>
      <c r="E135" s="157">
        <f t="shared" si="8"/>
        <v>157023</v>
      </c>
      <c r="F135" s="161">
        <f t="shared" si="9"/>
        <v>0.3744705714013164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7312876</v>
      </c>
      <c r="D137" s="157">
        <v>7695286</v>
      </c>
      <c r="E137" s="157">
        <f t="shared" si="8"/>
        <v>382410</v>
      </c>
      <c r="F137" s="161">
        <f t="shared" si="9"/>
        <v>5.2292695787539679E-2</v>
      </c>
    </row>
    <row r="138" spans="1:6" ht="15" customHeight="1" x14ac:dyDescent="0.2">
      <c r="A138" s="147">
        <v>6</v>
      </c>
      <c r="B138" s="169" t="s">
        <v>265</v>
      </c>
      <c r="C138" s="157">
        <v>1064705</v>
      </c>
      <c r="D138" s="157">
        <v>1211937</v>
      </c>
      <c r="E138" s="157">
        <f t="shared" si="8"/>
        <v>147232</v>
      </c>
      <c r="F138" s="161">
        <f t="shared" si="9"/>
        <v>0.13828431349528741</v>
      </c>
    </row>
    <row r="139" spans="1:6" ht="15" customHeight="1" x14ac:dyDescent="0.2">
      <c r="A139" s="147">
        <v>7</v>
      </c>
      <c r="B139" s="169" t="s">
        <v>266</v>
      </c>
      <c r="C139" s="157">
        <v>4678579</v>
      </c>
      <c r="D139" s="157">
        <v>5363786</v>
      </c>
      <c r="E139" s="157">
        <f t="shared" si="8"/>
        <v>685207</v>
      </c>
      <c r="F139" s="161">
        <f t="shared" si="9"/>
        <v>0.14645622100214617</v>
      </c>
    </row>
    <row r="140" spans="1:6" ht="15" customHeight="1" x14ac:dyDescent="0.2">
      <c r="A140" s="147">
        <v>8</v>
      </c>
      <c r="B140" s="169" t="s">
        <v>267</v>
      </c>
      <c r="C140" s="157">
        <v>757676</v>
      </c>
      <c r="D140" s="157">
        <v>752584</v>
      </c>
      <c r="E140" s="157">
        <f t="shared" si="8"/>
        <v>-5092</v>
      </c>
      <c r="F140" s="161">
        <f t="shared" si="9"/>
        <v>-6.7205507367265162E-3</v>
      </c>
    </row>
    <row r="141" spans="1:6" ht="15" customHeight="1" x14ac:dyDescent="0.2">
      <c r="A141" s="147">
        <v>9</v>
      </c>
      <c r="B141" s="169" t="s">
        <v>268</v>
      </c>
      <c r="C141" s="157">
        <v>1282770</v>
      </c>
      <c r="D141" s="157">
        <v>1358952</v>
      </c>
      <c r="E141" s="157">
        <f t="shared" si="8"/>
        <v>76182</v>
      </c>
      <c r="F141" s="161">
        <f t="shared" si="9"/>
        <v>5.9388666713440445E-2</v>
      </c>
    </row>
    <row r="142" spans="1:6" ht="15" customHeight="1" x14ac:dyDescent="0.2">
      <c r="A142" s="147">
        <v>10</v>
      </c>
      <c r="B142" s="169" t="s">
        <v>269</v>
      </c>
      <c r="C142" s="157">
        <v>7433896</v>
      </c>
      <c r="D142" s="157">
        <v>7519228</v>
      </c>
      <c r="E142" s="157">
        <f t="shared" si="8"/>
        <v>85332</v>
      </c>
      <c r="F142" s="161">
        <f t="shared" si="9"/>
        <v>1.1478772369158783E-2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1007867</v>
      </c>
      <c r="D145" s="157">
        <v>976041</v>
      </c>
      <c r="E145" s="157">
        <f t="shared" si="8"/>
        <v>-31826</v>
      </c>
      <c r="F145" s="161">
        <f t="shared" si="9"/>
        <v>-3.1577579184555102E-2</v>
      </c>
    </row>
    <row r="146" spans="1:6" ht="15" customHeight="1" x14ac:dyDescent="0.2">
      <c r="A146" s="147">
        <v>14</v>
      </c>
      <c r="B146" s="169" t="s">
        <v>273</v>
      </c>
      <c r="C146" s="157">
        <v>0</v>
      </c>
      <c r="D146" s="157">
        <v>0</v>
      </c>
      <c r="E146" s="157">
        <f t="shared" si="8"/>
        <v>0</v>
      </c>
      <c r="F146" s="161">
        <f t="shared" si="9"/>
        <v>0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1234637</v>
      </c>
      <c r="D150" s="157">
        <v>1305393</v>
      </c>
      <c r="E150" s="157">
        <f t="shared" si="8"/>
        <v>70756</v>
      </c>
      <c r="F150" s="161">
        <f t="shared" si="9"/>
        <v>5.7309152406739797E-2</v>
      </c>
    </row>
    <row r="151" spans="1:6" ht="15" customHeight="1" x14ac:dyDescent="0.2">
      <c r="A151" s="147">
        <v>19</v>
      </c>
      <c r="B151" s="169" t="s">
        <v>278</v>
      </c>
      <c r="C151" s="157">
        <v>90360</v>
      </c>
      <c r="D151" s="157">
        <v>101388</v>
      </c>
      <c r="E151" s="157">
        <f t="shared" si="8"/>
        <v>11028</v>
      </c>
      <c r="F151" s="161">
        <f t="shared" si="9"/>
        <v>0.12204515272244355</v>
      </c>
    </row>
    <row r="152" spans="1:6" ht="15" customHeight="1" x14ac:dyDescent="0.2">
      <c r="A152" s="147">
        <v>20</v>
      </c>
      <c r="B152" s="169" t="s">
        <v>279</v>
      </c>
      <c r="C152" s="157">
        <v>373744</v>
      </c>
      <c r="D152" s="157">
        <v>385596</v>
      </c>
      <c r="E152" s="157">
        <f t="shared" si="8"/>
        <v>11852</v>
      </c>
      <c r="F152" s="161">
        <f t="shared" si="9"/>
        <v>3.1711545870970505E-2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13129201</v>
      </c>
      <c r="D156" s="157">
        <v>12877306</v>
      </c>
      <c r="E156" s="157">
        <f t="shared" si="8"/>
        <v>-251895</v>
      </c>
      <c r="F156" s="161">
        <f t="shared" si="9"/>
        <v>-1.9185859063319998E-2</v>
      </c>
    </row>
    <row r="157" spans="1:6" ht="15" customHeight="1" x14ac:dyDescent="0.2">
      <c r="A157" s="147">
        <v>25</v>
      </c>
      <c r="B157" s="169" t="s">
        <v>284</v>
      </c>
      <c r="C157" s="157">
        <v>1425013</v>
      </c>
      <c r="D157" s="157">
        <v>1082647</v>
      </c>
      <c r="E157" s="157">
        <f t="shared" si="8"/>
        <v>-342366</v>
      </c>
      <c r="F157" s="161">
        <f t="shared" si="9"/>
        <v>-0.24025465030845333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74090</v>
      </c>
      <c r="D159" s="157">
        <v>243025</v>
      </c>
      <c r="E159" s="157">
        <f t="shared" si="8"/>
        <v>168935</v>
      </c>
      <c r="F159" s="161">
        <f t="shared" si="9"/>
        <v>2.2801322715616141</v>
      </c>
    </row>
    <row r="160" spans="1:6" ht="15" customHeight="1" x14ac:dyDescent="0.2">
      <c r="A160" s="147">
        <v>28</v>
      </c>
      <c r="B160" s="169" t="s">
        <v>287</v>
      </c>
      <c r="C160" s="157">
        <v>3253416</v>
      </c>
      <c r="D160" s="157">
        <v>3543600</v>
      </c>
      <c r="E160" s="157">
        <f t="shared" si="8"/>
        <v>290184</v>
      </c>
      <c r="F160" s="161">
        <f t="shared" si="9"/>
        <v>8.9193635243694627E-2</v>
      </c>
    </row>
    <row r="161" spans="1:6" ht="15" customHeight="1" x14ac:dyDescent="0.2">
      <c r="A161" s="147">
        <v>29</v>
      </c>
      <c r="B161" s="169" t="s">
        <v>288</v>
      </c>
      <c r="C161" s="157">
        <v>917937</v>
      </c>
      <c r="D161" s="157">
        <v>903593</v>
      </c>
      <c r="E161" s="157">
        <f t="shared" si="8"/>
        <v>-14344</v>
      </c>
      <c r="F161" s="161">
        <f t="shared" si="9"/>
        <v>-1.5626344727361463E-2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152163</v>
      </c>
      <c r="D163" s="157">
        <v>162876</v>
      </c>
      <c r="E163" s="157">
        <f t="shared" si="8"/>
        <v>10713</v>
      </c>
      <c r="F163" s="161">
        <f t="shared" si="9"/>
        <v>7.040476331302617E-2</v>
      </c>
    </row>
    <row r="164" spans="1:6" ht="15" customHeight="1" x14ac:dyDescent="0.2">
      <c r="A164" s="147">
        <v>32</v>
      </c>
      <c r="B164" s="169" t="s">
        <v>291</v>
      </c>
      <c r="C164" s="157">
        <v>739954</v>
      </c>
      <c r="D164" s="157">
        <v>825434</v>
      </c>
      <c r="E164" s="157">
        <f t="shared" si="8"/>
        <v>85480</v>
      </c>
      <c r="F164" s="161">
        <f t="shared" si="9"/>
        <v>0.11552069452965995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1893036</v>
      </c>
      <c r="D166" s="157">
        <v>2078742</v>
      </c>
      <c r="E166" s="157">
        <f t="shared" si="8"/>
        <v>185706</v>
      </c>
      <c r="F166" s="161">
        <f t="shared" si="9"/>
        <v>9.8099560705660116E-2</v>
      </c>
    </row>
    <row r="167" spans="1:6" ht="15.75" customHeight="1" x14ac:dyDescent="0.25">
      <c r="A167" s="147"/>
      <c r="B167" s="165" t="s">
        <v>294</v>
      </c>
      <c r="C167" s="158">
        <f>SUM(C133:C166)</f>
        <v>68730173</v>
      </c>
      <c r="D167" s="158">
        <f>SUM(D133:D166)</f>
        <v>72069289</v>
      </c>
      <c r="E167" s="158">
        <f t="shared" si="8"/>
        <v>3339116</v>
      </c>
      <c r="F167" s="159">
        <f t="shared" si="9"/>
        <v>4.8582970975498636E-2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18530257</v>
      </c>
      <c r="D170" s="157">
        <v>19005002</v>
      </c>
      <c r="E170" s="157">
        <f t="shared" ref="E170:E183" si="10">D170-C170</f>
        <v>474745</v>
      </c>
      <c r="F170" s="161">
        <f t="shared" ref="F170:F183" si="11">IF(C170=0,0,E170/C170)</f>
        <v>2.5619990051945853E-2</v>
      </c>
    </row>
    <row r="171" spans="1:6" ht="15" customHeight="1" x14ac:dyDescent="0.2">
      <c r="A171" s="147">
        <v>2</v>
      </c>
      <c r="B171" s="169" t="s">
        <v>297</v>
      </c>
      <c r="C171" s="157">
        <v>0</v>
      </c>
      <c r="D171" s="157">
        <v>0</v>
      </c>
      <c r="E171" s="157">
        <f t="shared" si="10"/>
        <v>0</v>
      </c>
      <c r="F171" s="161">
        <f t="shared" si="11"/>
        <v>0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2048096</v>
      </c>
      <c r="D173" s="157">
        <v>1778895</v>
      </c>
      <c r="E173" s="157">
        <f t="shared" si="10"/>
        <v>-269201</v>
      </c>
      <c r="F173" s="161">
        <f t="shared" si="11"/>
        <v>-0.13143963954814619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4757462</v>
      </c>
      <c r="D175" s="157">
        <v>4924135</v>
      </c>
      <c r="E175" s="157">
        <f t="shared" si="10"/>
        <v>166673</v>
      </c>
      <c r="F175" s="161">
        <f t="shared" si="11"/>
        <v>3.5034016036281528E-2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25335815</v>
      </c>
      <c r="D183" s="158">
        <f>SUM(D170:D182)</f>
        <v>25708032</v>
      </c>
      <c r="E183" s="158">
        <f t="shared" si="10"/>
        <v>372217</v>
      </c>
      <c r="F183" s="159">
        <f t="shared" si="11"/>
        <v>1.4691337144670498E-2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208792651</v>
      </c>
      <c r="D188" s="158">
        <f>+D186+D183+D167+D130+D121</f>
        <v>203092473</v>
      </c>
      <c r="E188" s="158">
        <f>D188-C188</f>
        <v>-5700178</v>
      </c>
      <c r="F188" s="159">
        <f>IF(C188=0,0,E188/C188)</f>
        <v>-2.7300663949134878E-2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FILING&amp;RMIDSTATE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zoomScale="75" zoomScaleNormal="75" zoomScaleSheetLayoutView="75" workbookViewId="0">
      <selection activeCell="B42" sqref="B42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217746204</v>
      </c>
      <c r="D11" s="183">
        <v>219132186</v>
      </c>
      <c r="E11" s="76">
        <v>212391809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9116321</v>
      </c>
      <c r="D12" s="185">
        <v>8597041</v>
      </c>
      <c r="E12" s="185">
        <v>7100035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226862525</v>
      </c>
      <c r="D13" s="76">
        <f>+D11+D12</f>
        <v>227729227</v>
      </c>
      <c r="E13" s="76">
        <f>+E11+E12</f>
        <v>219491844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210520148</v>
      </c>
      <c r="D14" s="185">
        <v>208792651</v>
      </c>
      <c r="E14" s="185">
        <v>203092473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16342377</v>
      </c>
      <c r="D15" s="76">
        <f>+D13-D14</f>
        <v>18936576</v>
      </c>
      <c r="E15" s="76">
        <f>+E13-E14</f>
        <v>16399371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4228077</v>
      </c>
      <c r="D16" s="185">
        <v>3147295</v>
      </c>
      <c r="E16" s="185">
        <v>-2602707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20570454</v>
      </c>
      <c r="D17" s="76">
        <f>D15+D16</f>
        <v>22083871</v>
      </c>
      <c r="E17" s="76">
        <f>E15+E16</f>
        <v>13796664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7.0718483826529649E-2</v>
      </c>
      <c r="D20" s="189">
        <f>IF(+D27=0,0,+D24/+D27)</f>
        <v>8.2020362382278098E-2</v>
      </c>
      <c r="E20" s="189">
        <f>IF(+E27=0,0,+E24/+E27)</f>
        <v>7.5611767499448354E-2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1.8296187570622194E-2</v>
      </c>
      <c r="D21" s="189">
        <f>IF(D27=0,0,+D26/D27)</f>
        <v>1.3631940453434238E-2</v>
      </c>
      <c r="E21" s="189">
        <f>IF(E27=0,0,+E26/E27)</f>
        <v>-1.2000172235458708E-2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8.9014671397151843E-2</v>
      </c>
      <c r="D22" s="189">
        <f>IF(D27=0,0,+D28/D27)</f>
        <v>9.5652302835712327E-2</v>
      </c>
      <c r="E22" s="189">
        <f>IF(E27=0,0,+E28/E27)</f>
        <v>6.3611595263989643E-2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16342377</v>
      </c>
      <c r="D24" s="76">
        <f>+D15</f>
        <v>18936576</v>
      </c>
      <c r="E24" s="76">
        <f>+E15</f>
        <v>16399371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226862525</v>
      </c>
      <c r="D25" s="76">
        <f>+D13</f>
        <v>227729227</v>
      </c>
      <c r="E25" s="76">
        <f>+E13</f>
        <v>219491844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4228077</v>
      </c>
      <c r="D26" s="76">
        <f>+D16</f>
        <v>3147295</v>
      </c>
      <c r="E26" s="76">
        <f>+E16</f>
        <v>-2602707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231090602</v>
      </c>
      <c r="D27" s="76">
        <f>+D25+D26</f>
        <v>230876522</v>
      </c>
      <c r="E27" s="76">
        <f>+E25+E26</f>
        <v>216889137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20570454</v>
      </c>
      <c r="D28" s="76">
        <f>+D17</f>
        <v>22083871</v>
      </c>
      <c r="E28" s="76">
        <f>+E17</f>
        <v>13796664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96806371</v>
      </c>
      <c r="D31" s="76">
        <v>89763992</v>
      </c>
      <c r="E31" s="76">
        <v>72575242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113586026</v>
      </c>
      <c r="D32" s="76">
        <v>107441592</v>
      </c>
      <c r="E32" s="76">
        <v>89482222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23667398</v>
      </c>
      <c r="D33" s="76">
        <f>+D32-C32</f>
        <v>-6144434</v>
      </c>
      <c r="E33" s="76">
        <f>+E32-D32</f>
        <v>-17959370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1.2632000000000001</v>
      </c>
      <c r="D34" s="193">
        <f>IF(C32=0,0,+D33/C32)</f>
        <v>-5.4094981718966026E-2</v>
      </c>
      <c r="E34" s="193">
        <f>IF(D32=0,0,+E33/D32)</f>
        <v>-0.16715472719354343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0.40944165013162076</v>
      </c>
      <c r="D38" s="195">
        <f>IF((D40+D41)=0,0,+D39/(D40+D41))</f>
        <v>0.37822935387176521</v>
      </c>
      <c r="E38" s="195">
        <f>IF((E40+E41)=0,0,+E39/(E40+E41))</f>
        <v>0.3648625974443358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210520148</v>
      </c>
      <c r="D39" s="76">
        <v>208792651</v>
      </c>
      <c r="E39" s="196">
        <v>203092473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505047658</v>
      </c>
      <c r="D40" s="76">
        <v>543429524</v>
      </c>
      <c r="E40" s="196">
        <v>549527239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9116321</v>
      </c>
      <c r="D41" s="76">
        <v>8597041</v>
      </c>
      <c r="E41" s="196">
        <v>7100035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1.7234503824196221</v>
      </c>
      <c r="D43" s="197">
        <f>IF(D38=0,0,IF((D46-D47)=0,0,((+D44-D45)/(D46-D47)/D38)))</f>
        <v>1.7627975863020391</v>
      </c>
      <c r="E43" s="197">
        <f>IF(E38=0,0,IF((E46-E47)=0,0,((+E44-E45)/(E46-E47)/E38)))</f>
        <v>1.8044489114476872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118317341</v>
      </c>
      <c r="D44" s="76">
        <v>116303887</v>
      </c>
      <c r="E44" s="196">
        <v>112896209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3103407</v>
      </c>
      <c r="D45" s="76">
        <v>2037610</v>
      </c>
      <c r="E45" s="196">
        <v>2037612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175772877</v>
      </c>
      <c r="D46" s="76">
        <v>180790784</v>
      </c>
      <c r="E46" s="196">
        <v>175401432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12499941</v>
      </c>
      <c r="D47" s="76">
        <v>9410681</v>
      </c>
      <c r="E47" s="76">
        <v>7019518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0.83724600399898852</v>
      </c>
      <c r="D49" s="198">
        <f>IF(D38=0,0,IF(D51=0,0,(D50/D51)/D38))</f>
        <v>0.88663020805383452</v>
      </c>
      <c r="E49" s="198">
        <f>IF(E38=0,0,IF(E51=0,0,(E50/E51)/E38))</f>
        <v>0.90712011809334658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77840664</v>
      </c>
      <c r="D50" s="199">
        <v>81515834</v>
      </c>
      <c r="E50" s="199">
        <v>83772561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227070873</v>
      </c>
      <c r="D51" s="199">
        <v>243077198</v>
      </c>
      <c r="E51" s="199">
        <v>253109035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0.68699589140864115</v>
      </c>
      <c r="D53" s="198">
        <f>IF(D38=0,0,IF(D55=0,0,(D54/D55)/D38))</f>
        <v>0.66019345519847417</v>
      </c>
      <c r="E53" s="198">
        <f>IF(E38=0,0,IF(E55=0,0,(E54/E55)/E38))</f>
        <v>0.60343119616982344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28414839</v>
      </c>
      <c r="D54" s="199">
        <v>29637708</v>
      </c>
      <c r="E54" s="199">
        <v>26462697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101018064</v>
      </c>
      <c r="D55" s="199">
        <v>118691104</v>
      </c>
      <c r="E55" s="199">
        <v>120192398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3847332.3864778788</v>
      </c>
      <c r="D57" s="88">
        <f>+D60*D38</f>
        <v>5488218.7458799975</v>
      </c>
      <c r="E57" s="88">
        <f>+E60*E38</f>
        <v>3882145.3340596817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7131143</v>
      </c>
      <c r="D58" s="199">
        <v>8125010</v>
      </c>
      <c r="E58" s="199">
        <v>6216157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2265391</v>
      </c>
      <c r="D59" s="199">
        <v>6385283</v>
      </c>
      <c r="E59" s="199">
        <v>4423863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9396534</v>
      </c>
      <c r="D60" s="76">
        <v>14510293</v>
      </c>
      <c r="E60" s="201">
        <v>10640020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1.8275364249116331E-2</v>
      </c>
      <c r="D62" s="202">
        <f>IF(D63=0,0,+D57/D63)</f>
        <v>2.6285497691583011E-2</v>
      </c>
      <c r="E62" s="202">
        <f>IF(E63=0,0,+E57/E63)</f>
        <v>1.9115161072757639E-2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210520148</v>
      </c>
      <c r="D63" s="199">
        <v>208792651</v>
      </c>
      <c r="E63" s="199">
        <v>203092473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2.4084327948282627</v>
      </c>
      <c r="D67" s="203">
        <f>IF(D69=0,0,D68/D69)</f>
        <v>3.0066759291677538</v>
      </c>
      <c r="E67" s="203">
        <f>IF(E69=0,0,E68/E69)</f>
        <v>1.3477743234445207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73423487</v>
      </c>
      <c r="D68" s="204">
        <v>79675956</v>
      </c>
      <c r="E68" s="204">
        <v>44197496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30486002</v>
      </c>
      <c r="D69" s="204">
        <v>26499682</v>
      </c>
      <c r="E69" s="204">
        <v>32792950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50.213029177002625</v>
      </c>
      <c r="D71" s="203">
        <f>IF((D77/365)=0,0,+D74/(D77/365))</f>
        <v>84.112509285072449</v>
      </c>
      <c r="E71" s="203">
        <f>IF((E77/365)=0,0,+E74/(E77/365))</f>
        <v>22.590895384522327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27158493</v>
      </c>
      <c r="D72" s="183">
        <v>45140915</v>
      </c>
      <c r="E72" s="183">
        <v>11808352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27158493</v>
      </c>
      <c r="D74" s="204">
        <f>+D72+D73</f>
        <v>45140915</v>
      </c>
      <c r="E74" s="204">
        <f>+E72+E73</f>
        <v>11808352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210520148</v>
      </c>
      <c r="D75" s="204">
        <f>+D14</f>
        <v>208792651</v>
      </c>
      <c r="E75" s="204">
        <f>+E14</f>
        <v>203092473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13104256</v>
      </c>
      <c r="D76" s="204">
        <v>12906996</v>
      </c>
      <c r="E76" s="204">
        <v>12305503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197415892</v>
      </c>
      <c r="D77" s="204">
        <f>+D75-D76</f>
        <v>195885655</v>
      </c>
      <c r="E77" s="204">
        <f>+E75-E76</f>
        <v>190786970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49.089160149032956</v>
      </c>
      <c r="D79" s="203">
        <f>IF((D84/365)=0,0,+D83/(D84/365))</f>
        <v>32.736978651780525</v>
      </c>
      <c r="E79" s="203">
        <f>IF((E84/365)=0,0,+E83/(E84/365))</f>
        <v>27.928887078691439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27767137</v>
      </c>
      <c r="D80" s="212">
        <v>23724146</v>
      </c>
      <c r="E80" s="212">
        <v>23491286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1517735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4070103</v>
      </c>
      <c r="E82" s="212">
        <v>7239596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29284872</v>
      </c>
      <c r="D83" s="212">
        <f>+D80+D81-D82</f>
        <v>19654043</v>
      </c>
      <c r="E83" s="212">
        <f>+E80+E81-E82</f>
        <v>16251690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217746204</v>
      </c>
      <c r="D84" s="204">
        <f>+D11</f>
        <v>219132186</v>
      </c>
      <c r="E84" s="204">
        <f>+E11</f>
        <v>212391809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56.365222765348591</v>
      </c>
      <c r="D86" s="203">
        <f>IF((D90/365)=0,0,+D87/(D90/365))</f>
        <v>49.37770420197436</v>
      </c>
      <c r="E86" s="203">
        <f>IF((E90/365)=0,0,+E87/(E90/365))</f>
        <v>62.737129008338457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30486002</v>
      </c>
      <c r="D87" s="76">
        <f>+D69</f>
        <v>26499682</v>
      </c>
      <c r="E87" s="76">
        <f>+E69</f>
        <v>32792950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210520148</v>
      </c>
      <c r="D88" s="76">
        <f t="shared" si="0"/>
        <v>208792651</v>
      </c>
      <c r="E88" s="76">
        <f t="shared" si="0"/>
        <v>203092473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13104256</v>
      </c>
      <c r="D89" s="201">
        <f t="shared" si="0"/>
        <v>12906996</v>
      </c>
      <c r="E89" s="201">
        <f t="shared" si="0"/>
        <v>12305503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197415892</v>
      </c>
      <c r="D90" s="76">
        <f>+D88-D89</f>
        <v>195885655</v>
      </c>
      <c r="E90" s="76">
        <f>+E88-E89</f>
        <v>190786970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41.590647508775675</v>
      </c>
      <c r="D94" s="214">
        <f>IF(D96=0,0,(D95/D96)*100)</f>
        <v>38.778543918580354</v>
      </c>
      <c r="E94" s="214">
        <f>IF(E96=0,0,(E95/E96)*100)</f>
        <v>32.91374778513137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113586026</v>
      </c>
      <c r="D95" s="76">
        <f>+D32</f>
        <v>107441592</v>
      </c>
      <c r="E95" s="76">
        <f>+E32</f>
        <v>89482222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273104731</v>
      </c>
      <c r="D96" s="76">
        <v>277064534</v>
      </c>
      <c r="E96" s="76">
        <v>271868833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28.467398279889881</v>
      </c>
      <c r="D98" s="214">
        <f>IF(D104=0,0,(D101/D104)*100)</f>
        <v>30.893799302818657</v>
      </c>
      <c r="E98" s="214">
        <f>IF(E104=0,0,(E101/E104)*100)</f>
        <v>22.063036028626179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20570454</v>
      </c>
      <c r="D99" s="76">
        <f>+D28</f>
        <v>22083871</v>
      </c>
      <c r="E99" s="76">
        <f>+E28</f>
        <v>13796664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13104256</v>
      </c>
      <c r="D100" s="201">
        <f>+D76</f>
        <v>12906996</v>
      </c>
      <c r="E100" s="201">
        <f>+E76</f>
        <v>12305503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33674710</v>
      </c>
      <c r="D101" s="76">
        <f>+D99+D100</f>
        <v>34990867</v>
      </c>
      <c r="E101" s="76">
        <f>+E99+E100</f>
        <v>26102167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30486002</v>
      </c>
      <c r="D102" s="204">
        <f>+D69</f>
        <v>26499682</v>
      </c>
      <c r="E102" s="204">
        <f>+E69</f>
        <v>32792950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87806192</v>
      </c>
      <c r="D103" s="216">
        <v>86762098</v>
      </c>
      <c r="E103" s="216">
        <v>85514281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118292194</v>
      </c>
      <c r="D104" s="204">
        <f>+D102+D103</f>
        <v>113261780</v>
      </c>
      <c r="E104" s="204">
        <f>+E102+E103</f>
        <v>118307231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43.599595293200451</v>
      </c>
      <c r="D106" s="214">
        <f>IF(D109=0,0,(D107/D109)*100)</f>
        <v>44.675823615915846</v>
      </c>
      <c r="E106" s="214">
        <f>IF(E109=0,0,(E107/E109)*100)</f>
        <v>48.866279916462105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87806192</v>
      </c>
      <c r="D107" s="204">
        <f>+D103</f>
        <v>86762098</v>
      </c>
      <c r="E107" s="204">
        <f>+E103</f>
        <v>85514281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113586026</v>
      </c>
      <c r="D108" s="204">
        <f>+D32</f>
        <v>107441592</v>
      </c>
      <c r="E108" s="204">
        <f>+E32</f>
        <v>89482222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201392218</v>
      </c>
      <c r="D109" s="204">
        <f>+D107+D108</f>
        <v>194203690</v>
      </c>
      <c r="E109" s="204">
        <f>+E107+E108</f>
        <v>174996503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8.876637972707309</v>
      </c>
      <c r="D111" s="214">
        <f>IF((+D113+D115)=0,0,((+D112+D113+D114)/(+D113+D115)))</f>
        <v>7.8783531327162928</v>
      </c>
      <c r="E111" s="214">
        <f>IF((+E113+E115)=0,0,((+E112+E113+E114)/(+E113+E115)))</f>
        <v>5.9341987401942147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20570454</v>
      </c>
      <c r="D112" s="76">
        <f>+D17</f>
        <v>22083871</v>
      </c>
      <c r="E112" s="76">
        <f>+E17</f>
        <v>13796664</v>
      </c>
    </row>
    <row r="113" spans="1:8" ht="24" customHeight="1" x14ac:dyDescent="0.2">
      <c r="A113" s="85">
        <v>17</v>
      </c>
      <c r="B113" s="75" t="s">
        <v>88</v>
      </c>
      <c r="C113" s="218">
        <v>3987276</v>
      </c>
      <c r="D113" s="76">
        <v>3992280</v>
      </c>
      <c r="E113" s="76">
        <v>3968133</v>
      </c>
    </row>
    <row r="114" spans="1:8" ht="24" customHeight="1" x14ac:dyDescent="0.2">
      <c r="A114" s="85">
        <v>18</v>
      </c>
      <c r="B114" s="75" t="s">
        <v>374</v>
      </c>
      <c r="C114" s="218">
        <v>13104256</v>
      </c>
      <c r="D114" s="76">
        <v>12906996</v>
      </c>
      <c r="E114" s="76">
        <v>12305503</v>
      </c>
    </row>
    <row r="115" spans="1:8" ht="24" customHeight="1" x14ac:dyDescent="0.2">
      <c r="A115" s="85">
        <v>19</v>
      </c>
      <c r="B115" s="75" t="s">
        <v>104</v>
      </c>
      <c r="C115" s="218">
        <v>255545</v>
      </c>
      <c r="D115" s="76">
        <v>955854</v>
      </c>
      <c r="E115" s="76">
        <v>1099156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10.127900813293024</v>
      </c>
      <c r="D119" s="214">
        <f>IF(+D121=0,0,(+D120)/(+D121))</f>
        <v>11.276664298958487</v>
      </c>
      <c r="E119" s="214">
        <f>IF(+E121=0,0,(+E120)/(+E121))</f>
        <v>12.816040920879058</v>
      </c>
    </row>
    <row r="120" spans="1:8" ht="24" customHeight="1" x14ac:dyDescent="0.2">
      <c r="A120" s="85">
        <v>21</v>
      </c>
      <c r="B120" s="75" t="s">
        <v>378</v>
      </c>
      <c r="C120" s="218">
        <v>132718605</v>
      </c>
      <c r="D120" s="218">
        <v>145547861</v>
      </c>
      <c r="E120" s="218">
        <v>157707830</v>
      </c>
    </row>
    <row r="121" spans="1:8" ht="24" customHeight="1" x14ac:dyDescent="0.2">
      <c r="A121" s="85">
        <v>22</v>
      </c>
      <c r="B121" s="75" t="s">
        <v>374</v>
      </c>
      <c r="C121" s="218">
        <v>13104256</v>
      </c>
      <c r="D121" s="218">
        <v>12906996</v>
      </c>
      <c r="E121" s="218">
        <v>12305503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41898</v>
      </c>
      <c r="D124" s="218">
        <v>39492</v>
      </c>
      <c r="E124" s="218">
        <v>37258</v>
      </c>
    </row>
    <row r="125" spans="1:8" ht="24" customHeight="1" x14ac:dyDescent="0.2">
      <c r="A125" s="85">
        <v>2</v>
      </c>
      <c r="B125" s="75" t="s">
        <v>381</v>
      </c>
      <c r="C125" s="218">
        <v>9847</v>
      </c>
      <c r="D125" s="218">
        <v>9284</v>
      </c>
      <c r="E125" s="218">
        <v>9208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4.2548999695338683</v>
      </c>
      <c r="D126" s="219">
        <f>IF(D125=0,0,D124/D125)</f>
        <v>4.2537699267557088</v>
      </c>
      <c r="E126" s="219">
        <f>IF(E125=0,0,E124/E125)</f>
        <v>4.0462641181581231</v>
      </c>
    </row>
    <row r="127" spans="1:8" ht="24" customHeight="1" x14ac:dyDescent="0.2">
      <c r="A127" s="85">
        <v>4</v>
      </c>
      <c r="B127" s="75" t="s">
        <v>383</v>
      </c>
      <c r="C127" s="218">
        <v>139</v>
      </c>
      <c r="D127" s="218">
        <v>135</v>
      </c>
      <c r="E127" s="218">
        <v>135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156</v>
      </c>
      <c r="E128" s="218">
        <v>156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156</v>
      </c>
      <c r="D129" s="218">
        <v>156</v>
      </c>
      <c r="E129" s="218">
        <v>156</v>
      </c>
    </row>
    <row r="130" spans="1:7" ht="24" customHeight="1" x14ac:dyDescent="0.2">
      <c r="A130" s="85">
        <v>7</v>
      </c>
      <c r="B130" s="75" t="s">
        <v>386</v>
      </c>
      <c r="C130" s="193">
        <v>0.82579999999999998</v>
      </c>
      <c r="D130" s="193">
        <v>0.8014</v>
      </c>
      <c r="E130" s="193">
        <v>0.75609999999999999</v>
      </c>
    </row>
    <row r="131" spans="1:7" ht="24" customHeight="1" x14ac:dyDescent="0.2">
      <c r="A131" s="85">
        <v>8</v>
      </c>
      <c r="B131" s="75" t="s">
        <v>387</v>
      </c>
      <c r="C131" s="193">
        <v>0.73580000000000001</v>
      </c>
      <c r="D131" s="193">
        <v>0.69350000000000001</v>
      </c>
      <c r="E131" s="193">
        <v>0.65429999999999999</v>
      </c>
    </row>
    <row r="132" spans="1:7" ht="24" customHeight="1" x14ac:dyDescent="0.2">
      <c r="A132" s="85">
        <v>9</v>
      </c>
      <c r="B132" s="75" t="s">
        <v>388</v>
      </c>
      <c r="C132" s="219">
        <v>1028.0999999999999</v>
      </c>
      <c r="D132" s="219">
        <v>963.3</v>
      </c>
      <c r="E132" s="219">
        <v>876.9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0.32328223567368763</v>
      </c>
      <c r="D135" s="227">
        <f>IF(D149=0,0,D143/D149)</f>
        <v>0.31536767038075025</v>
      </c>
      <c r="E135" s="227">
        <f>IF(E149=0,0,E143/E149)</f>
        <v>0.30641231598712432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0.44960286302327535</v>
      </c>
      <c r="D136" s="227">
        <f>IF(D149=0,0,D144/D149)</f>
        <v>0.44730215651661942</v>
      </c>
      <c r="E136" s="227">
        <f>IF(E149=0,0,E144/E149)</f>
        <v>0.46059415627984912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0.20001689424723557</v>
      </c>
      <c r="D137" s="227">
        <f>IF(D149=0,0,D145/D149)</f>
        <v>0.21841121756940096</v>
      </c>
      <c r="E137" s="227">
        <f>IF(E149=0,0,E145/E149)</f>
        <v>0.21871963657109997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2.4750022699837962E-2</v>
      </c>
      <c r="D139" s="227">
        <f>IF(D149=0,0,D147/D149)</f>
        <v>1.7317205974992259E-2</v>
      </c>
      <c r="E139" s="227">
        <f>IF(E149=0,0,E147/E149)</f>
        <v>1.2773739865513745E-2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2.3479843559634922E-3</v>
      </c>
      <c r="D140" s="227">
        <f>IF(D149=0,0,D148/D149)</f>
        <v>1.6017495582371045E-3</v>
      </c>
      <c r="E140" s="227">
        <f>IF(E149=0,0,E148/E149)</f>
        <v>1.5001512964128061E-3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163272936</v>
      </c>
      <c r="D143" s="229">
        <f>+D46-D147</f>
        <v>171380103</v>
      </c>
      <c r="E143" s="229">
        <f>+E46-E147</f>
        <v>168381914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227070873</v>
      </c>
      <c r="D144" s="229">
        <f>+D51</f>
        <v>243077198</v>
      </c>
      <c r="E144" s="229">
        <f>+E51</f>
        <v>253109035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101018064</v>
      </c>
      <c r="D145" s="229">
        <f>+D55</f>
        <v>118691104</v>
      </c>
      <c r="E145" s="229">
        <f>+E55</f>
        <v>120192398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12499941</v>
      </c>
      <c r="D147" s="229">
        <f>+D47</f>
        <v>9410681</v>
      </c>
      <c r="E147" s="229">
        <f>+E47</f>
        <v>7019518</v>
      </c>
    </row>
    <row r="148" spans="1:7" ht="20.100000000000001" customHeight="1" x14ac:dyDescent="0.2">
      <c r="A148" s="226">
        <v>13</v>
      </c>
      <c r="B148" s="224" t="s">
        <v>402</v>
      </c>
      <c r="C148" s="230">
        <v>1185844</v>
      </c>
      <c r="D148" s="229">
        <v>870438</v>
      </c>
      <c r="E148" s="229">
        <v>824374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505047658</v>
      </c>
      <c r="D149" s="229">
        <f>SUM(D143:D148)</f>
        <v>543429524</v>
      </c>
      <c r="E149" s="229">
        <f>SUM(E143:E148)</f>
        <v>549527239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0.51247324902919522</v>
      </c>
      <c r="D152" s="227">
        <f>IF(D166=0,0,D160/D166)</f>
        <v>0.50197752509214899</v>
      </c>
      <c r="E152" s="227">
        <f>IF(E166=0,0,E160/E166)</f>
        <v>0.49635496184991929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0.34623640215835277</v>
      </c>
      <c r="D153" s="227">
        <f>IF(D166=0,0,D161/D166)</f>
        <v>0.35810317515764034</v>
      </c>
      <c r="E153" s="227">
        <f>IF(E166=0,0,E161/E166)</f>
        <v>0.37508075552521231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0.12638961588596992</v>
      </c>
      <c r="D154" s="227">
        <f>IF(D166=0,0,D162/D166)</f>
        <v>0.13019994789227082</v>
      </c>
      <c r="E154" s="227">
        <f>IF(E166=0,0,E162/E166)</f>
        <v>0.11848328695591352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1.3803999335270921E-2</v>
      </c>
      <c r="D156" s="227">
        <f>IF(D166=0,0,D164/D166)</f>
        <v>8.9513236254561233E-3</v>
      </c>
      <c r="E156" s="227">
        <f>IF(E166=0,0,E164/E166)</f>
        <v>9.1231429396940473E-3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1.0967335912111255E-3</v>
      </c>
      <c r="D157" s="227">
        <f>IF(D166=0,0,D165/D166)</f>
        <v>7.6802823248376436E-4</v>
      </c>
      <c r="E157" s="227">
        <f>IF(E166=0,0,E165/E166)</f>
        <v>9.5785272926083426E-4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115213934</v>
      </c>
      <c r="D160" s="229">
        <f>+D44-D164</f>
        <v>114266277</v>
      </c>
      <c r="E160" s="229">
        <f>+E44-E164</f>
        <v>110858597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77840664</v>
      </c>
      <c r="D161" s="229">
        <f>+D50</f>
        <v>81515834</v>
      </c>
      <c r="E161" s="229">
        <f>+E50</f>
        <v>83772561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28414839</v>
      </c>
      <c r="D162" s="229">
        <f>+D54</f>
        <v>29637708</v>
      </c>
      <c r="E162" s="229">
        <f>+E54</f>
        <v>26462697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3103407</v>
      </c>
      <c r="D164" s="229">
        <f>+D45</f>
        <v>2037610</v>
      </c>
      <c r="E164" s="229">
        <f>+E45</f>
        <v>2037612</v>
      </c>
    </row>
    <row r="165" spans="1:6" ht="20.100000000000001" customHeight="1" x14ac:dyDescent="0.2">
      <c r="A165" s="226">
        <v>13</v>
      </c>
      <c r="B165" s="224" t="s">
        <v>417</v>
      </c>
      <c r="C165" s="230">
        <v>246567</v>
      </c>
      <c r="D165" s="229">
        <v>174828</v>
      </c>
      <c r="E165" s="229">
        <v>213932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224819411</v>
      </c>
      <c r="D166" s="229">
        <f>SUM(D160:D165)</f>
        <v>227632257</v>
      </c>
      <c r="E166" s="229">
        <f>SUM(E160:E165)</f>
        <v>223345399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2804</v>
      </c>
      <c r="D169" s="218">
        <v>2607</v>
      </c>
      <c r="E169" s="218">
        <v>2446</v>
      </c>
    </row>
    <row r="170" spans="1:6" ht="20.100000000000001" customHeight="1" x14ac:dyDescent="0.2">
      <c r="A170" s="226">
        <v>2</v>
      </c>
      <c r="B170" s="224" t="s">
        <v>420</v>
      </c>
      <c r="C170" s="218">
        <v>4908</v>
      </c>
      <c r="D170" s="218">
        <v>4483</v>
      </c>
      <c r="E170" s="218">
        <v>4604</v>
      </c>
    </row>
    <row r="171" spans="1:6" ht="20.100000000000001" customHeight="1" x14ac:dyDescent="0.2">
      <c r="A171" s="226">
        <v>3</v>
      </c>
      <c r="B171" s="224" t="s">
        <v>421</v>
      </c>
      <c r="C171" s="218">
        <v>2111</v>
      </c>
      <c r="D171" s="218">
        <v>2182</v>
      </c>
      <c r="E171" s="218">
        <v>2137</v>
      </c>
    </row>
    <row r="172" spans="1:6" ht="20.100000000000001" customHeight="1" x14ac:dyDescent="0.2">
      <c r="A172" s="226">
        <v>4</v>
      </c>
      <c r="B172" s="224" t="s">
        <v>422</v>
      </c>
      <c r="C172" s="218">
        <v>2111</v>
      </c>
      <c r="D172" s="218">
        <v>2182</v>
      </c>
      <c r="E172" s="218">
        <v>2137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24</v>
      </c>
      <c r="D174" s="218">
        <v>12</v>
      </c>
      <c r="E174" s="218">
        <v>21</v>
      </c>
    </row>
    <row r="175" spans="1:6" ht="20.100000000000001" customHeight="1" x14ac:dyDescent="0.2">
      <c r="A175" s="226">
        <v>7</v>
      </c>
      <c r="B175" s="224" t="s">
        <v>425</v>
      </c>
      <c r="C175" s="218">
        <v>242</v>
      </c>
      <c r="D175" s="218">
        <v>127</v>
      </c>
      <c r="E175" s="218">
        <v>96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9847</v>
      </c>
      <c r="D176" s="218">
        <f>+D169+D170+D171+D174</f>
        <v>9284</v>
      </c>
      <c r="E176" s="218">
        <f>+E169+E170+E171+E174</f>
        <v>9208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1.10877</v>
      </c>
      <c r="D179" s="231">
        <v>1.1429499999999999</v>
      </c>
      <c r="E179" s="231">
        <v>1.1702399999999999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1.52013</v>
      </c>
      <c r="D180" s="231">
        <v>1.59467</v>
      </c>
      <c r="E180" s="231">
        <v>1.52983</v>
      </c>
    </row>
    <row r="181" spans="1:6" ht="20.100000000000001" customHeight="1" x14ac:dyDescent="0.2">
      <c r="A181" s="226">
        <v>3</v>
      </c>
      <c r="B181" s="224" t="s">
        <v>421</v>
      </c>
      <c r="C181" s="231">
        <v>0.98575999999999997</v>
      </c>
      <c r="D181" s="231">
        <v>0.99990999999999997</v>
      </c>
      <c r="E181" s="231">
        <v>1.00499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0.98575999999999997</v>
      </c>
      <c r="D182" s="231">
        <v>0.99990999999999997</v>
      </c>
      <c r="E182" s="231">
        <v>1.00499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0.72829999999999995</v>
      </c>
      <c r="D184" s="231">
        <v>0.55530000000000002</v>
      </c>
      <c r="E184" s="231">
        <v>0.78796999999999995</v>
      </c>
    </row>
    <row r="185" spans="1:6" ht="20.100000000000001" customHeight="1" x14ac:dyDescent="0.2">
      <c r="A185" s="226">
        <v>7</v>
      </c>
      <c r="B185" s="224" t="s">
        <v>425</v>
      </c>
      <c r="C185" s="231">
        <v>0.94379000000000002</v>
      </c>
      <c r="D185" s="231">
        <v>0.34031</v>
      </c>
      <c r="E185" s="231">
        <v>0.94140999999999997</v>
      </c>
    </row>
    <row r="186" spans="1:6" ht="20.100000000000001" customHeight="1" x14ac:dyDescent="0.2">
      <c r="A186" s="226">
        <v>8</v>
      </c>
      <c r="B186" s="224" t="s">
        <v>429</v>
      </c>
      <c r="C186" s="231">
        <v>1.2865040000000001</v>
      </c>
      <c r="D186" s="231">
        <v>1.326695</v>
      </c>
      <c r="E186" s="231">
        <v>1.3108109999999999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6894</v>
      </c>
      <c r="D189" s="218">
        <v>6344</v>
      </c>
      <c r="E189" s="218">
        <v>6065</v>
      </c>
    </row>
    <row r="190" spans="1:6" ht="20.100000000000001" customHeight="1" x14ac:dyDescent="0.2">
      <c r="A190" s="226">
        <v>2</v>
      </c>
      <c r="B190" s="224" t="s">
        <v>433</v>
      </c>
      <c r="C190" s="218">
        <v>52897</v>
      </c>
      <c r="D190" s="218">
        <v>52269</v>
      </c>
      <c r="E190" s="218">
        <v>51645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59791</v>
      </c>
      <c r="D191" s="218">
        <f>+D190+D189</f>
        <v>58613</v>
      </c>
      <c r="E191" s="218">
        <f>+E190+E189</f>
        <v>57710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FILING&amp;RMIDSTATE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zoomScale="75" zoomScaleNormal="75" workbookViewId="0">
      <selection activeCell="B42" sqref="B42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3" t="s">
        <v>0</v>
      </c>
      <c r="B2" s="803"/>
      <c r="C2" s="803"/>
      <c r="D2" s="803"/>
      <c r="E2" s="803"/>
      <c r="F2" s="803"/>
    </row>
    <row r="3" spans="1:7" ht="20.25" customHeight="1" x14ac:dyDescent="0.3">
      <c r="A3" s="803" t="s">
        <v>1</v>
      </c>
      <c r="B3" s="803"/>
      <c r="C3" s="803"/>
      <c r="D3" s="803"/>
      <c r="E3" s="803"/>
      <c r="F3" s="803"/>
    </row>
    <row r="4" spans="1:7" ht="20.25" customHeight="1" x14ac:dyDescent="0.3">
      <c r="A4" s="803" t="s">
        <v>2</v>
      </c>
      <c r="B4" s="803"/>
      <c r="C4" s="803"/>
      <c r="D4" s="803"/>
      <c r="E4" s="803"/>
      <c r="F4" s="803"/>
    </row>
    <row r="5" spans="1:7" ht="20.25" customHeight="1" x14ac:dyDescent="0.3">
      <c r="A5" s="803" t="s">
        <v>435</v>
      </c>
      <c r="B5" s="803"/>
      <c r="C5" s="803"/>
      <c r="D5" s="803"/>
      <c r="E5" s="803"/>
      <c r="F5" s="803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4"/>
      <c r="D9" s="805"/>
      <c r="E9" s="805"/>
      <c r="F9" s="806"/>
      <c r="G9" s="245"/>
    </row>
    <row r="10" spans="1:7" ht="20.25" customHeight="1" x14ac:dyDescent="0.3">
      <c r="A10" s="787" t="s">
        <v>12</v>
      </c>
      <c r="B10" s="789" t="s">
        <v>114</v>
      </c>
      <c r="C10" s="791"/>
      <c r="D10" s="792"/>
      <c r="E10" s="792"/>
      <c r="F10" s="793"/>
    </row>
    <row r="11" spans="1:7" ht="20.25" customHeight="1" x14ac:dyDescent="0.3">
      <c r="A11" s="788"/>
      <c r="B11" s="790"/>
      <c r="C11" s="794"/>
      <c r="D11" s="795"/>
      <c r="E11" s="795"/>
      <c r="F11" s="796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2563175</v>
      </c>
      <c r="D14" s="258">
        <v>2145217</v>
      </c>
      <c r="E14" s="258">
        <f t="shared" ref="E14:E24" si="0">D14-C14</f>
        <v>-417958</v>
      </c>
      <c r="F14" s="259">
        <f t="shared" ref="F14:F24" si="1">IF(C14=0,0,E14/C14)</f>
        <v>-0.16306260789840724</v>
      </c>
    </row>
    <row r="15" spans="1:7" ht="20.25" customHeight="1" x14ac:dyDescent="0.3">
      <c r="A15" s="256">
        <v>2</v>
      </c>
      <c r="B15" s="257" t="s">
        <v>442</v>
      </c>
      <c r="C15" s="258">
        <v>939614</v>
      </c>
      <c r="D15" s="258">
        <v>801384</v>
      </c>
      <c r="E15" s="258">
        <f t="shared" si="0"/>
        <v>-138230</v>
      </c>
      <c r="F15" s="259">
        <f t="shared" si="1"/>
        <v>-0.1471136019684679</v>
      </c>
    </row>
    <row r="16" spans="1:7" ht="20.25" customHeight="1" x14ac:dyDescent="0.3">
      <c r="A16" s="256">
        <v>3</v>
      </c>
      <c r="B16" s="257" t="s">
        <v>443</v>
      </c>
      <c r="C16" s="258">
        <v>1442991</v>
      </c>
      <c r="D16" s="258">
        <v>1978954</v>
      </c>
      <c r="E16" s="258">
        <f t="shared" si="0"/>
        <v>535963</v>
      </c>
      <c r="F16" s="259">
        <f t="shared" si="1"/>
        <v>0.37142504700306517</v>
      </c>
    </row>
    <row r="17" spans="1:6" ht="20.25" customHeight="1" x14ac:dyDescent="0.3">
      <c r="A17" s="256">
        <v>4</v>
      </c>
      <c r="B17" s="257" t="s">
        <v>444</v>
      </c>
      <c r="C17" s="258">
        <v>507894</v>
      </c>
      <c r="D17" s="258">
        <v>589742</v>
      </c>
      <c r="E17" s="258">
        <f t="shared" si="0"/>
        <v>81848</v>
      </c>
      <c r="F17" s="259">
        <f t="shared" si="1"/>
        <v>0.1611517363859388</v>
      </c>
    </row>
    <row r="18" spans="1:6" ht="20.25" customHeight="1" x14ac:dyDescent="0.3">
      <c r="A18" s="256">
        <v>5</v>
      </c>
      <c r="B18" s="257" t="s">
        <v>381</v>
      </c>
      <c r="C18" s="260">
        <v>82</v>
      </c>
      <c r="D18" s="260">
        <v>76</v>
      </c>
      <c r="E18" s="260">
        <f t="shared" si="0"/>
        <v>-6</v>
      </c>
      <c r="F18" s="259">
        <f t="shared" si="1"/>
        <v>-7.3170731707317069E-2</v>
      </c>
    </row>
    <row r="19" spans="1:6" ht="20.25" customHeight="1" x14ac:dyDescent="0.3">
      <c r="A19" s="256">
        <v>6</v>
      </c>
      <c r="B19" s="257" t="s">
        <v>380</v>
      </c>
      <c r="C19" s="260">
        <v>424</v>
      </c>
      <c r="D19" s="260">
        <v>356</v>
      </c>
      <c r="E19" s="260">
        <f t="shared" si="0"/>
        <v>-68</v>
      </c>
      <c r="F19" s="259">
        <f t="shared" si="1"/>
        <v>-0.16037735849056603</v>
      </c>
    </row>
    <row r="20" spans="1:6" ht="20.25" customHeight="1" x14ac:dyDescent="0.3">
      <c r="A20" s="256">
        <v>7</v>
      </c>
      <c r="B20" s="257" t="s">
        <v>445</v>
      </c>
      <c r="C20" s="260">
        <v>579</v>
      </c>
      <c r="D20" s="260">
        <v>678</v>
      </c>
      <c r="E20" s="260">
        <f t="shared" si="0"/>
        <v>99</v>
      </c>
      <c r="F20" s="259">
        <f t="shared" si="1"/>
        <v>0.17098445595854922</v>
      </c>
    </row>
    <row r="21" spans="1:6" ht="20.25" customHeight="1" x14ac:dyDescent="0.3">
      <c r="A21" s="256">
        <v>8</v>
      </c>
      <c r="B21" s="257" t="s">
        <v>446</v>
      </c>
      <c r="C21" s="260">
        <v>118</v>
      </c>
      <c r="D21" s="260">
        <v>189</v>
      </c>
      <c r="E21" s="260">
        <f t="shared" si="0"/>
        <v>71</v>
      </c>
      <c r="F21" s="259">
        <f t="shared" si="1"/>
        <v>0.60169491525423724</v>
      </c>
    </row>
    <row r="22" spans="1:6" ht="20.25" customHeight="1" x14ac:dyDescent="0.3">
      <c r="A22" s="256">
        <v>9</v>
      </c>
      <c r="B22" s="257" t="s">
        <v>447</v>
      </c>
      <c r="C22" s="260">
        <v>75</v>
      </c>
      <c r="D22" s="260">
        <v>64</v>
      </c>
      <c r="E22" s="260">
        <f t="shared" si="0"/>
        <v>-11</v>
      </c>
      <c r="F22" s="259">
        <f t="shared" si="1"/>
        <v>-0.14666666666666667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4006166</v>
      </c>
      <c r="D23" s="263">
        <f>+D14+D16</f>
        <v>4124171</v>
      </c>
      <c r="E23" s="263">
        <f t="shared" si="0"/>
        <v>118005</v>
      </c>
      <c r="F23" s="264">
        <f t="shared" si="1"/>
        <v>2.945584381675647E-2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1447508</v>
      </c>
      <c r="D24" s="263">
        <f>+D15+D17</f>
        <v>1391126</v>
      </c>
      <c r="E24" s="263">
        <f t="shared" si="0"/>
        <v>-56382</v>
      </c>
      <c r="F24" s="264">
        <f t="shared" si="1"/>
        <v>-3.8951080063115366E-2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8596148</v>
      </c>
      <c r="D40" s="258">
        <v>10122058</v>
      </c>
      <c r="E40" s="258">
        <f t="shared" ref="E40:E50" si="4">D40-C40</f>
        <v>1525910</v>
      </c>
      <c r="F40" s="259">
        <f t="shared" ref="F40:F50" si="5">IF(C40=0,0,E40/C40)</f>
        <v>0.17751090372106204</v>
      </c>
    </row>
    <row r="41" spans="1:6" ht="20.25" customHeight="1" x14ac:dyDescent="0.3">
      <c r="A41" s="256">
        <v>2</v>
      </c>
      <c r="B41" s="257" t="s">
        <v>442</v>
      </c>
      <c r="C41" s="258">
        <v>3388043</v>
      </c>
      <c r="D41" s="258">
        <v>3503194</v>
      </c>
      <c r="E41" s="258">
        <f t="shared" si="4"/>
        <v>115151</v>
      </c>
      <c r="F41" s="259">
        <f t="shared" si="5"/>
        <v>3.3987467101214475E-2</v>
      </c>
    </row>
    <row r="42" spans="1:6" ht="20.25" customHeight="1" x14ac:dyDescent="0.3">
      <c r="A42" s="256">
        <v>3</v>
      </c>
      <c r="B42" s="257" t="s">
        <v>443</v>
      </c>
      <c r="C42" s="258">
        <v>9779891</v>
      </c>
      <c r="D42" s="258">
        <v>10533317</v>
      </c>
      <c r="E42" s="258">
        <f t="shared" si="4"/>
        <v>753426</v>
      </c>
      <c r="F42" s="259">
        <f t="shared" si="5"/>
        <v>7.7038281919501961E-2</v>
      </c>
    </row>
    <row r="43" spans="1:6" ht="20.25" customHeight="1" x14ac:dyDescent="0.3">
      <c r="A43" s="256">
        <v>4</v>
      </c>
      <c r="B43" s="257" t="s">
        <v>444</v>
      </c>
      <c r="C43" s="258">
        <v>2611667</v>
      </c>
      <c r="D43" s="258">
        <v>2833189</v>
      </c>
      <c r="E43" s="258">
        <f t="shared" si="4"/>
        <v>221522</v>
      </c>
      <c r="F43" s="259">
        <f t="shared" si="5"/>
        <v>8.4820155096342678E-2</v>
      </c>
    </row>
    <row r="44" spans="1:6" ht="20.25" customHeight="1" x14ac:dyDescent="0.3">
      <c r="A44" s="256">
        <v>5</v>
      </c>
      <c r="B44" s="257" t="s">
        <v>381</v>
      </c>
      <c r="C44" s="260">
        <v>274</v>
      </c>
      <c r="D44" s="260">
        <v>322</v>
      </c>
      <c r="E44" s="260">
        <f t="shared" si="4"/>
        <v>48</v>
      </c>
      <c r="F44" s="259">
        <f t="shared" si="5"/>
        <v>0.17518248175182483</v>
      </c>
    </row>
    <row r="45" spans="1:6" ht="20.25" customHeight="1" x14ac:dyDescent="0.3">
      <c r="A45" s="256">
        <v>6</v>
      </c>
      <c r="B45" s="257" t="s">
        <v>380</v>
      </c>
      <c r="C45" s="260">
        <v>1304</v>
      </c>
      <c r="D45" s="260">
        <v>1519</v>
      </c>
      <c r="E45" s="260">
        <f t="shared" si="4"/>
        <v>215</v>
      </c>
      <c r="F45" s="259">
        <f t="shared" si="5"/>
        <v>0.16487730061349692</v>
      </c>
    </row>
    <row r="46" spans="1:6" ht="20.25" customHeight="1" x14ac:dyDescent="0.3">
      <c r="A46" s="256">
        <v>7</v>
      </c>
      <c r="B46" s="257" t="s">
        <v>445</v>
      </c>
      <c r="C46" s="260">
        <v>3009</v>
      </c>
      <c r="D46" s="260">
        <v>3363</v>
      </c>
      <c r="E46" s="260">
        <f t="shared" si="4"/>
        <v>354</v>
      </c>
      <c r="F46" s="259">
        <f t="shared" si="5"/>
        <v>0.11764705882352941</v>
      </c>
    </row>
    <row r="47" spans="1:6" ht="20.25" customHeight="1" x14ac:dyDescent="0.3">
      <c r="A47" s="256">
        <v>8</v>
      </c>
      <c r="B47" s="257" t="s">
        <v>446</v>
      </c>
      <c r="C47" s="260">
        <v>507</v>
      </c>
      <c r="D47" s="260">
        <v>626</v>
      </c>
      <c r="E47" s="260">
        <f t="shared" si="4"/>
        <v>119</v>
      </c>
      <c r="F47" s="259">
        <f t="shared" si="5"/>
        <v>0.23471400394477318</v>
      </c>
    </row>
    <row r="48" spans="1:6" ht="20.25" customHeight="1" x14ac:dyDescent="0.3">
      <c r="A48" s="256">
        <v>9</v>
      </c>
      <c r="B48" s="257" t="s">
        <v>447</v>
      </c>
      <c r="C48" s="260">
        <v>215</v>
      </c>
      <c r="D48" s="260">
        <v>252</v>
      </c>
      <c r="E48" s="260">
        <f t="shared" si="4"/>
        <v>37</v>
      </c>
      <c r="F48" s="259">
        <f t="shared" si="5"/>
        <v>0.17209302325581396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18376039</v>
      </c>
      <c r="D49" s="263">
        <f>+D40+D42</f>
        <v>20655375</v>
      </c>
      <c r="E49" s="263">
        <f t="shared" si="4"/>
        <v>2279336</v>
      </c>
      <c r="F49" s="264">
        <f t="shared" si="5"/>
        <v>0.12403848293965854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5999710</v>
      </c>
      <c r="D50" s="263">
        <f>+D41+D43</f>
        <v>6336383</v>
      </c>
      <c r="E50" s="263">
        <f t="shared" si="4"/>
        <v>336673</v>
      </c>
      <c r="F50" s="264">
        <f t="shared" si="5"/>
        <v>5.6114878885812812E-2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559904</v>
      </c>
      <c r="D66" s="258">
        <v>182176</v>
      </c>
      <c r="E66" s="258">
        <f t="shared" ref="E66:E76" si="8">D66-C66</f>
        <v>-377728</v>
      </c>
      <c r="F66" s="259">
        <f t="shared" ref="F66:F76" si="9">IF(C66=0,0,E66/C66)</f>
        <v>-0.67462993656055326</v>
      </c>
    </row>
    <row r="67" spans="1:6" ht="20.25" customHeight="1" x14ac:dyDescent="0.3">
      <c r="A67" s="256">
        <v>2</v>
      </c>
      <c r="B67" s="257" t="s">
        <v>442</v>
      </c>
      <c r="C67" s="258">
        <v>241390</v>
      </c>
      <c r="D67" s="258">
        <v>69882</v>
      </c>
      <c r="E67" s="258">
        <f t="shared" si="8"/>
        <v>-171508</v>
      </c>
      <c r="F67" s="259">
        <f t="shared" si="9"/>
        <v>-0.71050167778284101</v>
      </c>
    </row>
    <row r="68" spans="1:6" ht="20.25" customHeight="1" x14ac:dyDescent="0.3">
      <c r="A68" s="256">
        <v>3</v>
      </c>
      <c r="B68" s="257" t="s">
        <v>443</v>
      </c>
      <c r="C68" s="258">
        <v>251386</v>
      </c>
      <c r="D68" s="258">
        <v>172296</v>
      </c>
      <c r="E68" s="258">
        <f t="shared" si="8"/>
        <v>-79090</v>
      </c>
      <c r="F68" s="259">
        <f t="shared" si="9"/>
        <v>-0.31461577017017656</v>
      </c>
    </row>
    <row r="69" spans="1:6" ht="20.25" customHeight="1" x14ac:dyDescent="0.3">
      <c r="A69" s="256">
        <v>4</v>
      </c>
      <c r="B69" s="257" t="s">
        <v>444</v>
      </c>
      <c r="C69" s="258">
        <v>56925</v>
      </c>
      <c r="D69" s="258">
        <v>40425</v>
      </c>
      <c r="E69" s="258">
        <f t="shared" si="8"/>
        <v>-16500</v>
      </c>
      <c r="F69" s="259">
        <f t="shared" si="9"/>
        <v>-0.28985507246376813</v>
      </c>
    </row>
    <row r="70" spans="1:6" ht="20.25" customHeight="1" x14ac:dyDescent="0.3">
      <c r="A70" s="256">
        <v>5</v>
      </c>
      <c r="B70" s="257" t="s">
        <v>381</v>
      </c>
      <c r="C70" s="260">
        <v>19</v>
      </c>
      <c r="D70" s="260">
        <v>9</v>
      </c>
      <c r="E70" s="260">
        <f t="shared" si="8"/>
        <v>-10</v>
      </c>
      <c r="F70" s="259">
        <f t="shared" si="9"/>
        <v>-0.52631578947368418</v>
      </c>
    </row>
    <row r="71" spans="1:6" ht="20.25" customHeight="1" x14ac:dyDescent="0.3">
      <c r="A71" s="256">
        <v>6</v>
      </c>
      <c r="B71" s="257" t="s">
        <v>380</v>
      </c>
      <c r="C71" s="260">
        <v>88</v>
      </c>
      <c r="D71" s="260">
        <v>38</v>
      </c>
      <c r="E71" s="260">
        <f t="shared" si="8"/>
        <v>-50</v>
      </c>
      <c r="F71" s="259">
        <f t="shared" si="9"/>
        <v>-0.56818181818181823</v>
      </c>
    </row>
    <row r="72" spans="1:6" ht="20.25" customHeight="1" x14ac:dyDescent="0.3">
      <c r="A72" s="256">
        <v>7</v>
      </c>
      <c r="B72" s="257" t="s">
        <v>445</v>
      </c>
      <c r="C72" s="260">
        <v>60</v>
      </c>
      <c r="D72" s="260">
        <v>40</v>
      </c>
      <c r="E72" s="260">
        <f t="shared" si="8"/>
        <v>-20</v>
      </c>
      <c r="F72" s="259">
        <f t="shared" si="9"/>
        <v>-0.33333333333333331</v>
      </c>
    </row>
    <row r="73" spans="1:6" ht="20.25" customHeight="1" x14ac:dyDescent="0.3">
      <c r="A73" s="256">
        <v>8</v>
      </c>
      <c r="B73" s="257" t="s">
        <v>446</v>
      </c>
      <c r="C73" s="260">
        <v>48</v>
      </c>
      <c r="D73" s="260">
        <v>57</v>
      </c>
      <c r="E73" s="260">
        <f t="shared" si="8"/>
        <v>9</v>
      </c>
      <c r="F73" s="259">
        <f t="shared" si="9"/>
        <v>0.1875</v>
      </c>
    </row>
    <row r="74" spans="1:6" ht="20.25" customHeight="1" x14ac:dyDescent="0.3">
      <c r="A74" s="256">
        <v>9</v>
      </c>
      <c r="B74" s="257" t="s">
        <v>447</v>
      </c>
      <c r="C74" s="260">
        <v>18</v>
      </c>
      <c r="D74" s="260">
        <v>9</v>
      </c>
      <c r="E74" s="260">
        <f t="shared" si="8"/>
        <v>-9</v>
      </c>
      <c r="F74" s="259">
        <f t="shared" si="9"/>
        <v>-0.5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811290</v>
      </c>
      <c r="D75" s="263">
        <f>+D66+D68</f>
        <v>354472</v>
      </c>
      <c r="E75" s="263">
        <f t="shared" si="8"/>
        <v>-456818</v>
      </c>
      <c r="F75" s="264">
        <f t="shared" si="9"/>
        <v>-0.56307608869824599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298315</v>
      </c>
      <c r="D76" s="263">
        <f>+D67+D69</f>
        <v>110307</v>
      </c>
      <c r="E76" s="263">
        <f t="shared" si="8"/>
        <v>-188008</v>
      </c>
      <c r="F76" s="264">
        <f t="shared" si="9"/>
        <v>-0.63023314281883247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2138485</v>
      </c>
      <c r="D105" s="258">
        <v>3281337</v>
      </c>
      <c r="E105" s="258">
        <f t="shared" ref="E105:E115" si="14">D105-C105</f>
        <v>1142852</v>
      </c>
      <c r="F105" s="259">
        <f t="shared" ref="F105:F115" si="15">IF(C105=0,0,E105/C105)</f>
        <v>0.53442133098899458</v>
      </c>
    </row>
    <row r="106" spans="1:6" ht="20.25" customHeight="1" x14ac:dyDescent="0.3">
      <c r="A106" s="256">
        <v>2</v>
      </c>
      <c r="B106" s="257" t="s">
        <v>442</v>
      </c>
      <c r="C106" s="258">
        <v>834346</v>
      </c>
      <c r="D106" s="258">
        <v>1160195</v>
      </c>
      <c r="E106" s="258">
        <f t="shared" si="14"/>
        <v>325849</v>
      </c>
      <c r="F106" s="259">
        <f t="shared" si="15"/>
        <v>0.39054421067518752</v>
      </c>
    </row>
    <row r="107" spans="1:6" ht="20.25" customHeight="1" x14ac:dyDescent="0.3">
      <c r="A107" s="256">
        <v>3</v>
      </c>
      <c r="B107" s="257" t="s">
        <v>443</v>
      </c>
      <c r="C107" s="258">
        <v>2314416</v>
      </c>
      <c r="D107" s="258">
        <v>2943159</v>
      </c>
      <c r="E107" s="258">
        <f t="shared" si="14"/>
        <v>628743</v>
      </c>
      <c r="F107" s="259">
        <f t="shared" si="15"/>
        <v>0.27166378040939915</v>
      </c>
    </row>
    <row r="108" spans="1:6" ht="20.25" customHeight="1" x14ac:dyDescent="0.3">
      <c r="A108" s="256">
        <v>4</v>
      </c>
      <c r="B108" s="257" t="s">
        <v>444</v>
      </c>
      <c r="C108" s="258">
        <v>415818</v>
      </c>
      <c r="D108" s="258">
        <v>638115</v>
      </c>
      <c r="E108" s="258">
        <f t="shared" si="14"/>
        <v>222297</v>
      </c>
      <c r="F108" s="259">
        <f t="shared" si="15"/>
        <v>0.53460167669509251</v>
      </c>
    </row>
    <row r="109" spans="1:6" ht="20.25" customHeight="1" x14ac:dyDescent="0.3">
      <c r="A109" s="256">
        <v>5</v>
      </c>
      <c r="B109" s="257" t="s">
        <v>381</v>
      </c>
      <c r="C109" s="260">
        <v>87</v>
      </c>
      <c r="D109" s="260">
        <v>120</v>
      </c>
      <c r="E109" s="260">
        <f t="shared" si="14"/>
        <v>33</v>
      </c>
      <c r="F109" s="259">
        <f t="shared" si="15"/>
        <v>0.37931034482758619</v>
      </c>
    </row>
    <row r="110" spans="1:6" ht="20.25" customHeight="1" x14ac:dyDescent="0.3">
      <c r="A110" s="256">
        <v>6</v>
      </c>
      <c r="B110" s="257" t="s">
        <v>380</v>
      </c>
      <c r="C110" s="260">
        <v>354</v>
      </c>
      <c r="D110" s="260">
        <v>463</v>
      </c>
      <c r="E110" s="260">
        <f t="shared" si="14"/>
        <v>109</v>
      </c>
      <c r="F110" s="259">
        <f t="shared" si="15"/>
        <v>0.30790960451977401</v>
      </c>
    </row>
    <row r="111" spans="1:6" ht="20.25" customHeight="1" x14ac:dyDescent="0.3">
      <c r="A111" s="256">
        <v>7</v>
      </c>
      <c r="B111" s="257" t="s">
        <v>445</v>
      </c>
      <c r="C111" s="260">
        <v>644</v>
      </c>
      <c r="D111" s="260">
        <v>946</v>
      </c>
      <c r="E111" s="260">
        <f t="shared" si="14"/>
        <v>302</v>
      </c>
      <c r="F111" s="259">
        <f t="shared" si="15"/>
        <v>0.46894409937888198</v>
      </c>
    </row>
    <row r="112" spans="1:6" ht="20.25" customHeight="1" x14ac:dyDescent="0.3">
      <c r="A112" s="256">
        <v>8</v>
      </c>
      <c r="B112" s="257" t="s">
        <v>446</v>
      </c>
      <c r="C112" s="260">
        <v>387</v>
      </c>
      <c r="D112" s="260">
        <v>387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82</v>
      </c>
      <c r="D113" s="260">
        <v>103</v>
      </c>
      <c r="E113" s="260">
        <f t="shared" si="14"/>
        <v>21</v>
      </c>
      <c r="F113" s="259">
        <f t="shared" si="15"/>
        <v>0.25609756097560976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4452901</v>
      </c>
      <c r="D114" s="263">
        <f>+D105+D107</f>
        <v>6224496</v>
      </c>
      <c r="E114" s="263">
        <f t="shared" si="14"/>
        <v>1771595</v>
      </c>
      <c r="F114" s="264">
        <f t="shared" si="15"/>
        <v>0.39785187229628505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1250164</v>
      </c>
      <c r="D115" s="263">
        <f>+D106+D108</f>
        <v>1798310</v>
      </c>
      <c r="E115" s="263">
        <f t="shared" si="14"/>
        <v>548146</v>
      </c>
      <c r="F115" s="264">
        <f t="shared" si="15"/>
        <v>0.43845927414323238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5344142</v>
      </c>
      <c r="D118" s="258">
        <v>6580865</v>
      </c>
      <c r="E118" s="258">
        <f t="shared" ref="E118:E128" si="16">D118-C118</f>
        <v>1236723</v>
      </c>
      <c r="F118" s="259">
        <f t="shared" ref="F118:F128" si="17">IF(C118=0,0,E118/C118)</f>
        <v>0.23141656789808354</v>
      </c>
    </row>
    <row r="119" spans="1:6" ht="20.25" customHeight="1" x14ac:dyDescent="0.3">
      <c r="A119" s="256">
        <v>2</v>
      </c>
      <c r="B119" s="257" t="s">
        <v>442</v>
      </c>
      <c r="C119" s="258">
        <v>3028593</v>
      </c>
      <c r="D119" s="258">
        <v>2477716</v>
      </c>
      <c r="E119" s="258">
        <f t="shared" si="16"/>
        <v>-550877</v>
      </c>
      <c r="F119" s="259">
        <f t="shared" si="17"/>
        <v>-0.18189205350471324</v>
      </c>
    </row>
    <row r="120" spans="1:6" ht="20.25" customHeight="1" x14ac:dyDescent="0.3">
      <c r="A120" s="256">
        <v>3</v>
      </c>
      <c r="B120" s="257" t="s">
        <v>443</v>
      </c>
      <c r="C120" s="258">
        <v>5334278</v>
      </c>
      <c r="D120" s="258">
        <v>6119799</v>
      </c>
      <c r="E120" s="258">
        <f t="shared" si="16"/>
        <v>785521</v>
      </c>
      <c r="F120" s="259">
        <f t="shared" si="17"/>
        <v>0.14725910423116306</v>
      </c>
    </row>
    <row r="121" spans="1:6" ht="20.25" customHeight="1" x14ac:dyDescent="0.3">
      <c r="A121" s="256">
        <v>4</v>
      </c>
      <c r="B121" s="257" t="s">
        <v>444</v>
      </c>
      <c r="C121" s="258">
        <v>1307832</v>
      </c>
      <c r="D121" s="258">
        <v>1587043</v>
      </c>
      <c r="E121" s="258">
        <f t="shared" si="16"/>
        <v>279211</v>
      </c>
      <c r="F121" s="259">
        <f t="shared" si="17"/>
        <v>0.21349148820337779</v>
      </c>
    </row>
    <row r="122" spans="1:6" ht="20.25" customHeight="1" x14ac:dyDescent="0.3">
      <c r="A122" s="256">
        <v>5</v>
      </c>
      <c r="B122" s="257" t="s">
        <v>381</v>
      </c>
      <c r="C122" s="260">
        <v>173</v>
      </c>
      <c r="D122" s="260">
        <v>208</v>
      </c>
      <c r="E122" s="260">
        <f t="shared" si="16"/>
        <v>35</v>
      </c>
      <c r="F122" s="259">
        <f t="shared" si="17"/>
        <v>0.20231213872832371</v>
      </c>
    </row>
    <row r="123" spans="1:6" ht="20.25" customHeight="1" x14ac:dyDescent="0.3">
      <c r="A123" s="256">
        <v>6</v>
      </c>
      <c r="B123" s="257" t="s">
        <v>380</v>
      </c>
      <c r="C123" s="260">
        <v>861</v>
      </c>
      <c r="D123" s="260">
        <v>1033</v>
      </c>
      <c r="E123" s="260">
        <f t="shared" si="16"/>
        <v>172</v>
      </c>
      <c r="F123" s="259">
        <f t="shared" si="17"/>
        <v>0.19976771196283391</v>
      </c>
    </row>
    <row r="124" spans="1:6" ht="20.25" customHeight="1" x14ac:dyDescent="0.3">
      <c r="A124" s="256">
        <v>7</v>
      </c>
      <c r="B124" s="257" t="s">
        <v>445</v>
      </c>
      <c r="C124" s="260">
        <v>1736</v>
      </c>
      <c r="D124" s="260">
        <v>1903</v>
      </c>
      <c r="E124" s="260">
        <f t="shared" si="16"/>
        <v>167</v>
      </c>
      <c r="F124" s="259">
        <f t="shared" si="17"/>
        <v>9.619815668202765E-2</v>
      </c>
    </row>
    <row r="125" spans="1:6" ht="20.25" customHeight="1" x14ac:dyDescent="0.3">
      <c r="A125" s="256">
        <v>8</v>
      </c>
      <c r="B125" s="257" t="s">
        <v>446</v>
      </c>
      <c r="C125" s="260">
        <v>389</v>
      </c>
      <c r="D125" s="260">
        <v>429</v>
      </c>
      <c r="E125" s="260">
        <f t="shared" si="16"/>
        <v>40</v>
      </c>
      <c r="F125" s="259">
        <f t="shared" si="17"/>
        <v>0.10282776349614396</v>
      </c>
    </row>
    <row r="126" spans="1:6" ht="20.25" customHeight="1" x14ac:dyDescent="0.3">
      <c r="A126" s="256">
        <v>9</v>
      </c>
      <c r="B126" s="257" t="s">
        <v>447</v>
      </c>
      <c r="C126" s="260">
        <v>150</v>
      </c>
      <c r="D126" s="260">
        <v>174</v>
      </c>
      <c r="E126" s="260">
        <f t="shared" si="16"/>
        <v>24</v>
      </c>
      <c r="F126" s="259">
        <f t="shared" si="17"/>
        <v>0.16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10678420</v>
      </c>
      <c r="D127" s="263">
        <f>+D118+D120</f>
        <v>12700664</v>
      </c>
      <c r="E127" s="263">
        <f t="shared" si="16"/>
        <v>2022244</v>
      </c>
      <c r="F127" s="264">
        <f t="shared" si="17"/>
        <v>0.18937670554258026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4336425</v>
      </c>
      <c r="D128" s="263">
        <f>+D119+D121</f>
        <v>4064759</v>
      </c>
      <c r="E128" s="263">
        <f t="shared" si="16"/>
        <v>-271666</v>
      </c>
      <c r="F128" s="264">
        <f t="shared" si="17"/>
        <v>-6.2647457294891531E-2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14659567</v>
      </c>
      <c r="D183" s="258">
        <v>13492474</v>
      </c>
      <c r="E183" s="258">
        <f t="shared" ref="E183:E193" si="26">D183-C183</f>
        <v>-1167093</v>
      </c>
      <c r="F183" s="259">
        <f t="shared" ref="F183:F193" si="27">IF(C183=0,0,E183/C183)</f>
        <v>-7.9613060876900385E-2</v>
      </c>
    </row>
    <row r="184" spans="1:6" ht="20.25" customHeight="1" x14ac:dyDescent="0.3">
      <c r="A184" s="256">
        <v>2</v>
      </c>
      <c r="B184" s="257" t="s">
        <v>442</v>
      </c>
      <c r="C184" s="258">
        <v>5689357</v>
      </c>
      <c r="D184" s="258">
        <v>4980039</v>
      </c>
      <c r="E184" s="258">
        <f t="shared" si="26"/>
        <v>-709318</v>
      </c>
      <c r="F184" s="259">
        <f t="shared" si="27"/>
        <v>-0.12467454582301656</v>
      </c>
    </row>
    <row r="185" spans="1:6" ht="20.25" customHeight="1" x14ac:dyDescent="0.3">
      <c r="A185" s="256">
        <v>3</v>
      </c>
      <c r="B185" s="257" t="s">
        <v>443</v>
      </c>
      <c r="C185" s="258">
        <v>13462167</v>
      </c>
      <c r="D185" s="258">
        <v>12080532</v>
      </c>
      <c r="E185" s="258">
        <f t="shared" si="26"/>
        <v>-1381635</v>
      </c>
      <c r="F185" s="259">
        <f t="shared" si="27"/>
        <v>-0.10263095087143102</v>
      </c>
    </row>
    <row r="186" spans="1:6" ht="20.25" customHeight="1" x14ac:dyDescent="0.3">
      <c r="A186" s="256">
        <v>4</v>
      </c>
      <c r="B186" s="257" t="s">
        <v>444</v>
      </c>
      <c r="C186" s="258">
        <v>3452414</v>
      </c>
      <c r="D186" s="258">
        <v>3031775</v>
      </c>
      <c r="E186" s="258">
        <f t="shared" si="26"/>
        <v>-420639</v>
      </c>
      <c r="F186" s="259">
        <f t="shared" si="27"/>
        <v>-0.12183909577472458</v>
      </c>
    </row>
    <row r="187" spans="1:6" ht="20.25" customHeight="1" x14ac:dyDescent="0.3">
      <c r="A187" s="256">
        <v>5</v>
      </c>
      <c r="B187" s="257" t="s">
        <v>381</v>
      </c>
      <c r="C187" s="260">
        <v>460</v>
      </c>
      <c r="D187" s="260">
        <v>472</v>
      </c>
      <c r="E187" s="260">
        <f t="shared" si="26"/>
        <v>12</v>
      </c>
      <c r="F187" s="259">
        <f t="shared" si="27"/>
        <v>2.6086956521739129E-2</v>
      </c>
    </row>
    <row r="188" spans="1:6" ht="20.25" customHeight="1" x14ac:dyDescent="0.3">
      <c r="A188" s="256">
        <v>6</v>
      </c>
      <c r="B188" s="257" t="s">
        <v>380</v>
      </c>
      <c r="C188" s="260">
        <v>2418</v>
      </c>
      <c r="D188" s="260">
        <v>2156</v>
      </c>
      <c r="E188" s="260">
        <f t="shared" si="26"/>
        <v>-262</v>
      </c>
      <c r="F188" s="259">
        <f t="shared" si="27"/>
        <v>-0.10835401157981803</v>
      </c>
    </row>
    <row r="189" spans="1:6" ht="20.25" customHeight="1" x14ac:dyDescent="0.3">
      <c r="A189" s="256">
        <v>7</v>
      </c>
      <c r="B189" s="257" t="s">
        <v>445</v>
      </c>
      <c r="C189" s="260">
        <v>4010</v>
      </c>
      <c r="D189" s="260">
        <v>3325</v>
      </c>
      <c r="E189" s="260">
        <f t="shared" si="26"/>
        <v>-685</v>
      </c>
      <c r="F189" s="259">
        <f t="shared" si="27"/>
        <v>-0.17082294264339151</v>
      </c>
    </row>
    <row r="190" spans="1:6" ht="20.25" customHeight="1" x14ac:dyDescent="0.3">
      <c r="A190" s="256">
        <v>8</v>
      </c>
      <c r="B190" s="257" t="s">
        <v>446</v>
      </c>
      <c r="C190" s="260">
        <v>1052</v>
      </c>
      <c r="D190" s="260">
        <v>965</v>
      </c>
      <c r="E190" s="260">
        <f t="shared" si="26"/>
        <v>-87</v>
      </c>
      <c r="F190" s="259">
        <f t="shared" si="27"/>
        <v>-8.2699619771863117E-2</v>
      </c>
    </row>
    <row r="191" spans="1:6" ht="20.25" customHeight="1" x14ac:dyDescent="0.3">
      <c r="A191" s="256">
        <v>9</v>
      </c>
      <c r="B191" s="257" t="s">
        <v>447</v>
      </c>
      <c r="C191" s="260">
        <v>403</v>
      </c>
      <c r="D191" s="260">
        <v>421</v>
      </c>
      <c r="E191" s="260">
        <f t="shared" si="26"/>
        <v>18</v>
      </c>
      <c r="F191" s="259">
        <f t="shared" si="27"/>
        <v>4.4665012406947889E-2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28121734</v>
      </c>
      <c r="D192" s="263">
        <f>+D183+D185</f>
        <v>25573006</v>
      </c>
      <c r="E192" s="263">
        <f t="shared" si="26"/>
        <v>-2548728</v>
      </c>
      <c r="F192" s="264">
        <f t="shared" si="27"/>
        <v>-9.0631964586536523E-2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9141771</v>
      </c>
      <c r="D193" s="263">
        <f>+D184+D186</f>
        <v>8011814</v>
      </c>
      <c r="E193" s="263">
        <f t="shared" si="26"/>
        <v>-1129957</v>
      </c>
      <c r="F193" s="264">
        <f t="shared" si="27"/>
        <v>-0.12360373061193504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7" t="s">
        <v>44</v>
      </c>
      <c r="B195" s="798" t="s">
        <v>464</v>
      </c>
      <c r="C195" s="800"/>
      <c r="D195" s="801"/>
      <c r="E195" s="801"/>
      <c r="F195" s="802"/>
      <c r="G195" s="786"/>
      <c r="H195" s="786"/>
      <c r="I195" s="786"/>
    </row>
    <row r="196" spans="1:9" ht="20.25" customHeight="1" x14ac:dyDescent="0.3">
      <c r="A196" s="788"/>
      <c r="B196" s="799"/>
      <c r="C196" s="794"/>
      <c r="D196" s="795"/>
      <c r="E196" s="795"/>
      <c r="F196" s="796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33861421</v>
      </c>
      <c r="D198" s="263">
        <f t="shared" si="28"/>
        <v>35804127</v>
      </c>
      <c r="E198" s="263">
        <f t="shared" ref="E198:E208" si="29">D198-C198</f>
        <v>1942706</v>
      </c>
      <c r="F198" s="273">
        <f t="shared" ref="F198:F208" si="30">IF(C198=0,0,E198/C198)</f>
        <v>5.7372252629327047E-2</v>
      </c>
    </row>
    <row r="199" spans="1:9" ht="20.25" customHeight="1" x14ac:dyDescent="0.3">
      <c r="A199" s="271"/>
      <c r="B199" s="272" t="s">
        <v>466</v>
      </c>
      <c r="C199" s="263">
        <f t="shared" si="28"/>
        <v>14121343</v>
      </c>
      <c r="D199" s="263">
        <f t="shared" si="28"/>
        <v>12992410</v>
      </c>
      <c r="E199" s="263">
        <f t="shared" si="29"/>
        <v>-1128933</v>
      </c>
      <c r="F199" s="273">
        <f t="shared" si="30"/>
        <v>-7.9945158190690507E-2</v>
      </c>
    </row>
    <row r="200" spans="1:9" ht="20.25" customHeight="1" x14ac:dyDescent="0.3">
      <c r="A200" s="271"/>
      <c r="B200" s="272" t="s">
        <v>467</v>
      </c>
      <c r="C200" s="263">
        <f t="shared" si="28"/>
        <v>32585129</v>
      </c>
      <c r="D200" s="263">
        <f t="shared" si="28"/>
        <v>33828057</v>
      </c>
      <c r="E200" s="263">
        <f t="shared" si="29"/>
        <v>1242928</v>
      </c>
      <c r="F200" s="273">
        <f t="shared" si="30"/>
        <v>3.8144025760953715E-2</v>
      </c>
    </row>
    <row r="201" spans="1:9" ht="20.25" customHeight="1" x14ac:dyDescent="0.3">
      <c r="A201" s="271"/>
      <c r="B201" s="272" t="s">
        <v>468</v>
      </c>
      <c r="C201" s="263">
        <f t="shared" si="28"/>
        <v>8352550</v>
      </c>
      <c r="D201" s="263">
        <f t="shared" si="28"/>
        <v>8720289</v>
      </c>
      <c r="E201" s="263">
        <f t="shared" si="29"/>
        <v>367739</v>
      </c>
      <c r="F201" s="273">
        <f t="shared" si="30"/>
        <v>4.4027153384295817E-2</v>
      </c>
    </row>
    <row r="202" spans="1:9" ht="20.25" customHeight="1" x14ac:dyDescent="0.3">
      <c r="A202" s="271"/>
      <c r="B202" s="272" t="s">
        <v>138</v>
      </c>
      <c r="C202" s="274">
        <f t="shared" si="28"/>
        <v>1095</v>
      </c>
      <c r="D202" s="274">
        <f t="shared" si="28"/>
        <v>1207</v>
      </c>
      <c r="E202" s="274">
        <f t="shared" si="29"/>
        <v>112</v>
      </c>
      <c r="F202" s="273">
        <f t="shared" si="30"/>
        <v>0.10228310502283106</v>
      </c>
    </row>
    <row r="203" spans="1:9" ht="20.25" customHeight="1" x14ac:dyDescent="0.3">
      <c r="A203" s="271"/>
      <c r="B203" s="272" t="s">
        <v>140</v>
      </c>
      <c r="C203" s="274">
        <f t="shared" si="28"/>
        <v>5449</v>
      </c>
      <c r="D203" s="274">
        <f t="shared" si="28"/>
        <v>5565</v>
      </c>
      <c r="E203" s="274">
        <f t="shared" si="29"/>
        <v>116</v>
      </c>
      <c r="F203" s="273">
        <f t="shared" si="30"/>
        <v>2.1288309781611305E-2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10038</v>
      </c>
      <c r="D204" s="274">
        <f t="shared" si="28"/>
        <v>10255</v>
      </c>
      <c r="E204" s="274">
        <f t="shared" si="29"/>
        <v>217</v>
      </c>
      <c r="F204" s="273">
        <f t="shared" si="30"/>
        <v>2.1617852161785217E-2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2501</v>
      </c>
      <c r="D205" s="274">
        <f t="shared" si="28"/>
        <v>2653</v>
      </c>
      <c r="E205" s="274">
        <f t="shared" si="29"/>
        <v>152</v>
      </c>
      <c r="F205" s="273">
        <f t="shared" si="30"/>
        <v>6.0775689724110356E-2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943</v>
      </c>
      <c r="D206" s="274">
        <f t="shared" si="28"/>
        <v>1023</v>
      </c>
      <c r="E206" s="274">
        <f t="shared" si="29"/>
        <v>80</v>
      </c>
      <c r="F206" s="273">
        <f t="shared" si="30"/>
        <v>8.4835630965005307E-2</v>
      </c>
    </row>
    <row r="207" spans="1:9" ht="20.25" customHeight="1" x14ac:dyDescent="0.3">
      <c r="A207" s="271"/>
      <c r="B207" s="262" t="s">
        <v>471</v>
      </c>
      <c r="C207" s="263">
        <f>+C198+C200</f>
        <v>66446550</v>
      </c>
      <c r="D207" s="263">
        <f>+D198+D200</f>
        <v>69632184</v>
      </c>
      <c r="E207" s="263">
        <f t="shared" si="29"/>
        <v>3185634</v>
      </c>
      <c r="F207" s="273">
        <f t="shared" si="30"/>
        <v>4.7942805156926886E-2</v>
      </c>
    </row>
    <row r="208" spans="1:9" ht="20.25" customHeight="1" x14ac:dyDescent="0.3">
      <c r="A208" s="271"/>
      <c r="B208" s="262" t="s">
        <v>472</v>
      </c>
      <c r="C208" s="263">
        <f>+C199+C201</f>
        <v>22473893</v>
      </c>
      <c r="D208" s="263">
        <f>+D199+D201</f>
        <v>21712699</v>
      </c>
      <c r="E208" s="263">
        <f t="shared" si="29"/>
        <v>-761194</v>
      </c>
      <c r="F208" s="273">
        <f t="shared" si="30"/>
        <v>-3.3870144349267835E-2</v>
      </c>
    </row>
  </sheetData>
  <mergeCells count="12">
    <mergeCell ref="A2:F2"/>
    <mergeCell ref="A3:F3"/>
    <mergeCell ref="A4:F4"/>
    <mergeCell ref="A5:F5"/>
    <mergeCell ref="C9:F9"/>
    <mergeCell ref="G195:I196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FILING&amp;RMIDSTATE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0" zoomScaleNormal="70" workbookViewId="0">
      <selection activeCell="B42" sqref="B42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3" t="s">
        <v>0</v>
      </c>
      <c r="B2" s="803"/>
      <c r="C2" s="803"/>
      <c r="D2" s="803"/>
      <c r="E2" s="803"/>
      <c r="F2" s="803"/>
    </row>
    <row r="3" spans="1:7" ht="20.25" customHeight="1" x14ac:dyDescent="0.3">
      <c r="A3" s="803" t="s">
        <v>1</v>
      </c>
      <c r="B3" s="803"/>
      <c r="C3" s="803"/>
      <c r="D3" s="803"/>
      <c r="E3" s="803"/>
      <c r="F3" s="803"/>
    </row>
    <row r="4" spans="1:7" ht="20.25" customHeight="1" x14ac:dyDescent="0.3">
      <c r="A4" s="803" t="s">
        <v>314</v>
      </c>
      <c r="B4" s="803"/>
      <c r="C4" s="803"/>
      <c r="D4" s="803"/>
      <c r="E4" s="803"/>
      <c r="F4" s="803"/>
    </row>
    <row r="5" spans="1:7" ht="20.25" customHeight="1" x14ac:dyDescent="0.3">
      <c r="A5" s="803" t="s">
        <v>473</v>
      </c>
      <c r="B5" s="803"/>
      <c r="C5" s="803"/>
      <c r="D5" s="803"/>
      <c r="E5" s="803"/>
      <c r="F5" s="803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7" t="s">
        <v>12</v>
      </c>
      <c r="B10" s="798" t="s">
        <v>116</v>
      </c>
      <c r="C10" s="800"/>
      <c r="D10" s="801"/>
      <c r="E10" s="801"/>
      <c r="F10" s="802"/>
    </row>
    <row r="11" spans="1:7" ht="20.25" customHeight="1" x14ac:dyDescent="0.3">
      <c r="A11" s="788"/>
      <c r="B11" s="799"/>
      <c r="C11" s="794"/>
      <c r="D11" s="795"/>
      <c r="E11" s="795"/>
      <c r="F11" s="796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7" t="s">
        <v>44</v>
      </c>
      <c r="B109" s="798" t="s">
        <v>490</v>
      </c>
      <c r="C109" s="800"/>
      <c r="D109" s="801"/>
      <c r="E109" s="801"/>
      <c r="F109" s="802"/>
      <c r="G109" s="245"/>
    </row>
    <row r="110" spans="1:7" ht="20.25" customHeight="1" x14ac:dyDescent="0.3">
      <c r="A110" s="788"/>
      <c r="B110" s="799"/>
      <c r="C110" s="794"/>
      <c r="D110" s="795"/>
      <c r="E110" s="795"/>
      <c r="F110" s="796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FILING&amp;RMIDSTATE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B42" sqref="B42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45862697</v>
      </c>
      <c r="D13" s="22">
        <v>12664293</v>
      </c>
      <c r="E13" s="22">
        <f t="shared" ref="E13:E22" si="0">D13-C13</f>
        <v>-33198404</v>
      </c>
      <c r="F13" s="306">
        <f t="shared" ref="F13:F22" si="1">IF(C13=0,0,E13/C13)</f>
        <v>-0.7238650618388186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23724146</v>
      </c>
      <c r="D15" s="22">
        <v>23491286</v>
      </c>
      <c r="E15" s="22">
        <f t="shared" si="0"/>
        <v>-232860</v>
      </c>
      <c r="F15" s="306">
        <f t="shared" si="1"/>
        <v>-9.8153164290929584E-3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387409</v>
      </c>
      <c r="D17" s="22">
        <v>0</v>
      </c>
      <c r="E17" s="22">
        <f t="shared" si="0"/>
        <v>-387409</v>
      </c>
      <c r="F17" s="306">
        <f t="shared" si="1"/>
        <v>-1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3431508</v>
      </c>
      <c r="D19" s="22">
        <v>3846758</v>
      </c>
      <c r="E19" s="22">
        <f t="shared" si="0"/>
        <v>415250</v>
      </c>
      <c r="F19" s="306">
        <f t="shared" si="1"/>
        <v>0.12101093746539422</v>
      </c>
    </row>
    <row r="20" spans="1:11" ht="24" customHeight="1" x14ac:dyDescent="0.2">
      <c r="A20" s="304">
        <v>8</v>
      </c>
      <c r="B20" s="305" t="s">
        <v>23</v>
      </c>
      <c r="C20" s="22">
        <v>2297359</v>
      </c>
      <c r="D20" s="22">
        <v>1675972</v>
      </c>
      <c r="E20" s="22">
        <f t="shared" si="0"/>
        <v>-621387</v>
      </c>
      <c r="F20" s="306">
        <f t="shared" si="1"/>
        <v>-0.27047884113889037</v>
      </c>
    </row>
    <row r="21" spans="1:11" ht="24" customHeight="1" x14ac:dyDescent="0.2">
      <c r="A21" s="304">
        <v>9</v>
      </c>
      <c r="B21" s="305" t="s">
        <v>24</v>
      </c>
      <c r="C21" s="22">
        <v>5479797</v>
      </c>
      <c r="D21" s="22">
        <v>4102696</v>
      </c>
      <c r="E21" s="22">
        <f t="shared" si="0"/>
        <v>-1377101</v>
      </c>
      <c r="F21" s="306">
        <f t="shared" si="1"/>
        <v>-0.2513051122149233</v>
      </c>
    </row>
    <row r="22" spans="1:11" ht="24" customHeight="1" x14ac:dyDescent="0.25">
      <c r="A22" s="307"/>
      <c r="B22" s="308" t="s">
        <v>25</v>
      </c>
      <c r="C22" s="309">
        <f>SUM(C13:C21)</f>
        <v>81182916</v>
      </c>
      <c r="D22" s="309">
        <f>SUM(D13:D21)</f>
        <v>45781005</v>
      </c>
      <c r="E22" s="309">
        <f t="shared" si="0"/>
        <v>-35401911</v>
      </c>
      <c r="F22" s="310">
        <f t="shared" si="1"/>
        <v>-0.43607587340173887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14799538</v>
      </c>
      <c r="D25" s="22">
        <v>13638495</v>
      </c>
      <c r="E25" s="22">
        <f>D25-C25</f>
        <v>-1161043</v>
      </c>
      <c r="F25" s="306">
        <f>IF(C25=0,0,E25/C25)</f>
        <v>-7.8451300304104091E-2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6307694</v>
      </c>
      <c r="D27" s="22">
        <v>6307694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41986</v>
      </c>
      <c r="D28" s="22">
        <v>38093</v>
      </c>
      <c r="E28" s="22">
        <f>D28-C28</f>
        <v>-3893</v>
      </c>
      <c r="F28" s="306">
        <f>IF(C28=0,0,E28/C28)</f>
        <v>-9.2721383318248946E-2</v>
      </c>
    </row>
    <row r="29" spans="1:11" ht="35.1" customHeight="1" x14ac:dyDescent="0.25">
      <c r="A29" s="307"/>
      <c r="B29" s="308" t="s">
        <v>32</v>
      </c>
      <c r="C29" s="309">
        <f>SUM(C25:C28)</f>
        <v>21149218</v>
      </c>
      <c r="D29" s="309">
        <f>SUM(D25:D28)</f>
        <v>19984282</v>
      </c>
      <c r="E29" s="309">
        <f>D29-C29</f>
        <v>-1164936</v>
      </c>
      <c r="F29" s="310">
        <f>IF(C29=0,0,E29/C29)</f>
        <v>-5.5081752904528193E-2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42123273</v>
      </c>
      <c r="D31" s="22">
        <v>82548240</v>
      </c>
      <c r="E31" s="22">
        <f>D31-C31</f>
        <v>40424967</v>
      </c>
      <c r="F31" s="306">
        <f>IF(C31=0,0,E31/C31)</f>
        <v>0.95968247766501902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17029004</v>
      </c>
      <c r="D33" s="22">
        <v>13505139</v>
      </c>
      <c r="E33" s="22">
        <f>D33-C33</f>
        <v>-3523865</v>
      </c>
      <c r="F33" s="306">
        <f>IF(C33=0,0,E33/C33)</f>
        <v>-0.20693312421560298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263193906</v>
      </c>
      <c r="D36" s="22">
        <v>269275145</v>
      </c>
      <c r="E36" s="22">
        <f>D36-C36</f>
        <v>6081239</v>
      </c>
      <c r="F36" s="306">
        <f>IF(C36=0,0,E36/C36)</f>
        <v>2.310554637233888E-2</v>
      </c>
    </row>
    <row r="37" spans="1:8" ht="24" customHeight="1" x14ac:dyDescent="0.2">
      <c r="A37" s="304">
        <v>2</v>
      </c>
      <c r="B37" s="305" t="s">
        <v>39</v>
      </c>
      <c r="C37" s="22">
        <v>147817759</v>
      </c>
      <c r="D37" s="22">
        <v>160263327</v>
      </c>
      <c r="E37" s="22">
        <f>D37-C37</f>
        <v>12445568</v>
      </c>
      <c r="F37" s="22">
        <f>IF(C37=0,0,E37/C37)</f>
        <v>8.4195350302936192E-2</v>
      </c>
    </row>
    <row r="38" spans="1:8" ht="24" customHeight="1" x14ac:dyDescent="0.25">
      <c r="A38" s="307"/>
      <c r="B38" s="308" t="s">
        <v>40</v>
      </c>
      <c r="C38" s="309">
        <f>C36-C37</f>
        <v>115376147</v>
      </c>
      <c r="D38" s="309">
        <f>D36-D37</f>
        <v>109011818</v>
      </c>
      <c r="E38" s="309">
        <f>D38-C38</f>
        <v>-6364329</v>
      </c>
      <c r="F38" s="310">
        <f>IF(C38=0,0,E38/C38)</f>
        <v>-5.5161566454459604E-2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584432</v>
      </c>
      <c r="D40" s="22">
        <v>1505271</v>
      </c>
      <c r="E40" s="22">
        <f>D40-C40</f>
        <v>920839</v>
      </c>
      <c r="F40" s="306">
        <f>IF(C40=0,0,E40/C40)</f>
        <v>1.5756135872094614</v>
      </c>
    </row>
    <row r="41" spans="1:8" ht="24" customHeight="1" x14ac:dyDescent="0.25">
      <c r="A41" s="307"/>
      <c r="B41" s="308" t="s">
        <v>42</v>
      </c>
      <c r="C41" s="309">
        <f>+C38+C40</f>
        <v>115960579</v>
      </c>
      <c r="D41" s="309">
        <f>+D38+D40</f>
        <v>110517089</v>
      </c>
      <c r="E41" s="309">
        <f>D41-C41</f>
        <v>-5443490</v>
      </c>
      <c r="F41" s="310">
        <f>IF(C41=0,0,E41/C41)</f>
        <v>-4.6942590723007688E-2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277444990</v>
      </c>
      <c r="D43" s="309">
        <f>D22+D29+D31+D32+D33+D41</f>
        <v>272335755</v>
      </c>
      <c r="E43" s="309">
        <f>D43-C43</f>
        <v>-5109235</v>
      </c>
      <c r="F43" s="310">
        <f>IF(C43=0,0,E43/C43)</f>
        <v>-1.8415308202177304E-2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3147145</v>
      </c>
      <c r="D49" s="22">
        <v>11173418</v>
      </c>
      <c r="E49" s="22">
        <f t="shared" ref="E49:E56" si="2">D49-C49</f>
        <v>8026273</v>
      </c>
      <c r="F49" s="306">
        <f t="shared" ref="F49:F56" si="3">IF(C49=0,0,E49/C49)</f>
        <v>2.5503346684058092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7004880</v>
      </c>
      <c r="D50" s="22">
        <v>4208421</v>
      </c>
      <c r="E50" s="22">
        <f t="shared" si="2"/>
        <v>-2796459</v>
      </c>
      <c r="F50" s="306">
        <f t="shared" si="3"/>
        <v>-0.39921583239113306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4070103</v>
      </c>
      <c r="D51" s="22">
        <v>7239596</v>
      </c>
      <c r="E51" s="22">
        <f t="shared" si="2"/>
        <v>3169493</v>
      </c>
      <c r="F51" s="306">
        <f t="shared" si="3"/>
        <v>0.77872550154136144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3582982</v>
      </c>
      <c r="D52" s="22">
        <v>2547087</v>
      </c>
      <c r="E52" s="22">
        <f t="shared" si="2"/>
        <v>-1035895</v>
      </c>
      <c r="F52" s="306">
        <f t="shared" si="3"/>
        <v>-0.2891153234931127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757808</v>
      </c>
      <c r="D53" s="22">
        <v>906469</v>
      </c>
      <c r="E53" s="22">
        <f t="shared" si="2"/>
        <v>148661</v>
      </c>
      <c r="F53" s="306">
        <f t="shared" si="3"/>
        <v>0.19617238139475962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8394597</v>
      </c>
      <c r="D55" s="22">
        <v>6953305</v>
      </c>
      <c r="E55" s="22">
        <f t="shared" si="2"/>
        <v>-1441292</v>
      </c>
      <c r="F55" s="306">
        <f t="shared" si="3"/>
        <v>-0.17169281622453109</v>
      </c>
    </row>
    <row r="56" spans="1:6" ht="24" customHeight="1" x14ac:dyDescent="0.25">
      <c r="A56" s="307"/>
      <c r="B56" s="308" t="s">
        <v>54</v>
      </c>
      <c r="C56" s="309">
        <f>SUM(C49:C55)</f>
        <v>26957515</v>
      </c>
      <c r="D56" s="309">
        <f>SUM(D49:D55)</f>
        <v>33028296</v>
      </c>
      <c r="E56" s="309">
        <f t="shared" si="2"/>
        <v>6070781</v>
      </c>
      <c r="F56" s="310">
        <f t="shared" si="3"/>
        <v>0.2251980941121613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86762098</v>
      </c>
      <c r="D59" s="22">
        <v>85514281</v>
      </c>
      <c r="E59" s="22">
        <f>D59-C59</f>
        <v>-1247817</v>
      </c>
      <c r="F59" s="306">
        <f>IF(C59=0,0,E59/C59)</f>
        <v>-1.4382051941620868E-2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86762098</v>
      </c>
      <c r="D61" s="309">
        <f>SUM(D59:D60)</f>
        <v>85514281</v>
      </c>
      <c r="E61" s="309">
        <f>D61-C61</f>
        <v>-1247817</v>
      </c>
      <c r="F61" s="310">
        <f>IF(C61=0,0,E61/C61)</f>
        <v>-1.4382051941620868E-2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34688717</v>
      </c>
      <c r="D63" s="22">
        <v>46123235</v>
      </c>
      <c r="E63" s="22">
        <f>D63-C63</f>
        <v>11434518</v>
      </c>
      <c r="F63" s="306">
        <f>IF(C63=0,0,E63/C63)</f>
        <v>0.32963219712046427</v>
      </c>
    </row>
    <row r="64" spans="1:6" ht="24" customHeight="1" x14ac:dyDescent="0.2">
      <c r="A64" s="304">
        <v>4</v>
      </c>
      <c r="B64" s="305" t="s">
        <v>60</v>
      </c>
      <c r="C64" s="22">
        <v>22023821</v>
      </c>
      <c r="D64" s="22">
        <v>18481312</v>
      </c>
      <c r="E64" s="22">
        <f>D64-C64</f>
        <v>-3542509</v>
      </c>
      <c r="F64" s="306">
        <f>IF(C64=0,0,E64/C64)</f>
        <v>-0.1608489734819403</v>
      </c>
    </row>
    <row r="65" spans="1:6" ht="24" customHeight="1" x14ac:dyDescent="0.25">
      <c r="A65" s="307"/>
      <c r="B65" s="308" t="s">
        <v>61</v>
      </c>
      <c r="C65" s="309">
        <f>SUM(C61:C64)</f>
        <v>143474636</v>
      </c>
      <c r="D65" s="309">
        <f>SUM(D61:D64)</f>
        <v>150118828</v>
      </c>
      <c r="E65" s="309">
        <f>D65-C65</f>
        <v>6644192</v>
      </c>
      <c r="F65" s="310">
        <f>IF(C65=0,0,E65/C65)</f>
        <v>4.6309174814703834E-2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89335239</v>
      </c>
      <c r="D70" s="22">
        <v>72281651</v>
      </c>
      <c r="E70" s="22">
        <f>D70-C70</f>
        <v>-17053588</v>
      </c>
      <c r="F70" s="306">
        <f>IF(C70=0,0,E70/C70)</f>
        <v>-0.19089430096000526</v>
      </c>
    </row>
    <row r="71" spans="1:6" ht="24" customHeight="1" x14ac:dyDescent="0.2">
      <c r="A71" s="304">
        <v>2</v>
      </c>
      <c r="B71" s="305" t="s">
        <v>65</v>
      </c>
      <c r="C71" s="22">
        <v>2099252</v>
      </c>
      <c r="D71" s="22">
        <v>2488430</v>
      </c>
      <c r="E71" s="22">
        <f>D71-C71</f>
        <v>389178</v>
      </c>
      <c r="F71" s="306">
        <f>IF(C71=0,0,E71/C71)</f>
        <v>0.18538889090018731</v>
      </c>
    </row>
    <row r="72" spans="1:6" ht="24" customHeight="1" x14ac:dyDescent="0.2">
      <c r="A72" s="304">
        <v>3</v>
      </c>
      <c r="B72" s="305" t="s">
        <v>66</v>
      </c>
      <c r="C72" s="22">
        <v>15578348</v>
      </c>
      <c r="D72" s="22">
        <v>14418550</v>
      </c>
      <c r="E72" s="22">
        <f>D72-C72</f>
        <v>-1159798</v>
      </c>
      <c r="F72" s="306">
        <f>IF(C72=0,0,E72/C72)</f>
        <v>-7.4449357531363405E-2</v>
      </c>
    </row>
    <row r="73" spans="1:6" ht="24" customHeight="1" x14ac:dyDescent="0.25">
      <c r="A73" s="304"/>
      <c r="B73" s="308" t="s">
        <v>67</v>
      </c>
      <c r="C73" s="309">
        <f>SUM(C70:C72)</f>
        <v>107012839</v>
      </c>
      <c r="D73" s="309">
        <f>SUM(D70:D72)</f>
        <v>89188631</v>
      </c>
      <c r="E73" s="309">
        <f>D73-C73</f>
        <v>-17824208</v>
      </c>
      <c r="F73" s="310">
        <f>IF(C73=0,0,E73/C73)</f>
        <v>-0.16656139736653469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277444990</v>
      </c>
      <c r="D75" s="309">
        <f>D56+D65+D67+D73</f>
        <v>272335755</v>
      </c>
      <c r="E75" s="309">
        <f>D75-C75</f>
        <v>-5109235</v>
      </c>
      <c r="F75" s="310">
        <f>IF(C75=0,0,E75/C75)</f>
        <v>-1.8415308202177304E-2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FILING&amp;RMIDSTATE MEDICAL CENTER AND SUBSIDIARIES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75" zoomScaleNormal="75" zoomScaleSheetLayoutView="75" workbookViewId="0">
      <selection activeCell="B42" sqref="B42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543429524</v>
      </c>
      <c r="D11" s="76">
        <v>549527239</v>
      </c>
      <c r="E11" s="76">
        <f t="shared" ref="E11:E20" si="0">D11-C11</f>
        <v>6097715</v>
      </c>
      <c r="F11" s="77">
        <f t="shared" ref="F11:F20" si="1">IF(C11=0,0,E11/C11)</f>
        <v>1.1220801834830011E-2</v>
      </c>
    </row>
    <row r="12" spans="1:7" ht="23.1" customHeight="1" x14ac:dyDescent="0.2">
      <c r="A12" s="74">
        <v>2</v>
      </c>
      <c r="B12" s="75" t="s">
        <v>72</v>
      </c>
      <c r="C12" s="76">
        <v>309787045</v>
      </c>
      <c r="D12" s="76">
        <v>326495410</v>
      </c>
      <c r="E12" s="76">
        <f t="shared" si="0"/>
        <v>16708365</v>
      </c>
      <c r="F12" s="77">
        <f t="shared" si="1"/>
        <v>5.3935002349759335E-2</v>
      </c>
    </row>
    <row r="13" spans="1:7" ht="23.1" customHeight="1" x14ac:dyDescent="0.2">
      <c r="A13" s="74">
        <v>3</v>
      </c>
      <c r="B13" s="75" t="s">
        <v>73</v>
      </c>
      <c r="C13" s="76">
        <v>8125010</v>
      </c>
      <c r="D13" s="76">
        <v>6216157</v>
      </c>
      <c r="E13" s="76">
        <f t="shared" si="0"/>
        <v>-1908853</v>
      </c>
      <c r="F13" s="77">
        <f t="shared" si="1"/>
        <v>-0.23493546469481269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225517469</v>
      </c>
      <c r="D15" s="79">
        <f>D11-D12-D13-D14</f>
        <v>216815672</v>
      </c>
      <c r="E15" s="79">
        <f t="shared" si="0"/>
        <v>-8701797</v>
      </c>
      <c r="F15" s="80">
        <f t="shared" si="1"/>
        <v>-3.8585911054189778E-2</v>
      </c>
    </row>
    <row r="16" spans="1:7" ht="23.1" customHeight="1" x14ac:dyDescent="0.2">
      <c r="A16" s="74">
        <v>5</v>
      </c>
      <c r="B16" s="75" t="s">
        <v>76</v>
      </c>
      <c r="C16" s="76">
        <v>6385283</v>
      </c>
      <c r="D16" s="76">
        <v>4423863</v>
      </c>
      <c r="E16" s="76">
        <f t="shared" si="0"/>
        <v>-1961420</v>
      </c>
      <c r="F16" s="77">
        <f t="shared" si="1"/>
        <v>-0.3071782409644177</v>
      </c>
      <c r="G16" s="65"/>
    </row>
    <row r="17" spans="1:7" ht="31.5" customHeight="1" x14ac:dyDescent="0.25">
      <c r="A17" s="71"/>
      <c r="B17" s="81" t="s">
        <v>77</v>
      </c>
      <c r="C17" s="79">
        <f>C15-C16</f>
        <v>219132186</v>
      </c>
      <c r="D17" s="79">
        <f>D15-D16</f>
        <v>212391809</v>
      </c>
      <c r="E17" s="79">
        <f t="shared" si="0"/>
        <v>-6740377</v>
      </c>
      <c r="F17" s="80">
        <f t="shared" si="1"/>
        <v>-3.0759411125483867E-2</v>
      </c>
    </row>
    <row r="18" spans="1:7" ht="23.1" customHeight="1" x14ac:dyDescent="0.2">
      <c r="A18" s="74">
        <v>6</v>
      </c>
      <c r="B18" s="75" t="s">
        <v>78</v>
      </c>
      <c r="C18" s="76">
        <v>15841929</v>
      </c>
      <c r="D18" s="76">
        <v>14304616</v>
      </c>
      <c r="E18" s="76">
        <f t="shared" si="0"/>
        <v>-1537313</v>
      </c>
      <c r="F18" s="77">
        <f t="shared" si="1"/>
        <v>-9.7040770729372672E-2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322248</v>
      </c>
      <c r="D19" s="76">
        <v>101856</v>
      </c>
      <c r="E19" s="76">
        <f t="shared" si="0"/>
        <v>-220392</v>
      </c>
      <c r="F19" s="77">
        <f t="shared" si="1"/>
        <v>-0.68392045877709096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235296363</v>
      </c>
      <c r="D20" s="79">
        <f>SUM(D17:D19)</f>
        <v>226798281</v>
      </c>
      <c r="E20" s="79">
        <f t="shared" si="0"/>
        <v>-8498082</v>
      </c>
      <c r="F20" s="80">
        <f t="shared" si="1"/>
        <v>-3.6116503849232894E-2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69745355</v>
      </c>
      <c r="D23" s="76">
        <v>66713505</v>
      </c>
      <c r="E23" s="76">
        <f t="shared" ref="E23:E32" si="2">D23-C23</f>
        <v>-3031850</v>
      </c>
      <c r="F23" s="77">
        <f t="shared" ref="F23:F32" si="3">IF(C23=0,0,E23/C23)</f>
        <v>-4.3470278414956813E-2</v>
      </c>
    </row>
    <row r="24" spans="1:7" ht="23.1" customHeight="1" x14ac:dyDescent="0.2">
      <c r="A24" s="74">
        <v>2</v>
      </c>
      <c r="B24" s="75" t="s">
        <v>83</v>
      </c>
      <c r="C24" s="76">
        <v>19652817</v>
      </c>
      <c r="D24" s="76">
        <v>17327268</v>
      </c>
      <c r="E24" s="76">
        <f t="shared" si="2"/>
        <v>-2325549</v>
      </c>
      <c r="F24" s="77">
        <f t="shared" si="3"/>
        <v>-0.1183315857467151</v>
      </c>
    </row>
    <row r="25" spans="1:7" ht="23.1" customHeight="1" x14ac:dyDescent="0.2">
      <c r="A25" s="74">
        <v>3</v>
      </c>
      <c r="B25" s="75" t="s">
        <v>84</v>
      </c>
      <c r="C25" s="76">
        <v>6724322</v>
      </c>
      <c r="D25" s="76">
        <v>6307847</v>
      </c>
      <c r="E25" s="76">
        <f t="shared" si="2"/>
        <v>-416475</v>
      </c>
      <c r="F25" s="77">
        <f t="shared" si="3"/>
        <v>-6.1935612244624814E-2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33088173</v>
      </c>
      <c r="D26" s="76">
        <v>34375460</v>
      </c>
      <c r="E26" s="76">
        <f t="shared" si="2"/>
        <v>1287287</v>
      </c>
      <c r="F26" s="77">
        <f t="shared" si="3"/>
        <v>3.8904747022448172E-2</v>
      </c>
    </row>
    <row r="27" spans="1:7" ht="23.1" customHeight="1" x14ac:dyDescent="0.2">
      <c r="A27" s="74">
        <v>5</v>
      </c>
      <c r="B27" s="75" t="s">
        <v>86</v>
      </c>
      <c r="C27" s="76">
        <v>13076585</v>
      </c>
      <c r="D27" s="76">
        <v>12593806</v>
      </c>
      <c r="E27" s="76">
        <f t="shared" si="2"/>
        <v>-482779</v>
      </c>
      <c r="F27" s="77">
        <f t="shared" si="3"/>
        <v>-3.6919348591394466E-2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3992280</v>
      </c>
      <c r="D29" s="76">
        <v>3968133</v>
      </c>
      <c r="E29" s="76">
        <f t="shared" si="2"/>
        <v>-24147</v>
      </c>
      <c r="F29" s="77">
        <f t="shared" si="3"/>
        <v>-6.0484234572725356E-3</v>
      </c>
    </row>
    <row r="30" spans="1:7" ht="23.1" customHeight="1" x14ac:dyDescent="0.2">
      <c r="A30" s="74">
        <v>8</v>
      </c>
      <c r="B30" s="75" t="s">
        <v>89</v>
      </c>
      <c r="C30" s="76">
        <v>2753277</v>
      </c>
      <c r="D30" s="76">
        <v>2190432</v>
      </c>
      <c r="E30" s="76">
        <f t="shared" si="2"/>
        <v>-562845</v>
      </c>
      <c r="F30" s="77">
        <f t="shared" si="3"/>
        <v>-0.20442730607926482</v>
      </c>
    </row>
    <row r="31" spans="1:7" ht="23.1" customHeight="1" x14ac:dyDescent="0.2">
      <c r="A31" s="74">
        <v>9</v>
      </c>
      <c r="B31" s="75" t="s">
        <v>90</v>
      </c>
      <c r="C31" s="76">
        <v>67582036</v>
      </c>
      <c r="D31" s="76">
        <v>66787297</v>
      </c>
      <c r="E31" s="76">
        <f t="shared" si="2"/>
        <v>-794739</v>
      </c>
      <c r="F31" s="77">
        <f t="shared" si="3"/>
        <v>-1.17596190798395E-2</v>
      </c>
    </row>
    <row r="32" spans="1:7" ht="23.1" customHeight="1" x14ac:dyDescent="0.25">
      <c r="A32" s="71"/>
      <c r="B32" s="78" t="s">
        <v>91</v>
      </c>
      <c r="C32" s="79">
        <f>SUM(C23:C31)</f>
        <v>216614845</v>
      </c>
      <c r="D32" s="79">
        <f>SUM(D23:D31)</f>
        <v>210263748</v>
      </c>
      <c r="E32" s="79">
        <f t="shared" si="2"/>
        <v>-6351097</v>
      </c>
      <c r="F32" s="80">
        <f t="shared" si="3"/>
        <v>-2.9319767996510118E-2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18681518</v>
      </c>
      <c r="D34" s="79">
        <f>+D20-D32</f>
        <v>16534533</v>
      </c>
      <c r="E34" s="79">
        <f>D34-C34</f>
        <v>-2146985</v>
      </c>
      <c r="F34" s="80">
        <f>IF(C34=0,0,E34/C34)</f>
        <v>-0.11492561792890706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17066</v>
      </c>
      <c r="D37" s="76">
        <v>1211021</v>
      </c>
      <c r="E37" s="76">
        <f>D37-C37</f>
        <v>1193955</v>
      </c>
      <c r="F37" s="77">
        <f>IF(C37=0,0,E37/C37)</f>
        <v>69.961033634126338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3854108</v>
      </c>
      <c r="D39" s="76">
        <v>-2703971</v>
      </c>
      <c r="E39" s="76">
        <f>D39-C39</f>
        <v>-6558079</v>
      </c>
      <c r="F39" s="77">
        <f>IF(C39=0,0,E39/C39)</f>
        <v>-1.70158153326269</v>
      </c>
    </row>
    <row r="40" spans="1:6" ht="23.1" customHeight="1" x14ac:dyDescent="0.25">
      <c r="A40" s="83"/>
      <c r="B40" s="78" t="s">
        <v>97</v>
      </c>
      <c r="C40" s="79">
        <f>SUM(C37:C39)</f>
        <v>3871174</v>
      </c>
      <c r="D40" s="79">
        <f>SUM(D37:D39)</f>
        <v>-1492950</v>
      </c>
      <c r="E40" s="79">
        <f>D40-C40</f>
        <v>-5364124</v>
      </c>
      <c r="F40" s="80">
        <f>IF(C40=0,0,E40/C40)</f>
        <v>-1.3856582008455316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22552692</v>
      </c>
      <c r="D42" s="79">
        <f>D34+D40</f>
        <v>15041583</v>
      </c>
      <c r="E42" s="79">
        <f>D42-C42</f>
        <v>-7511109</v>
      </c>
      <c r="F42" s="80">
        <f>IF(C42=0,0,E42/C42)</f>
        <v>-0.33304711473025039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-723879</v>
      </c>
      <c r="D46" s="76">
        <v>-1109757</v>
      </c>
      <c r="E46" s="76">
        <f>D46-C46</f>
        <v>-385878</v>
      </c>
      <c r="F46" s="77">
        <f>IF(C46=0,0,E46/C46)</f>
        <v>0.53306975337038376</v>
      </c>
    </row>
    <row r="47" spans="1:6" ht="23.1" customHeight="1" x14ac:dyDescent="0.25">
      <c r="A47" s="83"/>
      <c r="B47" s="78" t="s">
        <v>102</v>
      </c>
      <c r="C47" s="79">
        <f>SUM(C45:C46)</f>
        <v>-723879</v>
      </c>
      <c r="D47" s="79">
        <f>SUM(D45:D46)</f>
        <v>-1109757</v>
      </c>
      <c r="E47" s="79">
        <f>D47-C47</f>
        <v>-385878</v>
      </c>
      <c r="F47" s="80">
        <f>IF(C47=0,0,E47/C47)</f>
        <v>0.53306975337038376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21828813</v>
      </c>
      <c r="D49" s="79">
        <f>D42+D47</f>
        <v>13931826</v>
      </c>
      <c r="E49" s="79">
        <f>D49-C49</f>
        <v>-7896987</v>
      </c>
      <c r="F49" s="80">
        <f>IF(C49=0,0,E49/C49)</f>
        <v>-0.3617689610516156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FILING&amp;R&amp;8MIDSTATE MEDICAL CENTER AND SUBSIDIARIES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2016-07-20T13:55:37Z</dcterms:created>
  <dcterms:modified xsi:type="dcterms:W3CDTF">2016-07-27T14:54:34Z</dcterms:modified>
</cp:coreProperties>
</file>