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355" windowHeight="10560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Report485!$A$11:$F$30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45621" fullCalcOnLoad="1"/>
</workbook>
</file>

<file path=xl/calcChain.xml><?xml version="1.0" encoding="utf-8"?>
<calcChain xmlns="http://schemas.openxmlformats.org/spreadsheetml/2006/main">
  <c r="E97" i="22" l="1"/>
  <c r="D97" i="22"/>
  <c r="C97" i="22"/>
  <c r="E96" i="22"/>
  <c r="E98" i="22"/>
  <c r="D96" i="22"/>
  <c r="D98" i="22"/>
  <c r="C96" i="22"/>
  <c r="C98" i="22"/>
  <c r="E92" i="22"/>
  <c r="D92" i="22"/>
  <c r="C92" i="22"/>
  <c r="E91" i="22"/>
  <c r="E93" i="22"/>
  <c r="D91" i="22"/>
  <c r="D93" i="22"/>
  <c r="C91" i="22"/>
  <c r="C93" i="22"/>
  <c r="E87" i="22"/>
  <c r="D87" i="22"/>
  <c r="C87" i="22"/>
  <c r="E86" i="22"/>
  <c r="E88" i="22"/>
  <c r="D86" i="22"/>
  <c r="D88" i="22"/>
  <c r="C86" i="22"/>
  <c r="C88" i="22"/>
  <c r="E83" i="22"/>
  <c r="E101" i="22"/>
  <c r="D83" i="22"/>
  <c r="D102" i="22"/>
  <c r="C83" i="22"/>
  <c r="C101" i="22"/>
  <c r="E76" i="22"/>
  <c r="D76" i="22"/>
  <c r="C76" i="22"/>
  <c r="E75" i="22"/>
  <c r="E77" i="22"/>
  <c r="D75" i="22"/>
  <c r="D77" i="22"/>
  <c r="C75" i="22"/>
  <c r="C77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28" i="22"/>
  <c r="D28" i="22"/>
  <c r="C28" i="22"/>
  <c r="E27" i="22"/>
  <c r="D27" i="22"/>
  <c r="C27" i="22"/>
  <c r="E21" i="22"/>
  <c r="D21" i="22"/>
  <c r="C21" i="22"/>
  <c r="E12" i="22"/>
  <c r="E33" i="22"/>
  <c r="D12" i="22"/>
  <c r="D34" i="22"/>
  <c r="C12" i="22"/>
  <c r="C33" i="22"/>
  <c r="D21" i="21"/>
  <c r="E21" i="21"/>
  <c r="C21" i="21"/>
  <c r="F21" i="21"/>
  <c r="D19" i="21"/>
  <c r="E19" i="21"/>
  <c r="C19" i="21"/>
  <c r="F19" i="21"/>
  <c r="F17" i="21"/>
  <c r="E17" i="21"/>
  <c r="F15" i="21"/>
  <c r="E15" i="21"/>
  <c r="D45" i="20"/>
  <c r="E45" i="20"/>
  <c r="C45" i="20"/>
  <c r="F45" i="20"/>
  <c r="D44" i="20"/>
  <c r="E44" i="20"/>
  <c r="C44" i="20"/>
  <c r="F44" i="20"/>
  <c r="D43" i="20"/>
  <c r="D46" i="20"/>
  <c r="C43" i="20"/>
  <c r="D36" i="20"/>
  <c r="D40" i="20"/>
  <c r="C36" i="20"/>
  <c r="F35" i="20"/>
  <c r="E35" i="20"/>
  <c r="F34" i="20"/>
  <c r="E34" i="20"/>
  <c r="F33" i="20"/>
  <c r="E33" i="20"/>
  <c r="E36" i="20"/>
  <c r="F30" i="20"/>
  <c r="E30" i="20"/>
  <c r="F29" i="20"/>
  <c r="E29" i="20"/>
  <c r="F28" i="20"/>
  <c r="E28" i="20"/>
  <c r="F27" i="20"/>
  <c r="E27" i="20"/>
  <c r="D25" i="20"/>
  <c r="D39" i="20"/>
  <c r="C25" i="20"/>
  <c r="C39" i="20"/>
  <c r="F24" i="20"/>
  <c r="E24" i="20"/>
  <c r="F23" i="20"/>
  <c r="E23" i="20"/>
  <c r="F22" i="20"/>
  <c r="E22" i="20"/>
  <c r="E25" i="20"/>
  <c r="F25" i="20"/>
  <c r="D19" i="20"/>
  <c r="D20" i="20"/>
  <c r="C19" i="20"/>
  <c r="C20" i="20"/>
  <c r="F18" i="20"/>
  <c r="E18" i="20"/>
  <c r="D16" i="20"/>
  <c r="E16" i="20"/>
  <c r="F16" i="20"/>
  <c r="C16" i="20"/>
  <c r="F15" i="20"/>
  <c r="E15" i="20"/>
  <c r="F13" i="20"/>
  <c r="E13" i="20"/>
  <c r="F12" i="20"/>
  <c r="E12" i="20"/>
  <c r="C115" i="19"/>
  <c r="C105" i="19"/>
  <c r="C137" i="19"/>
  <c r="C139" i="19"/>
  <c r="C143" i="19"/>
  <c r="C96" i="19"/>
  <c r="C95" i="19"/>
  <c r="C89" i="19"/>
  <c r="C88" i="19"/>
  <c r="C83" i="19"/>
  <c r="C78" i="19"/>
  <c r="C77" i="19"/>
  <c r="C63" i="19"/>
  <c r="C59" i="19"/>
  <c r="C60" i="19"/>
  <c r="C48" i="19"/>
  <c r="C64" i="19"/>
  <c r="C37" i="19"/>
  <c r="C36" i="19"/>
  <c r="C38" i="19"/>
  <c r="C127" i="19"/>
  <c r="C129" i="19"/>
  <c r="C133" i="19"/>
  <c r="C33" i="19"/>
  <c r="C32" i="19"/>
  <c r="C22" i="19"/>
  <c r="C21" i="19"/>
  <c r="E328" i="18"/>
  <c r="E325" i="18"/>
  <c r="D324" i="18"/>
  <c r="E324" i="18"/>
  <c r="C324" i="18"/>
  <c r="C326" i="18"/>
  <c r="C330" i="18"/>
  <c r="C320" i="18"/>
  <c r="E318" i="18"/>
  <c r="E315" i="18"/>
  <c r="D314" i="18"/>
  <c r="D316" i="18"/>
  <c r="D320" i="18"/>
  <c r="E320" i="18"/>
  <c r="C314" i="18"/>
  <c r="C316" i="18"/>
  <c r="E308" i="18"/>
  <c r="E305" i="18"/>
  <c r="D303" i="18"/>
  <c r="D301" i="18"/>
  <c r="E301" i="18"/>
  <c r="C301" i="18"/>
  <c r="D293" i="18"/>
  <c r="C293" i="18"/>
  <c r="E293" i="18"/>
  <c r="D292" i="18"/>
  <c r="E292" i="18"/>
  <c r="C292" i="18"/>
  <c r="D291" i="18"/>
  <c r="C291" i="18"/>
  <c r="E291" i="18"/>
  <c r="D290" i="18"/>
  <c r="E290" i="18"/>
  <c r="C290" i="18"/>
  <c r="D288" i="18"/>
  <c r="E288" i="18"/>
  <c r="C288" i="18"/>
  <c r="D287" i="18"/>
  <c r="C287" i="18"/>
  <c r="E287" i="18"/>
  <c r="D282" i="18"/>
  <c r="E282" i="18"/>
  <c r="C282" i="18"/>
  <c r="D281" i="18"/>
  <c r="C281" i="18"/>
  <c r="E281" i="18"/>
  <c r="D280" i="18"/>
  <c r="E280" i="18"/>
  <c r="C280" i="18"/>
  <c r="D279" i="18"/>
  <c r="C279" i="18"/>
  <c r="E279" i="18"/>
  <c r="D278" i="18"/>
  <c r="E278" i="18"/>
  <c r="C278" i="18"/>
  <c r="D277" i="18"/>
  <c r="C277" i="18"/>
  <c r="E277" i="18"/>
  <c r="D276" i="18"/>
  <c r="E276" i="18"/>
  <c r="C276" i="18"/>
  <c r="E270" i="18"/>
  <c r="D265" i="18"/>
  <c r="D302" i="18"/>
  <c r="C265" i="18"/>
  <c r="E265" i="18"/>
  <c r="D262" i="18"/>
  <c r="E262" i="18"/>
  <c r="C262" i="18"/>
  <c r="D260" i="18"/>
  <c r="E260" i="18"/>
  <c r="D251" i="18"/>
  <c r="C251" i="18"/>
  <c r="D240" i="18"/>
  <c r="C239" i="18"/>
  <c r="D233" i="18"/>
  <c r="E233" i="18"/>
  <c r="C233" i="18"/>
  <c r="D232" i="18"/>
  <c r="C232" i="18"/>
  <c r="E232" i="18"/>
  <c r="D231" i="18"/>
  <c r="C231" i="18"/>
  <c r="D230" i="18"/>
  <c r="C230" i="18"/>
  <c r="E230" i="18"/>
  <c r="D229" i="18"/>
  <c r="D228" i="18"/>
  <c r="C228" i="18"/>
  <c r="E228" i="18"/>
  <c r="D227" i="18"/>
  <c r="E227" i="18"/>
  <c r="C227" i="18"/>
  <c r="D221" i="18"/>
  <c r="D245" i="18"/>
  <c r="E245" i="18"/>
  <c r="C221" i="18"/>
  <c r="C245" i="18"/>
  <c r="D220" i="18"/>
  <c r="E220" i="18"/>
  <c r="C220" i="18"/>
  <c r="C244" i="18"/>
  <c r="D219" i="18"/>
  <c r="D243" i="18"/>
  <c r="C219" i="18"/>
  <c r="E219" i="18"/>
  <c r="D218" i="18"/>
  <c r="C218" i="18"/>
  <c r="C242" i="18"/>
  <c r="D216" i="18"/>
  <c r="E216" i="18"/>
  <c r="C216" i="18"/>
  <c r="C240" i="18"/>
  <c r="D215" i="18"/>
  <c r="D239" i="18"/>
  <c r="E239" i="18"/>
  <c r="C215" i="18"/>
  <c r="C210" i="18"/>
  <c r="E209" i="18"/>
  <c r="E208" i="18"/>
  <c r="E207" i="18"/>
  <c r="E206" i="18"/>
  <c r="D205" i="18"/>
  <c r="C205" i="18"/>
  <c r="C229" i="18"/>
  <c r="E204" i="18"/>
  <c r="E203" i="18"/>
  <c r="E197" i="18"/>
  <c r="E196" i="18"/>
  <c r="D195" i="18"/>
  <c r="C195" i="18"/>
  <c r="C260" i="18"/>
  <c r="E194" i="18"/>
  <c r="E193" i="18"/>
  <c r="E192" i="18"/>
  <c r="E191" i="18"/>
  <c r="E190" i="18"/>
  <c r="D188" i="18"/>
  <c r="C188" i="18"/>
  <c r="C261" i="18"/>
  <c r="E186" i="18"/>
  <c r="E185" i="18"/>
  <c r="D179" i="18"/>
  <c r="E179" i="18"/>
  <c r="C179" i="18"/>
  <c r="D178" i="18"/>
  <c r="C178" i="18"/>
  <c r="E178" i="18"/>
  <c r="D177" i="18"/>
  <c r="E177" i="18"/>
  <c r="C177" i="18"/>
  <c r="D176" i="18"/>
  <c r="C176" i="18"/>
  <c r="E176" i="18"/>
  <c r="D175" i="18"/>
  <c r="D174" i="18"/>
  <c r="C174" i="18"/>
  <c r="E174" i="18"/>
  <c r="D173" i="18"/>
  <c r="E173" i="18"/>
  <c r="C173" i="18"/>
  <c r="D167" i="18"/>
  <c r="C167" i="18"/>
  <c r="E167" i="18"/>
  <c r="D166" i="18"/>
  <c r="E166" i="18"/>
  <c r="C166" i="18"/>
  <c r="D165" i="18"/>
  <c r="C165" i="18"/>
  <c r="E165" i="18"/>
  <c r="D164" i="18"/>
  <c r="E164" i="18"/>
  <c r="C164" i="18"/>
  <c r="D162" i="18"/>
  <c r="E162" i="18"/>
  <c r="C162" i="18"/>
  <c r="D161" i="18"/>
  <c r="C161" i="18"/>
  <c r="E161" i="18"/>
  <c r="C156" i="18"/>
  <c r="C157" i="18"/>
  <c r="E155" i="18"/>
  <c r="E154" i="18"/>
  <c r="E153" i="18"/>
  <c r="E152" i="18"/>
  <c r="D151" i="18"/>
  <c r="C151" i="18"/>
  <c r="E150" i="18"/>
  <c r="E149" i="18"/>
  <c r="D144" i="18"/>
  <c r="E143" i="18"/>
  <c r="E142" i="18"/>
  <c r="E141" i="18"/>
  <c r="E140" i="18"/>
  <c r="D139" i="18"/>
  <c r="D163" i="18"/>
  <c r="C139" i="18"/>
  <c r="E138" i="18"/>
  <c r="E137" i="18"/>
  <c r="D75" i="18"/>
  <c r="E75" i="18"/>
  <c r="C75" i="18"/>
  <c r="D74" i="18"/>
  <c r="C74" i="18"/>
  <c r="E74" i="18"/>
  <c r="D73" i="18"/>
  <c r="E73" i="18"/>
  <c r="C73" i="18"/>
  <c r="D72" i="18"/>
  <c r="C72" i="18"/>
  <c r="E72" i="18"/>
  <c r="D71" i="18"/>
  <c r="D70" i="18"/>
  <c r="D76" i="18"/>
  <c r="C70" i="18"/>
  <c r="D69" i="18"/>
  <c r="E69" i="18"/>
  <c r="C69" i="18"/>
  <c r="D65" i="18"/>
  <c r="E64" i="18"/>
  <c r="E63" i="18"/>
  <c r="E62" i="18"/>
  <c r="E61" i="18"/>
  <c r="D60" i="18"/>
  <c r="D289" i="18"/>
  <c r="C60" i="18"/>
  <c r="E59" i="18"/>
  <c r="E58" i="18"/>
  <c r="D55" i="18"/>
  <c r="E55" i="18"/>
  <c r="D54" i="18"/>
  <c r="C54" i="18"/>
  <c r="C55" i="18"/>
  <c r="E53" i="18"/>
  <c r="E52" i="18"/>
  <c r="E51" i="18"/>
  <c r="E50" i="18"/>
  <c r="E49" i="18"/>
  <c r="E48" i="18"/>
  <c r="E47" i="18"/>
  <c r="D42" i="18"/>
  <c r="C42" i="18"/>
  <c r="E42" i="18"/>
  <c r="D41" i="18"/>
  <c r="E41" i="18"/>
  <c r="C41" i="18"/>
  <c r="D40" i="18"/>
  <c r="C40" i="18"/>
  <c r="E40" i="18"/>
  <c r="D39" i="18"/>
  <c r="E39" i="18"/>
  <c r="C39" i="18"/>
  <c r="D38" i="18"/>
  <c r="C38" i="18"/>
  <c r="E38" i="18"/>
  <c r="D37" i="18"/>
  <c r="E37" i="18"/>
  <c r="C37" i="18"/>
  <c r="C43" i="18"/>
  <c r="D36" i="18"/>
  <c r="C36" i="18"/>
  <c r="C44" i="18"/>
  <c r="D33" i="18"/>
  <c r="D32" i="18"/>
  <c r="D294" i="18"/>
  <c r="C32" i="18"/>
  <c r="E31" i="18"/>
  <c r="E30" i="18"/>
  <c r="E29" i="18"/>
  <c r="E28" i="18"/>
  <c r="E27" i="18"/>
  <c r="E26" i="18"/>
  <c r="E25" i="18"/>
  <c r="C22" i="18"/>
  <c r="C284" i="18"/>
  <c r="D21" i="18"/>
  <c r="C21" i="18"/>
  <c r="C283" i="18"/>
  <c r="E20" i="18"/>
  <c r="E19" i="18"/>
  <c r="E18" i="18"/>
  <c r="E17" i="18"/>
  <c r="E16" i="18"/>
  <c r="E15" i="18"/>
  <c r="E14" i="18"/>
  <c r="F335" i="17"/>
  <c r="E335" i="17"/>
  <c r="F334" i="17"/>
  <c r="E334" i="17"/>
  <c r="F333" i="17"/>
  <c r="E333" i="17"/>
  <c r="F332" i="17"/>
  <c r="E332" i="17"/>
  <c r="F331" i="17"/>
  <c r="E331" i="17"/>
  <c r="F330" i="17"/>
  <c r="E330" i="17"/>
  <c r="F329" i="17"/>
  <c r="E329" i="17"/>
  <c r="F316" i="17"/>
  <c r="E316" i="17"/>
  <c r="F311" i="17"/>
  <c r="D311" i="17"/>
  <c r="E311" i="17"/>
  <c r="C311" i="17"/>
  <c r="E308" i="17"/>
  <c r="F308" i="17"/>
  <c r="D307" i="17"/>
  <c r="E307" i="17"/>
  <c r="F307" i="17"/>
  <c r="C307" i="17"/>
  <c r="D299" i="17"/>
  <c r="C299" i="17"/>
  <c r="D298" i="17"/>
  <c r="C298" i="17"/>
  <c r="D297" i="17"/>
  <c r="C297" i="17"/>
  <c r="D296" i="17"/>
  <c r="C296" i="17"/>
  <c r="D295" i="17"/>
  <c r="C295" i="17"/>
  <c r="D294" i="17"/>
  <c r="C294" i="17"/>
  <c r="D250" i="17"/>
  <c r="C250" i="17"/>
  <c r="C306" i="17"/>
  <c r="F249" i="17"/>
  <c r="E249" i="17"/>
  <c r="F248" i="17"/>
  <c r="E248" i="17"/>
  <c r="F245" i="17"/>
  <c r="E245" i="17"/>
  <c r="F244" i="17"/>
  <c r="E244" i="17"/>
  <c r="F243" i="17"/>
  <c r="E243" i="17"/>
  <c r="D238" i="17"/>
  <c r="E238" i="17"/>
  <c r="F238" i="17"/>
  <c r="C238" i="17"/>
  <c r="D237" i="17"/>
  <c r="C237" i="17"/>
  <c r="C239" i="17"/>
  <c r="F234" i="17"/>
  <c r="E234" i="17"/>
  <c r="F233" i="17"/>
  <c r="E233" i="17"/>
  <c r="D230" i="17"/>
  <c r="E230" i="17"/>
  <c r="F230" i="17"/>
  <c r="C230" i="17"/>
  <c r="D229" i="17"/>
  <c r="E229" i="17"/>
  <c r="F229" i="17"/>
  <c r="C229" i="17"/>
  <c r="F228" i="17"/>
  <c r="E228" i="17"/>
  <c r="F226" i="17"/>
  <c r="D226" i="17"/>
  <c r="E226" i="17"/>
  <c r="C226" i="17"/>
  <c r="C227" i="17"/>
  <c r="E225" i="17"/>
  <c r="F225" i="17"/>
  <c r="E224" i="17"/>
  <c r="F224" i="17"/>
  <c r="D223" i="17"/>
  <c r="E223" i="17"/>
  <c r="F223" i="17"/>
  <c r="C223" i="17"/>
  <c r="E222" i="17"/>
  <c r="F222" i="17"/>
  <c r="E221" i="17"/>
  <c r="F221" i="17"/>
  <c r="D204" i="17"/>
  <c r="C204" i="17"/>
  <c r="C285" i="17"/>
  <c r="D203" i="17"/>
  <c r="C203" i="17"/>
  <c r="C283" i="17"/>
  <c r="D198" i="17"/>
  <c r="C198" i="17"/>
  <c r="C290" i="17"/>
  <c r="D191" i="17"/>
  <c r="C191" i="17"/>
  <c r="D189" i="17"/>
  <c r="C189" i="17"/>
  <c r="D188" i="17"/>
  <c r="D261" i="17"/>
  <c r="C188" i="17"/>
  <c r="F180" i="17"/>
  <c r="D180" i="17"/>
  <c r="E180" i="17"/>
  <c r="C180" i="17"/>
  <c r="F179" i="17"/>
  <c r="D179" i="17"/>
  <c r="E179" i="17"/>
  <c r="C179" i="17"/>
  <c r="C181" i="17"/>
  <c r="F181" i="17"/>
  <c r="F171" i="17"/>
  <c r="D171" i="17"/>
  <c r="E171" i="17"/>
  <c r="C171" i="17"/>
  <c r="C172" i="17"/>
  <c r="C173" i="17"/>
  <c r="F173" i="17"/>
  <c r="F170" i="17"/>
  <c r="D170" i="17"/>
  <c r="E170" i="17"/>
  <c r="C170" i="17"/>
  <c r="F169" i="17"/>
  <c r="E169" i="17"/>
  <c r="F168" i="17"/>
  <c r="E168" i="17"/>
  <c r="F165" i="17"/>
  <c r="D165" i="17"/>
  <c r="E165" i="17"/>
  <c r="C165" i="17"/>
  <c r="F164" i="17"/>
  <c r="D164" i="17"/>
  <c r="E164" i="17"/>
  <c r="C164" i="17"/>
  <c r="F163" i="17"/>
  <c r="E163" i="17"/>
  <c r="F158" i="17"/>
  <c r="D158" i="17"/>
  <c r="E158" i="17"/>
  <c r="C158" i="17"/>
  <c r="C159" i="17"/>
  <c r="F159" i="17"/>
  <c r="F157" i="17"/>
  <c r="E157" i="17"/>
  <c r="F156" i="17"/>
  <c r="E156" i="17"/>
  <c r="F155" i="17"/>
  <c r="D155" i="17"/>
  <c r="E155" i="17"/>
  <c r="C155" i="17"/>
  <c r="F154" i="17"/>
  <c r="E154" i="17"/>
  <c r="F153" i="17"/>
  <c r="E153" i="17"/>
  <c r="D145" i="17"/>
  <c r="E145" i="17"/>
  <c r="F145" i="17"/>
  <c r="C145" i="17"/>
  <c r="D144" i="17"/>
  <c r="E144" i="17"/>
  <c r="F144" i="17"/>
  <c r="C144" i="17"/>
  <c r="C146" i="17"/>
  <c r="D136" i="17"/>
  <c r="E136" i="17"/>
  <c r="F136" i="17"/>
  <c r="C136" i="17"/>
  <c r="C137" i="17"/>
  <c r="D135" i="17"/>
  <c r="E135" i="17"/>
  <c r="F135" i="17"/>
  <c r="C135" i="17"/>
  <c r="E134" i="17"/>
  <c r="F134" i="17"/>
  <c r="E133" i="17"/>
  <c r="F133" i="17"/>
  <c r="D130" i="17"/>
  <c r="E130" i="17"/>
  <c r="F130" i="17"/>
  <c r="C130" i="17"/>
  <c r="D129" i="17"/>
  <c r="E129" i="17"/>
  <c r="F129" i="17"/>
  <c r="C129" i="17"/>
  <c r="E128" i="17"/>
  <c r="F128" i="17"/>
  <c r="D123" i="17"/>
  <c r="E123" i="17"/>
  <c r="F123" i="17"/>
  <c r="C123" i="17"/>
  <c r="C193" i="17"/>
  <c r="E122" i="17"/>
  <c r="F122" i="17"/>
  <c r="E121" i="17"/>
  <c r="F121" i="17"/>
  <c r="D120" i="17"/>
  <c r="E120" i="17"/>
  <c r="F120" i="17"/>
  <c r="C120" i="17"/>
  <c r="E119" i="17"/>
  <c r="F119" i="17"/>
  <c r="E118" i="17"/>
  <c r="F118" i="17"/>
  <c r="D110" i="17"/>
  <c r="E110" i="17"/>
  <c r="F110" i="17"/>
  <c r="C110" i="17"/>
  <c r="D109" i="17"/>
  <c r="E109" i="17"/>
  <c r="F109" i="17"/>
  <c r="C109" i="17"/>
  <c r="C111" i="17"/>
  <c r="D101" i="17"/>
  <c r="E101" i="17"/>
  <c r="F101" i="17"/>
  <c r="C101" i="17"/>
  <c r="C102" i="17"/>
  <c r="C103" i="17"/>
  <c r="D100" i="17"/>
  <c r="E100" i="17"/>
  <c r="F100" i="17"/>
  <c r="C100" i="17"/>
  <c r="E99" i="17"/>
  <c r="F99" i="17"/>
  <c r="E98" i="17"/>
  <c r="F98" i="17"/>
  <c r="D95" i="17"/>
  <c r="E95" i="17"/>
  <c r="F95" i="17"/>
  <c r="C95" i="17"/>
  <c r="D94" i="17"/>
  <c r="E94" i="17"/>
  <c r="F94" i="17"/>
  <c r="C94" i="17"/>
  <c r="F93" i="17"/>
  <c r="E93" i="17"/>
  <c r="D88" i="17"/>
  <c r="E88" i="17"/>
  <c r="F88" i="17"/>
  <c r="C88" i="17"/>
  <c r="C89" i="17"/>
  <c r="F87" i="17"/>
  <c r="E87" i="17"/>
  <c r="F86" i="17"/>
  <c r="E86" i="17"/>
  <c r="F85" i="17"/>
  <c r="D85" i="17"/>
  <c r="E85" i="17"/>
  <c r="C85" i="17"/>
  <c r="E84" i="17"/>
  <c r="F84" i="17"/>
  <c r="E83" i="17"/>
  <c r="F83" i="17"/>
  <c r="C77" i="17"/>
  <c r="D76" i="17"/>
  <c r="D77" i="17"/>
  <c r="E77" i="17"/>
  <c r="C76" i="17"/>
  <c r="E74" i="17"/>
  <c r="F74" i="17"/>
  <c r="E73" i="17"/>
  <c r="F73" i="17"/>
  <c r="D67" i="17"/>
  <c r="C67" i="17"/>
  <c r="D66" i="17"/>
  <c r="D68" i="17"/>
  <c r="C66" i="17"/>
  <c r="D59" i="17"/>
  <c r="D60" i="17"/>
  <c r="D61" i="17"/>
  <c r="C59" i="17"/>
  <c r="D58" i="17"/>
  <c r="C58" i="17"/>
  <c r="E57" i="17"/>
  <c r="F57" i="17"/>
  <c r="E56" i="17"/>
  <c r="F56" i="17"/>
  <c r="D53" i="17"/>
  <c r="C53" i="17"/>
  <c r="D52" i="17"/>
  <c r="C52" i="17"/>
  <c r="E51" i="17"/>
  <c r="F51" i="17"/>
  <c r="D47" i="17"/>
  <c r="E47" i="17"/>
  <c r="F47" i="17"/>
  <c r="C47" i="17"/>
  <c r="C48" i="17"/>
  <c r="E46" i="17"/>
  <c r="F46" i="17"/>
  <c r="E45" i="17"/>
  <c r="F45" i="17"/>
  <c r="D44" i="17"/>
  <c r="E44" i="17"/>
  <c r="F44" i="17"/>
  <c r="C44" i="17"/>
  <c r="E43" i="17"/>
  <c r="F43" i="17"/>
  <c r="F42" i="17"/>
  <c r="E42" i="17"/>
  <c r="D36" i="17"/>
  <c r="E36" i="17"/>
  <c r="F36" i="17"/>
  <c r="C36" i="17"/>
  <c r="D35" i="17"/>
  <c r="E35" i="17"/>
  <c r="F35" i="17"/>
  <c r="C35" i="17"/>
  <c r="D30" i="17"/>
  <c r="E30" i="17"/>
  <c r="F30" i="17"/>
  <c r="C30" i="17"/>
  <c r="C31" i="17"/>
  <c r="D29" i="17"/>
  <c r="E29" i="17"/>
  <c r="F29" i="17"/>
  <c r="C29" i="17"/>
  <c r="F28" i="17"/>
  <c r="E28" i="17"/>
  <c r="F27" i="17"/>
  <c r="E27" i="17"/>
  <c r="D24" i="17"/>
  <c r="E24" i="17"/>
  <c r="F24" i="17"/>
  <c r="C24" i="17"/>
  <c r="D23" i="17"/>
  <c r="E23" i="17"/>
  <c r="F23" i="17"/>
  <c r="C23" i="17"/>
  <c r="F22" i="17"/>
  <c r="E22" i="17"/>
  <c r="D20" i="17"/>
  <c r="C20" i="17"/>
  <c r="F19" i="17"/>
  <c r="E19" i="17"/>
  <c r="F18" i="17"/>
  <c r="E18" i="17"/>
  <c r="D17" i="17"/>
  <c r="E17" i="17"/>
  <c r="F17" i="17"/>
  <c r="C17" i="17"/>
  <c r="F16" i="17"/>
  <c r="E16" i="17"/>
  <c r="F15" i="17"/>
  <c r="E15" i="17"/>
  <c r="D23" i="16"/>
  <c r="E23" i="16"/>
  <c r="C23" i="16"/>
  <c r="F22" i="16"/>
  <c r="E22" i="16"/>
  <c r="F21" i="16"/>
  <c r="E21" i="16"/>
  <c r="F20" i="16"/>
  <c r="E20" i="16"/>
  <c r="D17" i="16"/>
  <c r="E17" i="16"/>
  <c r="F17" i="16"/>
  <c r="C17" i="16"/>
  <c r="F16" i="16"/>
  <c r="E16" i="16"/>
  <c r="D13" i="16"/>
  <c r="E13" i="16"/>
  <c r="F13" i="16"/>
  <c r="C13" i="16"/>
  <c r="F12" i="16"/>
  <c r="E12" i="16"/>
  <c r="D107" i="15"/>
  <c r="E107" i="15"/>
  <c r="C107" i="15"/>
  <c r="F106" i="15"/>
  <c r="E106" i="15"/>
  <c r="F105" i="15"/>
  <c r="E105" i="15"/>
  <c r="F104" i="15"/>
  <c r="E104" i="15"/>
  <c r="D100" i="15"/>
  <c r="E100" i="15"/>
  <c r="F100" i="15"/>
  <c r="C100" i="15"/>
  <c r="F99" i="15"/>
  <c r="E99" i="15"/>
  <c r="F98" i="15"/>
  <c r="E98" i="15"/>
  <c r="F97" i="15"/>
  <c r="E97" i="15"/>
  <c r="F96" i="15"/>
  <c r="E96" i="15"/>
  <c r="F95" i="15"/>
  <c r="E95" i="15"/>
  <c r="D92" i="15"/>
  <c r="E92" i="15"/>
  <c r="F92" i="15"/>
  <c r="C92" i="15"/>
  <c r="F91" i="15"/>
  <c r="E91" i="15"/>
  <c r="F90" i="15"/>
  <c r="E90" i="15"/>
  <c r="F89" i="15"/>
  <c r="E89" i="15"/>
  <c r="F88" i="15"/>
  <c r="E88" i="15"/>
  <c r="F87" i="15"/>
  <c r="E87" i="15"/>
  <c r="F86" i="15"/>
  <c r="E86" i="15"/>
  <c r="F85" i="15"/>
  <c r="E85" i="15"/>
  <c r="F84" i="15"/>
  <c r="E84" i="15"/>
  <c r="F83" i="15"/>
  <c r="E83" i="15"/>
  <c r="F82" i="15"/>
  <c r="E82" i="15"/>
  <c r="F81" i="15"/>
  <c r="E81" i="15"/>
  <c r="F80" i="15"/>
  <c r="E80" i="15"/>
  <c r="F79" i="15"/>
  <c r="E79" i="15"/>
  <c r="D75" i="15"/>
  <c r="C75" i="15"/>
  <c r="F74" i="15"/>
  <c r="E74" i="15"/>
  <c r="F73" i="15"/>
  <c r="E73" i="15"/>
  <c r="E75" i="15"/>
  <c r="F75" i="15"/>
  <c r="D70" i="15"/>
  <c r="E70" i="15"/>
  <c r="F70" i="15"/>
  <c r="C70" i="15"/>
  <c r="F69" i="15"/>
  <c r="E69" i="15"/>
  <c r="F68" i="15"/>
  <c r="E68" i="15"/>
  <c r="D65" i="15"/>
  <c r="E65" i="15"/>
  <c r="F65" i="15"/>
  <c r="C65" i="15"/>
  <c r="F64" i="15"/>
  <c r="E64" i="15"/>
  <c r="F63" i="15"/>
  <c r="E63" i="15"/>
  <c r="F60" i="15"/>
  <c r="D60" i="15"/>
  <c r="C60" i="15"/>
  <c r="F59" i="15"/>
  <c r="E59" i="15"/>
  <c r="F58" i="15"/>
  <c r="E58" i="15"/>
  <c r="E60" i="15"/>
  <c r="F55" i="15"/>
  <c r="D55" i="15"/>
  <c r="E55" i="15"/>
  <c r="C55" i="15"/>
  <c r="F54" i="15"/>
  <c r="E54" i="15"/>
  <c r="F53" i="15"/>
  <c r="E53" i="15"/>
  <c r="F50" i="15"/>
  <c r="D50" i="15"/>
  <c r="E50" i="15"/>
  <c r="C50" i="15"/>
  <c r="F49" i="15"/>
  <c r="E49" i="15"/>
  <c r="F48" i="15"/>
  <c r="E48" i="15"/>
  <c r="D45" i="15"/>
  <c r="E45" i="15"/>
  <c r="F45" i="15"/>
  <c r="C45" i="15"/>
  <c r="F44" i="15"/>
  <c r="E44" i="15"/>
  <c r="F43" i="15"/>
  <c r="E43" i="15"/>
  <c r="D37" i="15"/>
  <c r="E37" i="15"/>
  <c r="F37" i="15"/>
  <c r="C37" i="15"/>
  <c r="F36" i="15"/>
  <c r="E36" i="15"/>
  <c r="F35" i="15"/>
  <c r="E35" i="15"/>
  <c r="F34" i="15"/>
  <c r="E34" i="15"/>
  <c r="F33" i="15"/>
  <c r="E33" i="15"/>
  <c r="F30" i="15"/>
  <c r="D30" i="15"/>
  <c r="E30" i="15"/>
  <c r="C30" i="15"/>
  <c r="F29" i="15"/>
  <c r="E29" i="15"/>
  <c r="F28" i="15"/>
  <c r="E28" i="15"/>
  <c r="F27" i="15"/>
  <c r="E27" i="15"/>
  <c r="F26" i="15"/>
  <c r="E26" i="15"/>
  <c r="D23" i="15"/>
  <c r="E23" i="15"/>
  <c r="F23" i="15"/>
  <c r="C23" i="15"/>
  <c r="F22" i="15"/>
  <c r="E22" i="15"/>
  <c r="F21" i="15"/>
  <c r="E21" i="15"/>
  <c r="F20" i="15"/>
  <c r="E20" i="15"/>
  <c r="F19" i="15"/>
  <c r="E19" i="15"/>
  <c r="D16" i="15"/>
  <c r="E16" i="15"/>
  <c r="F16" i="15"/>
  <c r="C16" i="15"/>
  <c r="F15" i="15"/>
  <c r="E15" i="15"/>
  <c r="F14" i="15"/>
  <c r="E14" i="15"/>
  <c r="F13" i="15"/>
  <c r="E13" i="15"/>
  <c r="F12" i="15"/>
  <c r="E12" i="15"/>
  <c r="I37" i="14"/>
  <c r="H37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G31" i="14"/>
  <c r="F17" i="14"/>
  <c r="F33" i="14"/>
  <c r="E17" i="14"/>
  <c r="E31" i="14"/>
  <c r="D17" i="14"/>
  <c r="D33" i="14"/>
  <c r="D36" i="14"/>
  <c r="D38" i="14"/>
  <c r="D40" i="14"/>
  <c r="C17" i="14"/>
  <c r="C31" i="14"/>
  <c r="I16" i="14"/>
  <c r="H16" i="14"/>
  <c r="I15" i="14"/>
  <c r="H15" i="14"/>
  <c r="I13" i="14"/>
  <c r="H13" i="14"/>
  <c r="I11" i="14"/>
  <c r="H11" i="14"/>
  <c r="E79" i="13"/>
  <c r="D79" i="13"/>
  <c r="C79" i="13"/>
  <c r="E78" i="13"/>
  <c r="E80" i="13"/>
  <c r="E77" i="13"/>
  <c r="D78" i="13"/>
  <c r="D80" i="13"/>
  <c r="D77" i="13"/>
  <c r="C78" i="13"/>
  <c r="C80" i="13"/>
  <c r="C77" i="13"/>
  <c r="E75" i="13"/>
  <c r="C75" i="13"/>
  <c r="E73" i="13"/>
  <c r="D73" i="13"/>
  <c r="D75" i="13"/>
  <c r="C73" i="13"/>
  <c r="E71" i="13"/>
  <c r="D71" i="13"/>
  <c r="C71" i="13"/>
  <c r="E66" i="13"/>
  <c r="E65" i="13"/>
  <c r="D66" i="13"/>
  <c r="C66" i="13"/>
  <c r="D65" i="13"/>
  <c r="C65" i="13"/>
  <c r="E60" i="13"/>
  <c r="D60" i="13"/>
  <c r="C60" i="13"/>
  <c r="E58" i="13"/>
  <c r="D58" i="13"/>
  <c r="C58" i="13"/>
  <c r="E55" i="13"/>
  <c r="D55" i="13"/>
  <c r="C55" i="13"/>
  <c r="E54" i="13"/>
  <c r="E50" i="13"/>
  <c r="D54" i="13"/>
  <c r="C54" i="13"/>
  <c r="C50" i="13"/>
  <c r="D50" i="13"/>
  <c r="E48" i="13"/>
  <c r="C48" i="13"/>
  <c r="E46" i="13"/>
  <c r="E59" i="13"/>
  <c r="E61" i="13"/>
  <c r="E57" i="13"/>
  <c r="D46" i="13"/>
  <c r="D59" i="13"/>
  <c r="D61" i="13"/>
  <c r="D57" i="13"/>
  <c r="C46" i="13"/>
  <c r="C59" i="13"/>
  <c r="C61" i="13"/>
  <c r="C57" i="13"/>
  <c r="E45" i="13"/>
  <c r="E42" i="13"/>
  <c r="D45" i="13"/>
  <c r="C45" i="13"/>
  <c r="C42" i="13"/>
  <c r="E38" i="13"/>
  <c r="D38" i="13"/>
  <c r="C38" i="13"/>
  <c r="E33" i="13"/>
  <c r="E34" i="13"/>
  <c r="D33" i="13"/>
  <c r="D34" i="13"/>
  <c r="E26" i="13"/>
  <c r="D26" i="13"/>
  <c r="C26" i="13"/>
  <c r="E13" i="13"/>
  <c r="E25" i="13"/>
  <c r="E27" i="13"/>
  <c r="D13" i="13"/>
  <c r="D25" i="13"/>
  <c r="D27" i="13"/>
  <c r="C13" i="13"/>
  <c r="C25" i="13"/>
  <c r="C27" i="13"/>
  <c r="D47" i="12"/>
  <c r="C47" i="12"/>
  <c r="E46" i="12"/>
  <c r="F46" i="12"/>
  <c r="E45" i="12"/>
  <c r="F45" i="12"/>
  <c r="D40" i="12"/>
  <c r="C40" i="12"/>
  <c r="E39" i="12"/>
  <c r="F39" i="12"/>
  <c r="F38" i="12"/>
  <c r="E38" i="12"/>
  <c r="E37" i="12"/>
  <c r="F37" i="12"/>
  <c r="D32" i="12"/>
  <c r="C32" i="12"/>
  <c r="E31" i="12"/>
  <c r="F31" i="12"/>
  <c r="E30" i="12"/>
  <c r="F30" i="12"/>
  <c r="E29" i="12"/>
  <c r="F29" i="12"/>
  <c r="F28" i="12"/>
  <c r="E28" i="12"/>
  <c r="E27" i="12"/>
  <c r="F27" i="12"/>
  <c r="E26" i="12"/>
  <c r="F26" i="12"/>
  <c r="E25" i="12"/>
  <c r="F25" i="12"/>
  <c r="E24" i="12"/>
  <c r="F24" i="12"/>
  <c r="E23" i="12"/>
  <c r="F23" i="12"/>
  <c r="E19" i="12"/>
  <c r="F19" i="12"/>
  <c r="E18" i="12"/>
  <c r="F18" i="12"/>
  <c r="E16" i="12"/>
  <c r="F16" i="12"/>
  <c r="D15" i="12"/>
  <c r="D17" i="12"/>
  <c r="C15" i="12"/>
  <c r="F14" i="12"/>
  <c r="E14" i="12"/>
  <c r="E13" i="12"/>
  <c r="F13" i="12"/>
  <c r="E12" i="12"/>
  <c r="F12" i="12"/>
  <c r="E11" i="12"/>
  <c r="F11" i="12"/>
  <c r="D73" i="11"/>
  <c r="E73" i="11"/>
  <c r="F73" i="11"/>
  <c r="C73" i="11"/>
  <c r="F72" i="11"/>
  <c r="E72" i="11"/>
  <c r="F71" i="11"/>
  <c r="E71" i="11"/>
  <c r="F70" i="11"/>
  <c r="E70" i="11"/>
  <c r="F67" i="11"/>
  <c r="E67" i="11"/>
  <c r="F64" i="11"/>
  <c r="E64" i="11"/>
  <c r="F63" i="11"/>
  <c r="E63" i="11"/>
  <c r="D61" i="11"/>
  <c r="D65" i="11"/>
  <c r="E65" i="11"/>
  <c r="C61" i="11"/>
  <c r="C65" i="11"/>
  <c r="F60" i="11"/>
  <c r="E60" i="11"/>
  <c r="F59" i="11"/>
  <c r="E59" i="11"/>
  <c r="D56" i="11"/>
  <c r="D75" i="11"/>
  <c r="E75" i="11"/>
  <c r="C56" i="11"/>
  <c r="C75" i="11"/>
  <c r="F55" i="11"/>
  <c r="E55" i="11"/>
  <c r="F54" i="11"/>
  <c r="E54" i="11"/>
  <c r="F53" i="11"/>
  <c r="E53" i="11"/>
  <c r="E52" i="11"/>
  <c r="F52" i="11"/>
  <c r="F51" i="11"/>
  <c r="E51" i="11"/>
  <c r="A51" i="11"/>
  <c r="A52" i="11"/>
  <c r="A53" i="11"/>
  <c r="A54" i="11"/>
  <c r="A55" i="11"/>
  <c r="E50" i="11"/>
  <c r="F50" i="11"/>
  <c r="A50" i="11"/>
  <c r="F49" i="11"/>
  <c r="E49" i="11"/>
  <c r="F40" i="11"/>
  <c r="E40" i="11"/>
  <c r="D38" i="11"/>
  <c r="D41" i="11"/>
  <c r="E41" i="11"/>
  <c r="C38" i="11"/>
  <c r="C41" i="11"/>
  <c r="F37" i="11"/>
  <c r="E37" i="11"/>
  <c r="F36" i="11"/>
  <c r="E36" i="11"/>
  <c r="F33" i="11"/>
  <c r="E33" i="11"/>
  <c r="F32" i="11"/>
  <c r="E32" i="11"/>
  <c r="F31" i="11"/>
  <c r="E31" i="11"/>
  <c r="D29" i="11"/>
  <c r="E29" i="11"/>
  <c r="F29" i="11"/>
  <c r="C29" i="11"/>
  <c r="F28" i="11"/>
  <c r="E28" i="11"/>
  <c r="F27" i="11"/>
  <c r="E27" i="11"/>
  <c r="F26" i="11"/>
  <c r="E26" i="11"/>
  <c r="F25" i="11"/>
  <c r="E25" i="11"/>
  <c r="D22" i="11"/>
  <c r="D43" i="11"/>
  <c r="E43" i="11"/>
  <c r="C22" i="11"/>
  <c r="C43" i="11"/>
  <c r="F21" i="11"/>
  <c r="E21" i="11"/>
  <c r="F20" i="11"/>
  <c r="E20" i="11"/>
  <c r="F19" i="11"/>
  <c r="E19" i="11"/>
  <c r="F18" i="11"/>
  <c r="E18" i="11"/>
  <c r="F17" i="11"/>
  <c r="E17" i="11"/>
  <c r="F16" i="11"/>
  <c r="E16" i="11"/>
  <c r="F15" i="11"/>
  <c r="E15" i="11"/>
  <c r="F14" i="11"/>
  <c r="E14" i="11"/>
  <c r="F13" i="11"/>
  <c r="E13" i="11"/>
  <c r="F120" i="10"/>
  <c r="D120" i="10"/>
  <c r="E120" i="10"/>
  <c r="C120" i="10"/>
  <c r="F119" i="10"/>
  <c r="D119" i="10"/>
  <c r="E119" i="10"/>
  <c r="C119" i="10"/>
  <c r="F118" i="10"/>
  <c r="D118" i="10"/>
  <c r="E118" i="10"/>
  <c r="C118" i="10"/>
  <c r="F117" i="10"/>
  <c r="D117" i="10"/>
  <c r="E117" i="10"/>
  <c r="C117" i="10"/>
  <c r="F116" i="10"/>
  <c r="D116" i="10"/>
  <c r="E116" i="10"/>
  <c r="C116" i="10"/>
  <c r="F115" i="10"/>
  <c r="D115" i="10"/>
  <c r="E115" i="10"/>
  <c r="C115" i="10"/>
  <c r="F114" i="10"/>
  <c r="D114" i="10"/>
  <c r="E114" i="10"/>
  <c r="C114" i="10"/>
  <c r="F113" i="10"/>
  <c r="D113" i="10"/>
  <c r="D122" i="10"/>
  <c r="E122" i="10"/>
  <c r="C113" i="10"/>
  <c r="C122" i="10"/>
  <c r="F122" i="10"/>
  <c r="F112" i="10"/>
  <c r="D112" i="10"/>
  <c r="D121" i="10"/>
  <c r="C112" i="10"/>
  <c r="C121" i="10"/>
  <c r="F121" i="10"/>
  <c r="F108" i="10"/>
  <c r="D108" i="10"/>
  <c r="E108" i="10"/>
  <c r="C108" i="10"/>
  <c r="F107" i="10"/>
  <c r="D107" i="10"/>
  <c r="E107" i="10"/>
  <c r="C107" i="10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F96" i="10"/>
  <c r="D96" i="10"/>
  <c r="E96" i="10"/>
  <c r="C96" i="10"/>
  <c r="F95" i="10"/>
  <c r="D95" i="10"/>
  <c r="E95" i="10"/>
  <c r="C95" i="10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F84" i="10"/>
  <c r="D84" i="10"/>
  <c r="E84" i="10"/>
  <c r="C84" i="10"/>
  <c r="F83" i="10"/>
  <c r="D83" i="10"/>
  <c r="E83" i="10"/>
  <c r="C83" i="10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F72" i="10"/>
  <c r="D72" i="10"/>
  <c r="E72" i="10"/>
  <c r="C72" i="10"/>
  <c r="F71" i="10"/>
  <c r="D71" i="10"/>
  <c r="E71" i="10"/>
  <c r="C71" i="10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F60" i="10"/>
  <c r="D60" i="10"/>
  <c r="E60" i="10"/>
  <c r="C60" i="10"/>
  <c r="F59" i="10"/>
  <c r="D59" i="10"/>
  <c r="E59" i="10"/>
  <c r="C59" i="10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F48" i="10"/>
  <c r="D48" i="10"/>
  <c r="E48" i="10"/>
  <c r="C48" i="10"/>
  <c r="F47" i="10"/>
  <c r="D47" i="10"/>
  <c r="E47" i="10"/>
  <c r="C47" i="10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F36" i="10"/>
  <c r="D36" i="10"/>
  <c r="E36" i="10"/>
  <c r="C36" i="10"/>
  <c r="F35" i="10"/>
  <c r="D35" i="10"/>
  <c r="E35" i="10"/>
  <c r="C35" i="10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F24" i="10"/>
  <c r="D24" i="10"/>
  <c r="E24" i="10"/>
  <c r="C24" i="10"/>
  <c r="F23" i="10"/>
  <c r="D23" i="10"/>
  <c r="E23" i="10"/>
  <c r="C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E206" i="9"/>
  <c r="F206" i="9"/>
  <c r="C206" i="9"/>
  <c r="D205" i="9"/>
  <c r="E205" i="9"/>
  <c r="F205" i="9"/>
  <c r="C205" i="9"/>
  <c r="D204" i="9"/>
  <c r="E204" i="9"/>
  <c r="F204" i="9"/>
  <c r="C204" i="9"/>
  <c r="D203" i="9"/>
  <c r="E203" i="9"/>
  <c r="F203" i="9"/>
  <c r="C203" i="9"/>
  <c r="D202" i="9"/>
  <c r="E202" i="9"/>
  <c r="F202" i="9"/>
  <c r="C202" i="9"/>
  <c r="D201" i="9"/>
  <c r="E201" i="9"/>
  <c r="F201" i="9"/>
  <c r="C201" i="9"/>
  <c r="D200" i="9"/>
  <c r="E200" i="9"/>
  <c r="F200" i="9"/>
  <c r="C200" i="9"/>
  <c r="D199" i="9"/>
  <c r="D208" i="9"/>
  <c r="E208" i="9"/>
  <c r="C199" i="9"/>
  <c r="C208" i="9"/>
  <c r="D198" i="9"/>
  <c r="D207" i="9"/>
  <c r="E207" i="9"/>
  <c r="C198" i="9"/>
  <c r="C207" i="9"/>
  <c r="D193" i="9"/>
  <c r="E193" i="9"/>
  <c r="F193" i="9"/>
  <c r="C193" i="9"/>
  <c r="D192" i="9"/>
  <c r="E192" i="9"/>
  <c r="F192" i="9"/>
  <c r="C192" i="9"/>
  <c r="F191" i="9"/>
  <c r="E191" i="9"/>
  <c r="F190" i="9"/>
  <c r="E190" i="9"/>
  <c r="F189" i="9"/>
  <c r="E189" i="9"/>
  <c r="F188" i="9"/>
  <c r="E188" i="9"/>
  <c r="F187" i="9"/>
  <c r="E187" i="9"/>
  <c r="F186" i="9"/>
  <c r="E186" i="9"/>
  <c r="F185" i="9"/>
  <c r="E185" i="9"/>
  <c r="F184" i="9"/>
  <c r="E184" i="9"/>
  <c r="F183" i="9"/>
  <c r="E183" i="9"/>
  <c r="F180" i="9"/>
  <c r="D180" i="9"/>
  <c r="E180" i="9"/>
  <c r="C180" i="9"/>
  <c r="F179" i="9"/>
  <c r="D179" i="9"/>
  <c r="E179" i="9"/>
  <c r="C179" i="9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F167" i="9"/>
  <c r="D167" i="9"/>
  <c r="E167" i="9"/>
  <c r="C167" i="9"/>
  <c r="F166" i="9"/>
  <c r="D166" i="9"/>
  <c r="E166" i="9"/>
  <c r="C166" i="9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F154" i="9"/>
  <c r="D154" i="9"/>
  <c r="E154" i="9"/>
  <c r="C154" i="9"/>
  <c r="F153" i="9"/>
  <c r="D153" i="9"/>
  <c r="E153" i="9"/>
  <c r="C153" i="9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F141" i="9"/>
  <c r="D141" i="9"/>
  <c r="E141" i="9"/>
  <c r="C141" i="9"/>
  <c r="F140" i="9"/>
  <c r="D140" i="9"/>
  <c r="E140" i="9"/>
  <c r="C140" i="9"/>
  <c r="F139" i="9"/>
  <c r="E139" i="9"/>
  <c r="F138" i="9"/>
  <c r="E138" i="9"/>
  <c r="F137" i="9"/>
  <c r="E137" i="9"/>
  <c r="F136" i="9"/>
  <c r="E136" i="9"/>
  <c r="F135" i="9"/>
  <c r="E135" i="9"/>
  <c r="F134" i="9"/>
  <c r="E134" i="9"/>
  <c r="F133" i="9"/>
  <c r="E133" i="9"/>
  <c r="F132" i="9"/>
  <c r="E132" i="9"/>
  <c r="F131" i="9"/>
  <c r="E131" i="9"/>
  <c r="D128" i="9"/>
  <c r="E128" i="9"/>
  <c r="F128" i="9"/>
  <c r="C128" i="9"/>
  <c r="D127" i="9"/>
  <c r="E127" i="9"/>
  <c r="F127" i="9"/>
  <c r="C127" i="9"/>
  <c r="F126" i="9"/>
  <c r="E126" i="9"/>
  <c r="F125" i="9"/>
  <c r="E125" i="9"/>
  <c r="F124" i="9"/>
  <c r="E124" i="9"/>
  <c r="F123" i="9"/>
  <c r="E123" i="9"/>
  <c r="F122" i="9"/>
  <c r="E122" i="9"/>
  <c r="F121" i="9"/>
  <c r="E121" i="9"/>
  <c r="F120" i="9"/>
  <c r="E120" i="9"/>
  <c r="F119" i="9"/>
  <c r="E119" i="9"/>
  <c r="F118" i="9"/>
  <c r="E118" i="9"/>
  <c r="D115" i="9"/>
  <c r="E115" i="9"/>
  <c r="F115" i="9"/>
  <c r="C115" i="9"/>
  <c r="D114" i="9"/>
  <c r="E114" i="9"/>
  <c r="F114" i="9"/>
  <c r="C114" i="9"/>
  <c r="F113" i="9"/>
  <c r="E113" i="9"/>
  <c r="F112" i="9"/>
  <c r="E112" i="9"/>
  <c r="F111" i="9"/>
  <c r="E111" i="9"/>
  <c r="F110" i="9"/>
  <c r="E110" i="9"/>
  <c r="F109" i="9"/>
  <c r="E109" i="9"/>
  <c r="F108" i="9"/>
  <c r="E108" i="9"/>
  <c r="F107" i="9"/>
  <c r="E107" i="9"/>
  <c r="F106" i="9"/>
  <c r="E106" i="9"/>
  <c r="F105" i="9"/>
  <c r="E105" i="9"/>
  <c r="F102" i="9"/>
  <c r="D102" i="9"/>
  <c r="E102" i="9"/>
  <c r="C102" i="9"/>
  <c r="F101" i="9"/>
  <c r="D101" i="9"/>
  <c r="E101" i="9"/>
  <c r="C101" i="9"/>
  <c r="F100" i="9"/>
  <c r="E100" i="9"/>
  <c r="F99" i="9"/>
  <c r="E99" i="9"/>
  <c r="F98" i="9"/>
  <c r="E98" i="9"/>
  <c r="F97" i="9"/>
  <c r="E97" i="9"/>
  <c r="F96" i="9"/>
  <c r="E96" i="9"/>
  <c r="F95" i="9"/>
  <c r="E95" i="9"/>
  <c r="F94" i="9"/>
  <c r="E94" i="9"/>
  <c r="F93" i="9"/>
  <c r="E93" i="9"/>
  <c r="F92" i="9"/>
  <c r="E92" i="9"/>
  <c r="F89" i="9"/>
  <c r="D89" i="9"/>
  <c r="E89" i="9"/>
  <c r="C89" i="9"/>
  <c r="F88" i="9"/>
  <c r="D88" i="9"/>
  <c r="E88" i="9"/>
  <c r="C88" i="9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F76" i="9"/>
  <c r="D76" i="9"/>
  <c r="E76" i="9"/>
  <c r="C76" i="9"/>
  <c r="F75" i="9"/>
  <c r="D75" i="9"/>
  <c r="E75" i="9"/>
  <c r="C75" i="9"/>
  <c r="F74" i="9"/>
  <c r="E74" i="9"/>
  <c r="F73" i="9"/>
  <c r="E73" i="9"/>
  <c r="F72" i="9"/>
  <c r="E72" i="9"/>
  <c r="F71" i="9"/>
  <c r="E71" i="9"/>
  <c r="F70" i="9"/>
  <c r="E70" i="9"/>
  <c r="F69" i="9"/>
  <c r="E69" i="9"/>
  <c r="F68" i="9"/>
  <c r="E68" i="9"/>
  <c r="F67" i="9"/>
  <c r="E67" i="9"/>
  <c r="F66" i="9"/>
  <c r="E66" i="9"/>
  <c r="F63" i="9"/>
  <c r="D63" i="9"/>
  <c r="E63" i="9"/>
  <c r="C63" i="9"/>
  <c r="F62" i="9"/>
  <c r="D62" i="9"/>
  <c r="E62" i="9"/>
  <c r="C62" i="9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E50" i="9"/>
  <c r="F50" i="9"/>
  <c r="C50" i="9"/>
  <c r="D49" i="9"/>
  <c r="E49" i="9"/>
  <c r="F49" i="9"/>
  <c r="C49" i="9"/>
  <c r="F48" i="9"/>
  <c r="E48" i="9"/>
  <c r="F47" i="9"/>
  <c r="E47" i="9"/>
  <c r="F46" i="9"/>
  <c r="E46" i="9"/>
  <c r="F45" i="9"/>
  <c r="E45" i="9"/>
  <c r="F44" i="9"/>
  <c r="E44" i="9"/>
  <c r="F43" i="9"/>
  <c r="E43" i="9"/>
  <c r="F42" i="9"/>
  <c r="E42" i="9"/>
  <c r="F41" i="9"/>
  <c r="E41" i="9"/>
  <c r="F40" i="9"/>
  <c r="E40" i="9"/>
  <c r="F37" i="9"/>
  <c r="D37" i="9"/>
  <c r="E37" i="9"/>
  <c r="C37" i="9"/>
  <c r="F36" i="9"/>
  <c r="D36" i="9"/>
  <c r="E36" i="9"/>
  <c r="C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E24" i="9"/>
  <c r="F24" i="9"/>
  <c r="C24" i="9"/>
  <c r="D23" i="9"/>
  <c r="E23" i="9"/>
  <c r="F23" i="9"/>
  <c r="C23" i="9"/>
  <c r="F22" i="9"/>
  <c r="E22" i="9"/>
  <c r="F21" i="9"/>
  <c r="E21" i="9"/>
  <c r="F20" i="9"/>
  <c r="E20" i="9"/>
  <c r="F19" i="9"/>
  <c r="E19" i="9"/>
  <c r="F18" i="9"/>
  <c r="E18" i="9"/>
  <c r="F17" i="9"/>
  <c r="E17" i="9"/>
  <c r="F16" i="9"/>
  <c r="E16" i="9"/>
  <c r="F15" i="9"/>
  <c r="E15" i="9"/>
  <c r="F14" i="9"/>
  <c r="E14" i="9"/>
  <c r="E191" i="8"/>
  <c r="D191" i="8"/>
  <c r="C191" i="8"/>
  <c r="E176" i="8"/>
  <c r="D176" i="8"/>
  <c r="C176" i="8"/>
  <c r="E164" i="8"/>
  <c r="D164" i="8"/>
  <c r="C164" i="8"/>
  <c r="E162" i="8"/>
  <c r="D162" i="8"/>
  <c r="C162" i="8"/>
  <c r="E161" i="8"/>
  <c r="D161" i="8"/>
  <c r="C161" i="8"/>
  <c r="E160" i="8"/>
  <c r="E166" i="8"/>
  <c r="D160" i="8"/>
  <c r="D166" i="8"/>
  <c r="C160" i="8"/>
  <c r="C166" i="8"/>
  <c r="E147" i="8"/>
  <c r="D147" i="8"/>
  <c r="D143" i="8"/>
  <c r="D149" i="8"/>
  <c r="C147" i="8"/>
  <c r="E145" i="8"/>
  <c r="D145" i="8"/>
  <c r="C145" i="8"/>
  <c r="E144" i="8"/>
  <c r="D144" i="8"/>
  <c r="C144" i="8"/>
  <c r="E143" i="8"/>
  <c r="E149" i="8"/>
  <c r="C143" i="8"/>
  <c r="C149" i="8"/>
  <c r="E126" i="8"/>
  <c r="D126" i="8"/>
  <c r="C126" i="8"/>
  <c r="E119" i="8"/>
  <c r="D119" i="8"/>
  <c r="C119" i="8"/>
  <c r="E108" i="8"/>
  <c r="D108" i="8"/>
  <c r="C108" i="8"/>
  <c r="E107" i="8"/>
  <c r="E109" i="8"/>
  <c r="E106" i="8"/>
  <c r="D107" i="8"/>
  <c r="D109" i="8"/>
  <c r="D106" i="8"/>
  <c r="C107" i="8"/>
  <c r="C109" i="8"/>
  <c r="C106" i="8"/>
  <c r="E102" i="8"/>
  <c r="E104" i="8"/>
  <c r="D102" i="8"/>
  <c r="D104" i="8"/>
  <c r="C102" i="8"/>
  <c r="C104" i="8"/>
  <c r="E100" i="8"/>
  <c r="D100" i="8"/>
  <c r="C100" i="8"/>
  <c r="E95" i="8"/>
  <c r="E94" i="8"/>
  <c r="D95" i="8"/>
  <c r="C95" i="8"/>
  <c r="C94" i="8"/>
  <c r="D94" i="8"/>
  <c r="E89" i="8"/>
  <c r="D89" i="8"/>
  <c r="C89" i="8"/>
  <c r="E87" i="8"/>
  <c r="D87" i="8"/>
  <c r="C87" i="8"/>
  <c r="E84" i="8"/>
  <c r="D84" i="8"/>
  <c r="C84" i="8"/>
  <c r="E83" i="8"/>
  <c r="E79" i="8"/>
  <c r="D83" i="8"/>
  <c r="C83" i="8"/>
  <c r="C79" i="8"/>
  <c r="D79" i="8"/>
  <c r="E77" i="8"/>
  <c r="E71" i="8"/>
  <c r="C77" i="8"/>
  <c r="C71" i="8"/>
  <c r="E75" i="8"/>
  <c r="E88" i="8"/>
  <c r="E90" i="8"/>
  <c r="E86" i="8"/>
  <c r="D75" i="8"/>
  <c r="D88" i="8"/>
  <c r="D90" i="8"/>
  <c r="D86" i="8"/>
  <c r="C75" i="8"/>
  <c r="C88" i="8"/>
  <c r="C90" i="8"/>
  <c r="C86" i="8"/>
  <c r="E74" i="8"/>
  <c r="D74" i="8"/>
  <c r="C74" i="8"/>
  <c r="E67" i="8"/>
  <c r="D67" i="8"/>
  <c r="C67" i="8"/>
  <c r="D43" i="8"/>
  <c r="E38" i="8"/>
  <c r="E57" i="8"/>
  <c r="E62" i="8"/>
  <c r="D38" i="8"/>
  <c r="D53" i="8"/>
  <c r="C38" i="8"/>
  <c r="C57" i="8"/>
  <c r="C62" i="8"/>
  <c r="E33" i="8"/>
  <c r="E34" i="8"/>
  <c r="D33" i="8"/>
  <c r="D34" i="8"/>
  <c r="E26" i="8"/>
  <c r="D26" i="8"/>
  <c r="C26" i="8"/>
  <c r="E25" i="8"/>
  <c r="E27" i="8"/>
  <c r="C25" i="8"/>
  <c r="C27" i="8"/>
  <c r="E15" i="8"/>
  <c r="E24" i="8"/>
  <c r="C15" i="8"/>
  <c r="C24" i="8"/>
  <c r="E13" i="8"/>
  <c r="D13" i="8"/>
  <c r="D25" i="8"/>
  <c r="D27" i="8"/>
  <c r="C13" i="8"/>
  <c r="F186" i="7"/>
  <c r="E186" i="7"/>
  <c r="D183" i="7"/>
  <c r="E183" i="7"/>
  <c r="F183" i="7"/>
  <c r="C183" i="7"/>
  <c r="C188" i="7"/>
  <c r="F182" i="7"/>
  <c r="E182" i="7"/>
  <c r="F181" i="7"/>
  <c r="E181" i="7"/>
  <c r="F180" i="7"/>
  <c r="E180" i="7"/>
  <c r="F179" i="7"/>
  <c r="E179" i="7"/>
  <c r="F178" i="7"/>
  <c r="E178" i="7"/>
  <c r="F177" i="7"/>
  <c r="E177" i="7"/>
  <c r="F176" i="7"/>
  <c r="E176" i="7"/>
  <c r="F175" i="7"/>
  <c r="E175" i="7"/>
  <c r="F174" i="7"/>
  <c r="E174" i="7"/>
  <c r="F173" i="7"/>
  <c r="E173" i="7"/>
  <c r="F172" i="7"/>
  <c r="E172" i="7"/>
  <c r="F171" i="7"/>
  <c r="E171" i="7"/>
  <c r="F170" i="7"/>
  <c r="E170" i="7"/>
  <c r="D167" i="7"/>
  <c r="E167" i="7"/>
  <c r="F167" i="7"/>
  <c r="C167" i="7"/>
  <c r="F166" i="7"/>
  <c r="E166" i="7"/>
  <c r="F165" i="7"/>
  <c r="E165" i="7"/>
  <c r="F164" i="7"/>
  <c r="E164" i="7"/>
  <c r="F163" i="7"/>
  <c r="E163" i="7"/>
  <c r="F162" i="7"/>
  <c r="E162" i="7"/>
  <c r="F161" i="7"/>
  <c r="E161" i="7"/>
  <c r="F160" i="7"/>
  <c r="E160" i="7"/>
  <c r="F159" i="7"/>
  <c r="E159" i="7"/>
  <c r="F158" i="7"/>
  <c r="E158" i="7"/>
  <c r="F157" i="7"/>
  <c r="E157" i="7"/>
  <c r="F156" i="7"/>
  <c r="E156" i="7"/>
  <c r="F155" i="7"/>
  <c r="E155" i="7"/>
  <c r="F154" i="7"/>
  <c r="E154" i="7"/>
  <c r="F153" i="7"/>
  <c r="E153" i="7"/>
  <c r="F152" i="7"/>
  <c r="E152" i="7"/>
  <c r="F151" i="7"/>
  <c r="E151" i="7"/>
  <c r="F150" i="7"/>
  <c r="E150" i="7"/>
  <c r="F149" i="7"/>
  <c r="E149" i="7"/>
  <c r="F148" i="7"/>
  <c r="E148" i="7"/>
  <c r="F147" i="7"/>
  <c r="E147" i="7"/>
  <c r="F146" i="7"/>
  <c r="E146" i="7"/>
  <c r="F145" i="7"/>
  <c r="E145" i="7"/>
  <c r="F144" i="7"/>
  <c r="E144" i="7"/>
  <c r="F143" i="7"/>
  <c r="E143" i="7"/>
  <c r="F142" i="7"/>
  <c r="E142" i="7"/>
  <c r="F141" i="7"/>
  <c r="E141" i="7"/>
  <c r="F140" i="7"/>
  <c r="E140" i="7"/>
  <c r="F139" i="7"/>
  <c r="E139" i="7"/>
  <c r="F138" i="7"/>
  <c r="E138" i="7"/>
  <c r="F137" i="7"/>
  <c r="E137" i="7"/>
  <c r="F136" i="7"/>
  <c r="E136" i="7"/>
  <c r="F135" i="7"/>
  <c r="E135" i="7"/>
  <c r="F134" i="7"/>
  <c r="E134" i="7"/>
  <c r="F133" i="7"/>
  <c r="E133" i="7"/>
  <c r="D130" i="7"/>
  <c r="E130" i="7"/>
  <c r="F130" i="7"/>
  <c r="C130" i="7"/>
  <c r="F129" i="7"/>
  <c r="E129" i="7"/>
  <c r="F128" i="7"/>
  <c r="E128" i="7"/>
  <c r="F127" i="7"/>
  <c r="E127" i="7"/>
  <c r="F126" i="7"/>
  <c r="E126" i="7"/>
  <c r="F125" i="7"/>
  <c r="E125" i="7"/>
  <c r="F124" i="7"/>
  <c r="E124" i="7"/>
  <c r="D121" i="7"/>
  <c r="E121" i="7"/>
  <c r="F121" i="7"/>
  <c r="C121" i="7"/>
  <c r="F120" i="7"/>
  <c r="E120" i="7"/>
  <c r="F119" i="7"/>
  <c r="E119" i="7"/>
  <c r="F118" i="7"/>
  <c r="E118" i="7"/>
  <c r="F117" i="7"/>
  <c r="E117" i="7"/>
  <c r="F116" i="7"/>
  <c r="E116" i="7"/>
  <c r="F115" i="7"/>
  <c r="E115" i="7"/>
  <c r="F114" i="7"/>
  <c r="E114" i="7"/>
  <c r="F113" i="7"/>
  <c r="E113" i="7"/>
  <c r="F112" i="7"/>
  <c r="E112" i="7"/>
  <c r="F111" i="7"/>
  <c r="E111" i="7"/>
  <c r="F110" i="7"/>
  <c r="E110" i="7"/>
  <c r="F109" i="7"/>
  <c r="E109" i="7"/>
  <c r="F108" i="7"/>
  <c r="E108" i="7"/>
  <c r="F107" i="7"/>
  <c r="E107" i="7"/>
  <c r="F106" i="7"/>
  <c r="E106" i="7"/>
  <c r="F105" i="7"/>
  <c r="E105" i="7"/>
  <c r="F104" i="7"/>
  <c r="E104" i="7"/>
  <c r="F103" i="7"/>
  <c r="E103" i="7"/>
  <c r="F93" i="7"/>
  <c r="E93" i="7"/>
  <c r="D90" i="7"/>
  <c r="E90" i="7"/>
  <c r="F90" i="7"/>
  <c r="C90" i="7"/>
  <c r="C95" i="7"/>
  <c r="F89" i="7"/>
  <c r="E89" i="7"/>
  <c r="F88" i="7"/>
  <c r="E88" i="7"/>
  <c r="F87" i="7"/>
  <c r="E87" i="7"/>
  <c r="F86" i="7"/>
  <c r="E86" i="7"/>
  <c r="F85" i="7"/>
  <c r="E85" i="7"/>
  <c r="F84" i="7"/>
  <c r="E84" i="7"/>
  <c r="F83" i="7"/>
  <c r="E83" i="7"/>
  <c r="F82" i="7"/>
  <c r="E82" i="7"/>
  <c r="F81" i="7"/>
  <c r="E81" i="7"/>
  <c r="F80" i="7"/>
  <c r="E80" i="7"/>
  <c r="F79" i="7"/>
  <c r="E79" i="7"/>
  <c r="F78" i="7"/>
  <c r="E78" i="7"/>
  <c r="F77" i="7"/>
  <c r="E77" i="7"/>
  <c r="F76" i="7"/>
  <c r="E76" i="7"/>
  <c r="F75" i="7"/>
  <c r="E75" i="7"/>
  <c r="F74" i="7"/>
  <c r="E74" i="7"/>
  <c r="F73" i="7"/>
  <c r="E73" i="7"/>
  <c r="F72" i="7"/>
  <c r="E72" i="7"/>
  <c r="F71" i="7"/>
  <c r="E71" i="7"/>
  <c r="F70" i="7"/>
  <c r="E70" i="7"/>
  <c r="F69" i="7"/>
  <c r="E69" i="7"/>
  <c r="F68" i="7"/>
  <c r="E68" i="7"/>
  <c r="F67" i="7"/>
  <c r="E67" i="7"/>
  <c r="F66" i="7"/>
  <c r="E66" i="7"/>
  <c r="F65" i="7"/>
  <c r="E65" i="7"/>
  <c r="F64" i="7"/>
  <c r="E64" i="7"/>
  <c r="F63" i="7"/>
  <c r="E63" i="7"/>
  <c r="F62" i="7"/>
  <c r="E62" i="7"/>
  <c r="D59" i="7"/>
  <c r="E59" i="7"/>
  <c r="F59" i="7"/>
  <c r="C59" i="7"/>
  <c r="F58" i="7"/>
  <c r="E58" i="7"/>
  <c r="F57" i="7"/>
  <c r="E57" i="7"/>
  <c r="F56" i="7"/>
  <c r="E56" i="7"/>
  <c r="F55" i="7"/>
  <c r="E55" i="7"/>
  <c r="F54" i="7"/>
  <c r="E54" i="7"/>
  <c r="F53" i="7"/>
  <c r="E53" i="7"/>
  <c r="F50" i="7"/>
  <c r="E50" i="7"/>
  <c r="F47" i="7"/>
  <c r="E47" i="7"/>
  <c r="F44" i="7"/>
  <c r="E44" i="7"/>
  <c r="D41" i="7"/>
  <c r="E41" i="7"/>
  <c r="F41" i="7"/>
  <c r="C41" i="7"/>
  <c r="F40" i="7"/>
  <c r="E40" i="7"/>
  <c r="F39" i="7"/>
  <c r="E39" i="7"/>
  <c r="F38" i="7"/>
  <c r="E38" i="7"/>
  <c r="D35" i="7"/>
  <c r="E35" i="7"/>
  <c r="F35" i="7"/>
  <c r="C35" i="7"/>
  <c r="F34" i="7"/>
  <c r="E34" i="7"/>
  <c r="F33" i="7"/>
  <c r="E33" i="7"/>
  <c r="D30" i="7"/>
  <c r="E30" i="7"/>
  <c r="F30" i="7"/>
  <c r="C30" i="7"/>
  <c r="F29" i="7"/>
  <c r="E29" i="7"/>
  <c r="F28" i="7"/>
  <c r="E28" i="7"/>
  <c r="F27" i="7"/>
  <c r="E27" i="7"/>
  <c r="D24" i="7"/>
  <c r="E24" i="7"/>
  <c r="F24" i="7"/>
  <c r="C24" i="7"/>
  <c r="F23" i="7"/>
  <c r="E23" i="7"/>
  <c r="F22" i="7"/>
  <c r="E22" i="7"/>
  <c r="F21" i="7"/>
  <c r="E21" i="7"/>
  <c r="D18" i="7"/>
  <c r="E18" i="7"/>
  <c r="F18" i="7"/>
  <c r="C18" i="7"/>
  <c r="F17" i="7"/>
  <c r="E17" i="7"/>
  <c r="F16" i="7"/>
  <c r="E16" i="7"/>
  <c r="F15" i="7"/>
  <c r="E15" i="7"/>
  <c r="D179" i="6"/>
  <c r="E179" i="6"/>
  <c r="C179" i="6"/>
  <c r="F178" i="6"/>
  <c r="E178" i="6"/>
  <c r="F177" i="6"/>
  <c r="E177" i="6"/>
  <c r="F176" i="6"/>
  <c r="E176" i="6"/>
  <c r="F175" i="6"/>
  <c r="E175" i="6"/>
  <c r="F174" i="6"/>
  <c r="E174" i="6"/>
  <c r="F173" i="6"/>
  <c r="E173" i="6"/>
  <c r="F172" i="6"/>
  <c r="E172" i="6"/>
  <c r="F171" i="6"/>
  <c r="E171" i="6"/>
  <c r="F170" i="6"/>
  <c r="E170" i="6"/>
  <c r="F169" i="6"/>
  <c r="E169" i="6"/>
  <c r="F168" i="6"/>
  <c r="E168" i="6"/>
  <c r="D166" i="6"/>
  <c r="E166" i="6"/>
  <c r="F166" i="6"/>
  <c r="C166" i="6"/>
  <c r="F165" i="6"/>
  <c r="E165" i="6"/>
  <c r="F164" i="6"/>
  <c r="E164" i="6"/>
  <c r="F163" i="6"/>
  <c r="E163" i="6"/>
  <c r="F162" i="6"/>
  <c r="E162" i="6"/>
  <c r="F161" i="6"/>
  <c r="E161" i="6"/>
  <c r="F160" i="6"/>
  <c r="E160" i="6"/>
  <c r="F159" i="6"/>
  <c r="E159" i="6"/>
  <c r="F158" i="6"/>
  <c r="E158" i="6"/>
  <c r="F157" i="6"/>
  <c r="E157" i="6"/>
  <c r="F156" i="6"/>
  <c r="E156" i="6"/>
  <c r="F155" i="6"/>
  <c r="E155" i="6"/>
  <c r="D153" i="6"/>
  <c r="E153" i="6"/>
  <c r="F153" i="6"/>
  <c r="C153" i="6"/>
  <c r="F152" i="6"/>
  <c r="E152" i="6"/>
  <c r="F151" i="6"/>
  <c r="E151" i="6"/>
  <c r="F150" i="6"/>
  <c r="E150" i="6"/>
  <c r="F149" i="6"/>
  <c r="E149" i="6"/>
  <c r="F148" i="6"/>
  <c r="E148" i="6"/>
  <c r="F147" i="6"/>
  <c r="E147" i="6"/>
  <c r="F146" i="6"/>
  <c r="E146" i="6"/>
  <c r="F145" i="6"/>
  <c r="E145" i="6"/>
  <c r="F144" i="6"/>
  <c r="E144" i="6"/>
  <c r="F143" i="6"/>
  <c r="E143" i="6"/>
  <c r="F142" i="6"/>
  <c r="E142" i="6"/>
  <c r="D137" i="6"/>
  <c r="E137" i="6"/>
  <c r="F137" i="6"/>
  <c r="C137" i="6"/>
  <c r="F136" i="6"/>
  <c r="E136" i="6"/>
  <c r="F135" i="6"/>
  <c r="E135" i="6"/>
  <c r="F134" i="6"/>
  <c r="E134" i="6"/>
  <c r="F133" i="6"/>
  <c r="E133" i="6"/>
  <c r="F132" i="6"/>
  <c r="E132" i="6"/>
  <c r="F131" i="6"/>
  <c r="E131" i="6"/>
  <c r="F130" i="6"/>
  <c r="E130" i="6"/>
  <c r="F129" i="6"/>
  <c r="E129" i="6"/>
  <c r="F128" i="6"/>
  <c r="E128" i="6"/>
  <c r="F127" i="6"/>
  <c r="E127" i="6"/>
  <c r="F126" i="6"/>
  <c r="E126" i="6"/>
  <c r="D124" i="6"/>
  <c r="E124" i="6"/>
  <c r="F124" i="6"/>
  <c r="C124" i="6"/>
  <c r="F123" i="6"/>
  <c r="E123" i="6"/>
  <c r="F122" i="6"/>
  <c r="E122" i="6"/>
  <c r="F121" i="6"/>
  <c r="E121" i="6"/>
  <c r="F120" i="6"/>
  <c r="E120" i="6"/>
  <c r="F119" i="6"/>
  <c r="E119" i="6"/>
  <c r="F118" i="6"/>
  <c r="E118" i="6"/>
  <c r="F117" i="6"/>
  <c r="E117" i="6"/>
  <c r="F116" i="6"/>
  <c r="E116" i="6"/>
  <c r="F115" i="6"/>
  <c r="E115" i="6"/>
  <c r="F114" i="6"/>
  <c r="E114" i="6"/>
  <c r="F113" i="6"/>
  <c r="E113" i="6"/>
  <c r="D111" i="6"/>
  <c r="E111" i="6"/>
  <c r="F111" i="6"/>
  <c r="C111" i="6"/>
  <c r="F110" i="6"/>
  <c r="E110" i="6"/>
  <c r="F109" i="6"/>
  <c r="E109" i="6"/>
  <c r="F108" i="6"/>
  <c r="E108" i="6"/>
  <c r="F107" i="6"/>
  <c r="E107" i="6"/>
  <c r="F106" i="6"/>
  <c r="E106" i="6"/>
  <c r="F105" i="6"/>
  <c r="E105" i="6"/>
  <c r="F104" i="6"/>
  <c r="E104" i="6"/>
  <c r="F103" i="6"/>
  <c r="E103" i="6"/>
  <c r="F102" i="6"/>
  <c r="E102" i="6"/>
  <c r="F101" i="6"/>
  <c r="E101" i="6"/>
  <c r="F100" i="6"/>
  <c r="E100" i="6"/>
  <c r="F94" i="6"/>
  <c r="D94" i="6"/>
  <c r="E94" i="6"/>
  <c r="C94" i="6"/>
  <c r="F93" i="6"/>
  <c r="D93" i="6"/>
  <c r="E93" i="6"/>
  <c r="C93" i="6"/>
  <c r="D92" i="6"/>
  <c r="E92" i="6"/>
  <c r="F92" i="6"/>
  <c r="C92" i="6"/>
  <c r="D91" i="6"/>
  <c r="E91" i="6"/>
  <c r="F91" i="6"/>
  <c r="C91" i="6"/>
  <c r="D90" i="6"/>
  <c r="E90" i="6"/>
  <c r="F90" i="6"/>
  <c r="C90" i="6"/>
  <c r="D89" i="6"/>
  <c r="E89" i="6"/>
  <c r="F89" i="6"/>
  <c r="C89" i="6"/>
  <c r="D88" i="6"/>
  <c r="E88" i="6"/>
  <c r="F88" i="6"/>
  <c r="C88" i="6"/>
  <c r="F87" i="6"/>
  <c r="D87" i="6"/>
  <c r="E87" i="6"/>
  <c r="C87" i="6"/>
  <c r="D86" i="6"/>
  <c r="E86" i="6"/>
  <c r="F86" i="6"/>
  <c r="C86" i="6"/>
  <c r="D85" i="6"/>
  <c r="E85" i="6"/>
  <c r="F85" i="6"/>
  <c r="C85" i="6"/>
  <c r="D84" i="6"/>
  <c r="D95" i="6"/>
  <c r="C84" i="6"/>
  <c r="C95" i="6"/>
  <c r="D81" i="6"/>
  <c r="E81" i="6"/>
  <c r="F81" i="6"/>
  <c r="C81" i="6"/>
  <c r="F80" i="6"/>
  <c r="E80" i="6"/>
  <c r="F79" i="6"/>
  <c r="E79" i="6"/>
  <c r="F78" i="6"/>
  <c r="E78" i="6"/>
  <c r="F77" i="6"/>
  <c r="E77" i="6"/>
  <c r="F76" i="6"/>
  <c r="E76" i="6"/>
  <c r="F75" i="6"/>
  <c r="E75" i="6"/>
  <c r="F74" i="6"/>
  <c r="E74" i="6"/>
  <c r="F73" i="6"/>
  <c r="E73" i="6"/>
  <c r="F72" i="6"/>
  <c r="E72" i="6"/>
  <c r="F71" i="6"/>
  <c r="E71" i="6"/>
  <c r="F70" i="6"/>
  <c r="E70" i="6"/>
  <c r="D68" i="6"/>
  <c r="E68" i="6"/>
  <c r="F68" i="6"/>
  <c r="C68" i="6"/>
  <c r="F67" i="6"/>
  <c r="E67" i="6"/>
  <c r="F66" i="6"/>
  <c r="E66" i="6"/>
  <c r="F65" i="6"/>
  <c r="E65" i="6"/>
  <c r="F64" i="6"/>
  <c r="E64" i="6"/>
  <c r="F63" i="6"/>
  <c r="E63" i="6"/>
  <c r="F62" i="6"/>
  <c r="E62" i="6"/>
  <c r="F61" i="6"/>
  <c r="E61" i="6"/>
  <c r="F60" i="6"/>
  <c r="E60" i="6"/>
  <c r="F59" i="6"/>
  <c r="E59" i="6"/>
  <c r="F58" i="6"/>
  <c r="E58" i="6"/>
  <c r="F57" i="6"/>
  <c r="E57" i="6"/>
  <c r="F51" i="6"/>
  <c r="D51" i="6"/>
  <c r="E51" i="6"/>
  <c r="C51" i="6"/>
  <c r="F50" i="6"/>
  <c r="D50" i="6"/>
  <c r="E50" i="6"/>
  <c r="C50" i="6"/>
  <c r="D49" i="6"/>
  <c r="E49" i="6"/>
  <c r="F49" i="6"/>
  <c r="C49" i="6"/>
  <c r="D48" i="6"/>
  <c r="E48" i="6"/>
  <c r="F48" i="6"/>
  <c r="C48" i="6"/>
  <c r="D47" i="6"/>
  <c r="E47" i="6"/>
  <c r="F47" i="6"/>
  <c r="C47" i="6"/>
  <c r="D46" i="6"/>
  <c r="E46" i="6"/>
  <c r="F46" i="6"/>
  <c r="C46" i="6"/>
  <c r="D45" i="6"/>
  <c r="E45" i="6"/>
  <c r="F45" i="6"/>
  <c r="C45" i="6"/>
  <c r="F44" i="6"/>
  <c r="D44" i="6"/>
  <c r="E44" i="6"/>
  <c r="C44" i="6"/>
  <c r="D43" i="6"/>
  <c r="E43" i="6"/>
  <c r="F43" i="6"/>
  <c r="C43" i="6"/>
  <c r="D42" i="6"/>
  <c r="E42" i="6"/>
  <c r="F42" i="6"/>
  <c r="C42" i="6"/>
  <c r="D41" i="6"/>
  <c r="D52" i="6"/>
  <c r="E52" i="6"/>
  <c r="C41" i="6"/>
  <c r="C52" i="6"/>
  <c r="D38" i="6"/>
  <c r="E38" i="6"/>
  <c r="F38" i="6"/>
  <c r="C38" i="6"/>
  <c r="F37" i="6"/>
  <c r="E37" i="6"/>
  <c r="F36" i="6"/>
  <c r="E36" i="6"/>
  <c r="F35" i="6"/>
  <c r="E35" i="6"/>
  <c r="F34" i="6"/>
  <c r="E34" i="6"/>
  <c r="F33" i="6"/>
  <c r="E33" i="6"/>
  <c r="F32" i="6"/>
  <c r="E32" i="6"/>
  <c r="F31" i="6"/>
  <c r="E31" i="6"/>
  <c r="F30" i="6"/>
  <c r="E30" i="6"/>
  <c r="F29" i="6"/>
  <c r="E29" i="6"/>
  <c r="F28" i="6"/>
  <c r="E28" i="6"/>
  <c r="F27" i="6"/>
  <c r="E27" i="6"/>
  <c r="D25" i="6"/>
  <c r="E25" i="6"/>
  <c r="F25" i="6"/>
  <c r="C25" i="6"/>
  <c r="F24" i="6"/>
  <c r="E24" i="6"/>
  <c r="F23" i="6"/>
  <c r="E23" i="6"/>
  <c r="F22" i="6"/>
  <c r="E22" i="6"/>
  <c r="F21" i="6"/>
  <c r="E21" i="6"/>
  <c r="F20" i="6"/>
  <c r="E20" i="6"/>
  <c r="F19" i="6"/>
  <c r="E19" i="6"/>
  <c r="F18" i="6"/>
  <c r="E18" i="6"/>
  <c r="F17" i="6"/>
  <c r="E17" i="6"/>
  <c r="F16" i="6"/>
  <c r="E16" i="6"/>
  <c r="F15" i="6"/>
  <c r="E15" i="6"/>
  <c r="F14" i="6"/>
  <c r="E14" i="6"/>
  <c r="F51" i="5"/>
  <c r="E51" i="5"/>
  <c r="D48" i="5"/>
  <c r="E48" i="5"/>
  <c r="C48" i="5"/>
  <c r="E47" i="5"/>
  <c r="F47" i="5"/>
  <c r="F46" i="5"/>
  <c r="E46" i="5"/>
  <c r="D41" i="5"/>
  <c r="E41" i="5"/>
  <c r="C41" i="5"/>
  <c r="F41" i="5"/>
  <c r="E40" i="5"/>
  <c r="F40" i="5"/>
  <c r="F39" i="5"/>
  <c r="E39" i="5"/>
  <c r="E38" i="5"/>
  <c r="F38" i="5"/>
  <c r="D33" i="5"/>
  <c r="E33" i="5"/>
  <c r="C33" i="5"/>
  <c r="F33" i="5"/>
  <c r="E32" i="5"/>
  <c r="F32" i="5"/>
  <c r="E31" i="5"/>
  <c r="F31" i="5"/>
  <c r="E30" i="5"/>
  <c r="F30" i="5"/>
  <c r="F29" i="5"/>
  <c r="E29" i="5"/>
  <c r="E28" i="5"/>
  <c r="F28" i="5"/>
  <c r="E27" i="5"/>
  <c r="F27" i="5"/>
  <c r="E26" i="5"/>
  <c r="F26" i="5"/>
  <c r="E25" i="5"/>
  <c r="F25" i="5"/>
  <c r="E24" i="5"/>
  <c r="F24" i="5"/>
  <c r="E20" i="5"/>
  <c r="F20" i="5"/>
  <c r="E19" i="5"/>
  <c r="F19" i="5"/>
  <c r="E17" i="5"/>
  <c r="F17" i="5"/>
  <c r="D16" i="5"/>
  <c r="D18" i="5"/>
  <c r="C16" i="5"/>
  <c r="F15" i="5"/>
  <c r="E15" i="5"/>
  <c r="E14" i="5"/>
  <c r="F14" i="5"/>
  <c r="E13" i="5"/>
  <c r="F13" i="5"/>
  <c r="E12" i="5"/>
  <c r="F12" i="5"/>
  <c r="D73" i="4"/>
  <c r="E73" i="4"/>
  <c r="F73" i="4"/>
  <c r="C73" i="4"/>
  <c r="F72" i="4"/>
  <c r="E72" i="4"/>
  <c r="F71" i="4"/>
  <c r="E71" i="4"/>
  <c r="F70" i="4"/>
  <c r="E70" i="4"/>
  <c r="F67" i="4"/>
  <c r="E67" i="4"/>
  <c r="F64" i="4"/>
  <c r="E64" i="4"/>
  <c r="F63" i="4"/>
  <c r="E63" i="4"/>
  <c r="D61" i="4"/>
  <c r="D65" i="4"/>
  <c r="E65" i="4"/>
  <c r="C61" i="4"/>
  <c r="C65" i="4"/>
  <c r="F60" i="4"/>
  <c r="E60" i="4"/>
  <c r="F59" i="4"/>
  <c r="E59" i="4"/>
  <c r="D56" i="4"/>
  <c r="D75" i="4"/>
  <c r="E75" i="4"/>
  <c r="C56" i="4"/>
  <c r="C75" i="4"/>
  <c r="F55" i="4"/>
  <c r="E55" i="4"/>
  <c r="F54" i="4"/>
  <c r="E54" i="4"/>
  <c r="F53" i="4"/>
  <c r="E53" i="4"/>
  <c r="E52" i="4"/>
  <c r="F52" i="4"/>
  <c r="F51" i="4"/>
  <c r="E51" i="4"/>
  <c r="A51" i="4"/>
  <c r="A52" i="4"/>
  <c r="A53" i="4"/>
  <c r="A54" i="4"/>
  <c r="A55" i="4"/>
  <c r="E50" i="4"/>
  <c r="F50" i="4"/>
  <c r="A50" i="4"/>
  <c r="F49" i="4"/>
  <c r="E49" i="4"/>
  <c r="F40" i="4"/>
  <c r="E40" i="4"/>
  <c r="D38" i="4"/>
  <c r="D41" i="4"/>
  <c r="E41" i="4"/>
  <c r="C38" i="4"/>
  <c r="C41" i="4"/>
  <c r="F37" i="4"/>
  <c r="E37" i="4"/>
  <c r="F36" i="4"/>
  <c r="E36" i="4"/>
  <c r="F33" i="4"/>
  <c r="E33" i="4"/>
  <c r="F32" i="4"/>
  <c r="E32" i="4"/>
  <c r="F31" i="4"/>
  <c r="E31" i="4"/>
  <c r="D29" i="4"/>
  <c r="E29" i="4"/>
  <c r="F29" i="4"/>
  <c r="C29" i="4"/>
  <c r="F28" i="4"/>
  <c r="E28" i="4"/>
  <c r="F27" i="4"/>
  <c r="E27" i="4"/>
  <c r="F26" i="4"/>
  <c r="E26" i="4"/>
  <c r="F25" i="4"/>
  <c r="E25" i="4"/>
  <c r="D22" i="4"/>
  <c r="D43" i="4"/>
  <c r="E43" i="4"/>
  <c r="C22" i="4"/>
  <c r="C43" i="4"/>
  <c r="F21" i="4"/>
  <c r="E21" i="4"/>
  <c r="F20" i="4"/>
  <c r="E20" i="4"/>
  <c r="F19" i="4"/>
  <c r="E19" i="4"/>
  <c r="F18" i="4"/>
  <c r="E18" i="4"/>
  <c r="F17" i="4"/>
  <c r="E17" i="4"/>
  <c r="F16" i="4"/>
  <c r="E16" i="4"/>
  <c r="F15" i="4"/>
  <c r="E15" i="4"/>
  <c r="F14" i="4"/>
  <c r="E14" i="4"/>
  <c r="F13" i="4"/>
  <c r="E13" i="4"/>
  <c r="D108" i="22"/>
  <c r="D109" i="22"/>
  <c r="C109" i="22"/>
  <c r="C108" i="22"/>
  <c r="E109" i="22"/>
  <c r="E108" i="22"/>
  <c r="D22" i="22"/>
  <c r="C23" i="22"/>
  <c r="E23" i="22"/>
  <c r="D33" i="22"/>
  <c r="C34" i="22"/>
  <c r="E34" i="22"/>
  <c r="D101" i="22"/>
  <c r="D103" i="22"/>
  <c r="C102" i="22"/>
  <c r="C103" i="22"/>
  <c r="E102" i="22"/>
  <c r="E103" i="22"/>
  <c r="C22" i="22"/>
  <c r="E22" i="22"/>
  <c r="D23" i="22"/>
  <c r="F36" i="20"/>
  <c r="E20" i="20"/>
  <c r="F20" i="20"/>
  <c r="D41" i="20"/>
  <c r="E39" i="20"/>
  <c r="E294" i="17"/>
  <c r="F294" i="17"/>
  <c r="E295" i="17"/>
  <c r="E296" i="17"/>
  <c r="F296" i="17"/>
  <c r="E297" i="17"/>
  <c r="E298" i="17"/>
  <c r="E299" i="17"/>
  <c r="E19" i="20"/>
  <c r="F19" i="20"/>
  <c r="C40" i="20"/>
  <c r="E43" i="20"/>
  <c r="E46" i="20"/>
  <c r="C46" i="20"/>
  <c r="C65" i="19"/>
  <c r="C114" i="19"/>
  <c r="C116" i="19"/>
  <c r="C119" i="19"/>
  <c r="C123" i="19"/>
  <c r="C49" i="19"/>
  <c r="C258" i="18"/>
  <c r="C101" i="18"/>
  <c r="C99" i="18"/>
  <c r="C97" i="18"/>
  <c r="C95" i="18"/>
  <c r="C88" i="18"/>
  <c r="C86" i="18"/>
  <c r="C84" i="18"/>
  <c r="C90" i="18"/>
  <c r="C98" i="18"/>
  <c r="C87" i="18"/>
  <c r="C83" i="18"/>
  <c r="C100" i="18"/>
  <c r="C96" i="18"/>
  <c r="C89" i="18"/>
  <c r="C85" i="18"/>
  <c r="D168" i="18"/>
  <c r="D283" i="18"/>
  <c r="E283" i="18"/>
  <c r="D22" i="18"/>
  <c r="E21" i="18"/>
  <c r="C33" i="18"/>
  <c r="E32" i="18"/>
  <c r="E36" i="18"/>
  <c r="D43" i="18"/>
  <c r="E54" i="18"/>
  <c r="C289" i="18"/>
  <c r="E289" i="18"/>
  <c r="C71" i="18"/>
  <c r="C76" i="18"/>
  <c r="C65" i="18"/>
  <c r="C66" i="18"/>
  <c r="E60" i="18"/>
  <c r="E70" i="18"/>
  <c r="D77" i="18"/>
  <c r="C175" i="18"/>
  <c r="C144" i="18"/>
  <c r="E139" i="18"/>
  <c r="C163" i="18"/>
  <c r="E163" i="18"/>
  <c r="E175" i="18"/>
  <c r="C189" i="18"/>
  <c r="C211" i="18"/>
  <c r="C235" i="18"/>
  <c r="C234" i="18"/>
  <c r="C217" i="18"/>
  <c r="C241" i="18"/>
  <c r="D222" i="18"/>
  <c r="E229" i="18"/>
  <c r="E240" i="18"/>
  <c r="C243" i="18"/>
  <c r="C252" i="18"/>
  <c r="C302" i="18"/>
  <c r="C303" i="18"/>
  <c r="D295" i="18"/>
  <c r="E33" i="18"/>
  <c r="D44" i="18"/>
  <c r="D66" i="18"/>
  <c r="E65" i="18"/>
  <c r="E71" i="18"/>
  <c r="D145" i="18"/>
  <c r="E144" i="18"/>
  <c r="D156" i="18"/>
  <c r="E151" i="18"/>
  <c r="D244" i="18"/>
  <c r="E244" i="18"/>
  <c r="D253" i="18"/>
  <c r="D306" i="18"/>
  <c r="E316" i="18"/>
  <c r="E76" i="17"/>
  <c r="F76" i="17"/>
  <c r="D261" i="18"/>
  <c r="E261" i="18"/>
  <c r="D189" i="18"/>
  <c r="E189" i="18"/>
  <c r="E188" i="18"/>
  <c r="E195" i="18"/>
  <c r="D210" i="18"/>
  <c r="E205" i="18"/>
  <c r="E215" i="18"/>
  <c r="E218" i="18"/>
  <c r="D217" i="18"/>
  <c r="E221" i="18"/>
  <c r="D252" i="18"/>
  <c r="E252" i="18"/>
  <c r="E231" i="18"/>
  <c r="C253" i="18"/>
  <c r="D242" i="18"/>
  <c r="E242" i="18"/>
  <c r="D254" i="18"/>
  <c r="E251" i="18"/>
  <c r="E314" i="18"/>
  <c r="D326" i="18"/>
  <c r="C222" i="18"/>
  <c r="C246" i="18"/>
  <c r="C32" i="17"/>
  <c r="C160" i="17"/>
  <c r="C90" i="17"/>
  <c r="D21" i="17"/>
  <c r="D31" i="17"/>
  <c r="D37" i="17"/>
  <c r="D48" i="17"/>
  <c r="E53" i="17"/>
  <c r="F53" i="17"/>
  <c r="E59" i="17"/>
  <c r="F59" i="17"/>
  <c r="E67" i="17"/>
  <c r="F67" i="17"/>
  <c r="D89" i="17"/>
  <c r="E89" i="17"/>
  <c r="F89" i="17"/>
  <c r="D102" i="17"/>
  <c r="D111" i="17"/>
  <c r="E111" i="17"/>
  <c r="F111" i="17"/>
  <c r="D124" i="17"/>
  <c r="D137" i="17"/>
  <c r="D146" i="17"/>
  <c r="E146" i="17"/>
  <c r="F146" i="17"/>
  <c r="D159" i="17"/>
  <c r="E159" i="17"/>
  <c r="D172" i="17"/>
  <c r="D181" i="17"/>
  <c r="E181" i="17"/>
  <c r="D278" i="17"/>
  <c r="D215" i="17"/>
  <c r="E189" i="17"/>
  <c r="F189" i="17"/>
  <c r="D190" i="17"/>
  <c r="D283" i="17"/>
  <c r="D267" i="17"/>
  <c r="D268" i="17"/>
  <c r="E203" i="17"/>
  <c r="F203" i="17"/>
  <c r="D205" i="17"/>
  <c r="E237" i="17"/>
  <c r="F237" i="17"/>
  <c r="D239" i="17"/>
  <c r="E239" i="17"/>
  <c r="F239" i="17"/>
  <c r="D306" i="17"/>
  <c r="E306" i="17"/>
  <c r="E250" i="17"/>
  <c r="F250" i="17"/>
  <c r="C282" i="17"/>
  <c r="C266" i="17"/>
  <c r="E20" i="17"/>
  <c r="F20" i="17"/>
  <c r="C21" i="17"/>
  <c r="C37" i="17"/>
  <c r="E52" i="17"/>
  <c r="F52" i="17"/>
  <c r="E58" i="17"/>
  <c r="F58" i="17"/>
  <c r="C60" i="17"/>
  <c r="E66" i="17"/>
  <c r="F66" i="17"/>
  <c r="C68" i="17"/>
  <c r="E68" i="17"/>
  <c r="C194" i="17"/>
  <c r="C207" i="17"/>
  <c r="C138" i="17"/>
  <c r="F172" i="17"/>
  <c r="D277" i="17"/>
  <c r="D214" i="17"/>
  <c r="D206" i="17"/>
  <c r="E188" i="17"/>
  <c r="F188" i="17"/>
  <c r="D280" i="17"/>
  <c r="D200" i="17"/>
  <c r="E191" i="17"/>
  <c r="F191" i="17"/>
  <c r="D192" i="17"/>
  <c r="E192" i="17"/>
  <c r="D262" i="17"/>
  <c r="D263" i="17"/>
  <c r="D264" i="17"/>
  <c r="C124" i="17"/>
  <c r="C277" i="17"/>
  <c r="C261" i="17"/>
  <c r="C254" i="17"/>
  <c r="C214" i="17"/>
  <c r="C206" i="17"/>
  <c r="C278" i="17"/>
  <c r="C262" i="17"/>
  <c r="C255" i="17"/>
  <c r="C215" i="17"/>
  <c r="C190" i="17"/>
  <c r="C280" i="17"/>
  <c r="C264" i="17"/>
  <c r="C200" i="17"/>
  <c r="C192" i="17"/>
  <c r="D290" i="17"/>
  <c r="E290" i="17"/>
  <c r="D274" i="17"/>
  <c r="E198" i="17"/>
  <c r="F198" i="17"/>
  <c r="D199" i="17"/>
  <c r="D285" i="17"/>
  <c r="E285" i="17"/>
  <c r="F285" i="17"/>
  <c r="D269" i="17"/>
  <c r="E204" i="17"/>
  <c r="F204" i="17"/>
  <c r="D227" i="17"/>
  <c r="E227" i="17"/>
  <c r="F227" i="17"/>
  <c r="F290" i="17"/>
  <c r="C199" i="17"/>
  <c r="C286" i="17"/>
  <c r="C205" i="17"/>
  <c r="C267" i="17"/>
  <c r="C269" i="17"/>
  <c r="C274" i="17"/>
  <c r="F295" i="17"/>
  <c r="F297" i="17"/>
  <c r="F298" i="17"/>
  <c r="F299" i="17"/>
  <c r="F23" i="16"/>
  <c r="F107" i="15"/>
  <c r="F36" i="14"/>
  <c r="F38" i="14"/>
  <c r="F40" i="14"/>
  <c r="I31" i="14"/>
  <c r="I17" i="14"/>
  <c r="D31" i="14"/>
  <c r="F31" i="14"/>
  <c r="H31" i="14"/>
  <c r="C33" i="14"/>
  <c r="C36" i="14"/>
  <c r="C38" i="14"/>
  <c r="C40" i="14"/>
  <c r="E33" i="14"/>
  <c r="E36" i="14"/>
  <c r="E38" i="14"/>
  <c r="E40" i="14"/>
  <c r="G33" i="14"/>
  <c r="H17" i="14"/>
  <c r="D21" i="13"/>
  <c r="C21" i="13"/>
  <c r="E21" i="13"/>
  <c r="D15" i="13"/>
  <c r="D48" i="13"/>
  <c r="D42" i="13"/>
  <c r="C15" i="13"/>
  <c r="E15" i="13"/>
  <c r="D20" i="12"/>
  <c r="F15" i="12"/>
  <c r="E15" i="12"/>
  <c r="C17" i="12"/>
  <c r="E32" i="12"/>
  <c r="F32" i="12"/>
  <c r="E40" i="12"/>
  <c r="F40" i="12"/>
  <c r="E47" i="12"/>
  <c r="F47" i="12"/>
  <c r="F43" i="11"/>
  <c r="F41" i="11"/>
  <c r="F75" i="11"/>
  <c r="F65" i="11"/>
  <c r="E22" i="11"/>
  <c r="F22" i="11"/>
  <c r="E38" i="11"/>
  <c r="F38" i="11"/>
  <c r="E56" i="11"/>
  <c r="F56" i="11"/>
  <c r="E61" i="11"/>
  <c r="F61" i="11"/>
  <c r="E121" i="10"/>
  <c r="E112" i="10"/>
  <c r="E113" i="10"/>
  <c r="F207" i="9"/>
  <c r="F208" i="9"/>
  <c r="E198" i="9"/>
  <c r="F198" i="9"/>
  <c r="E199" i="9"/>
  <c r="F199" i="9"/>
  <c r="D21" i="8"/>
  <c r="C20" i="8"/>
  <c r="C21" i="8"/>
  <c r="E140" i="8"/>
  <c r="E138" i="8"/>
  <c r="E136" i="8"/>
  <c r="E139" i="8"/>
  <c r="E137" i="8"/>
  <c r="E135" i="8"/>
  <c r="D139" i="8"/>
  <c r="D137" i="8"/>
  <c r="D135" i="8"/>
  <c r="D140" i="8"/>
  <c r="D138" i="8"/>
  <c r="D136" i="8"/>
  <c r="C157" i="8"/>
  <c r="C155" i="8"/>
  <c r="C153" i="8"/>
  <c r="C156" i="8"/>
  <c r="C154" i="8"/>
  <c r="C152" i="8"/>
  <c r="E157" i="8"/>
  <c r="E155" i="8"/>
  <c r="E153" i="8"/>
  <c r="E156" i="8"/>
  <c r="E154" i="8"/>
  <c r="E152" i="8"/>
  <c r="E20" i="8"/>
  <c r="E21" i="8"/>
  <c r="C140" i="8"/>
  <c r="C138" i="8"/>
  <c r="C136" i="8"/>
  <c r="C139" i="8"/>
  <c r="C137" i="8"/>
  <c r="C135" i="8"/>
  <c r="D156" i="8"/>
  <c r="D154" i="8"/>
  <c r="D152" i="8"/>
  <c r="D158" i="8"/>
  <c r="D157" i="8"/>
  <c r="D155" i="8"/>
  <c r="D153" i="8"/>
  <c r="D15" i="8"/>
  <c r="C17" i="8"/>
  <c r="E17" i="8"/>
  <c r="C43" i="8"/>
  <c r="E43" i="8"/>
  <c r="D49" i="8"/>
  <c r="C53" i="8"/>
  <c r="E53" i="8"/>
  <c r="D57" i="8"/>
  <c r="D62" i="8"/>
  <c r="D77" i="8"/>
  <c r="D71" i="8"/>
  <c r="C49" i="8"/>
  <c r="E49" i="8"/>
  <c r="D95" i="7"/>
  <c r="E95" i="7"/>
  <c r="F95" i="7"/>
  <c r="D188" i="7"/>
  <c r="E188" i="7"/>
  <c r="F188" i="7"/>
  <c r="F52" i="6"/>
  <c r="E95" i="6"/>
  <c r="F179" i="6"/>
  <c r="F95" i="6"/>
  <c r="E41" i="6"/>
  <c r="F41" i="6"/>
  <c r="E84" i="6"/>
  <c r="F84" i="6"/>
  <c r="D21" i="5"/>
  <c r="F48" i="5"/>
  <c r="E16" i="5"/>
  <c r="F16" i="5"/>
  <c r="C18" i="5"/>
  <c r="F43" i="4"/>
  <c r="F41" i="4"/>
  <c r="F75" i="4"/>
  <c r="F65" i="4"/>
  <c r="E22" i="4"/>
  <c r="F22" i="4"/>
  <c r="E38" i="4"/>
  <c r="F38" i="4"/>
  <c r="E56" i="4"/>
  <c r="F56" i="4"/>
  <c r="E61" i="4"/>
  <c r="F61" i="4"/>
  <c r="D54" i="22"/>
  <c r="D46" i="22"/>
  <c r="D40" i="22"/>
  <c r="D36" i="22"/>
  <c r="D30" i="22"/>
  <c r="D111" i="22"/>
  <c r="C53" i="22"/>
  <c r="C45" i="22"/>
  <c r="C39" i="22"/>
  <c r="C35" i="22"/>
  <c r="C29" i="22"/>
  <c r="C110" i="22"/>
  <c r="C111" i="22"/>
  <c r="C54" i="22"/>
  <c r="C46" i="22"/>
  <c r="C40" i="22"/>
  <c r="C36" i="22"/>
  <c r="C30" i="22"/>
  <c r="E53" i="22"/>
  <c r="E45" i="22"/>
  <c r="E39" i="22"/>
  <c r="E35" i="22"/>
  <c r="E29" i="22"/>
  <c r="E110" i="22"/>
  <c r="E111" i="22"/>
  <c r="E54" i="22"/>
  <c r="E46" i="22"/>
  <c r="E40" i="22"/>
  <c r="E36" i="22"/>
  <c r="E30" i="22"/>
  <c r="D110" i="22"/>
  <c r="D53" i="22"/>
  <c r="D45" i="22"/>
  <c r="D39" i="22"/>
  <c r="D35" i="22"/>
  <c r="D29" i="22"/>
  <c r="F39" i="20"/>
  <c r="F46" i="20"/>
  <c r="F40" i="20"/>
  <c r="E40" i="20"/>
  <c r="E41" i="20"/>
  <c r="F43" i="20"/>
  <c r="C41" i="20"/>
  <c r="C306" i="18"/>
  <c r="C310" i="18"/>
  <c r="E303" i="18"/>
  <c r="E76" i="18"/>
  <c r="C259" i="18"/>
  <c r="C263" i="18"/>
  <c r="C77" i="18"/>
  <c r="D241" i="18"/>
  <c r="E241" i="18"/>
  <c r="E217" i="18"/>
  <c r="D234" i="18"/>
  <c r="E234" i="18"/>
  <c r="E210" i="18"/>
  <c r="D211" i="18"/>
  <c r="E306" i="18"/>
  <c r="D310" i="18"/>
  <c r="E310" i="18"/>
  <c r="E253" i="18"/>
  <c r="D180" i="18"/>
  <c r="D258" i="18"/>
  <c r="D100" i="18"/>
  <c r="E100" i="18"/>
  <c r="D98" i="18"/>
  <c r="E98" i="18"/>
  <c r="D96" i="18"/>
  <c r="D89" i="18"/>
  <c r="E89" i="18"/>
  <c r="D87" i="18"/>
  <c r="E87" i="18"/>
  <c r="D85" i="18"/>
  <c r="E85" i="18"/>
  <c r="D83" i="18"/>
  <c r="D99" i="18"/>
  <c r="E99" i="18"/>
  <c r="D95" i="18"/>
  <c r="D88" i="18"/>
  <c r="E88" i="18"/>
  <c r="D84" i="18"/>
  <c r="D101" i="18"/>
  <c r="E101" i="18"/>
  <c r="D97" i="18"/>
  <c r="E97" i="18"/>
  <c r="D86" i="18"/>
  <c r="E86" i="18"/>
  <c r="E44" i="18"/>
  <c r="E302" i="18"/>
  <c r="E222" i="18"/>
  <c r="D246" i="18"/>
  <c r="E246" i="18"/>
  <c r="C168" i="18"/>
  <c r="C180" i="18"/>
  <c r="C145" i="18"/>
  <c r="D127" i="18"/>
  <c r="D125" i="18"/>
  <c r="D123" i="18"/>
  <c r="D121" i="18"/>
  <c r="D114" i="18"/>
  <c r="D112" i="18"/>
  <c r="D110" i="18"/>
  <c r="E77" i="18"/>
  <c r="D126" i="18"/>
  <c r="D122" i="18"/>
  <c r="D115" i="18"/>
  <c r="D111" i="18"/>
  <c r="D124" i="18"/>
  <c r="D113" i="18"/>
  <c r="D109" i="18"/>
  <c r="D259" i="18"/>
  <c r="E43" i="18"/>
  <c r="C294" i="18"/>
  <c r="E294" i="18"/>
  <c r="D284" i="18"/>
  <c r="E284" i="18"/>
  <c r="E22" i="18"/>
  <c r="E168" i="18"/>
  <c r="D223" i="18"/>
  <c r="E326" i="18"/>
  <c r="D330" i="18"/>
  <c r="E330" i="18"/>
  <c r="E156" i="18"/>
  <c r="D157" i="18"/>
  <c r="E157" i="18"/>
  <c r="D181" i="18"/>
  <c r="E145" i="18"/>
  <c r="E66" i="18"/>
  <c r="C254" i="18"/>
  <c r="E254" i="18"/>
  <c r="E243" i="18"/>
  <c r="C223" i="18"/>
  <c r="C247" i="18"/>
  <c r="C295" i="18"/>
  <c r="E295" i="18"/>
  <c r="C102" i="18"/>
  <c r="C91" i="18"/>
  <c r="C105" i="18"/>
  <c r="C103" i="18"/>
  <c r="C264" i="18"/>
  <c r="C266" i="18"/>
  <c r="C267" i="18"/>
  <c r="C287" i="17"/>
  <c r="C284" i="17"/>
  <c r="C279" i="17"/>
  <c r="D300" i="17"/>
  <c r="E264" i="17"/>
  <c r="E200" i="17"/>
  <c r="F200" i="17"/>
  <c r="E214" i="17"/>
  <c r="D216" i="17"/>
  <c r="D254" i="17"/>
  <c r="C61" i="17"/>
  <c r="E60" i="17"/>
  <c r="F60" i="17"/>
  <c r="C196" i="17"/>
  <c r="C161" i="17"/>
  <c r="C126" i="17"/>
  <c r="C91" i="17"/>
  <c r="C49" i="17"/>
  <c r="E205" i="17"/>
  <c r="D270" i="17"/>
  <c r="E267" i="17"/>
  <c r="F267" i="17"/>
  <c r="E190" i="17"/>
  <c r="F190" i="17"/>
  <c r="E215" i="17"/>
  <c r="F215" i="17"/>
  <c r="D255" i="17"/>
  <c r="E255" i="17"/>
  <c r="F255" i="17"/>
  <c r="D207" i="17"/>
  <c r="E137" i="17"/>
  <c r="F137" i="17"/>
  <c r="D138" i="17"/>
  <c r="E37" i="17"/>
  <c r="F37" i="17"/>
  <c r="D49" i="17"/>
  <c r="E21" i="17"/>
  <c r="F21" i="17"/>
  <c r="D161" i="17"/>
  <c r="D126" i="17"/>
  <c r="D91" i="17"/>
  <c r="C270" i="17"/>
  <c r="C281" i="17"/>
  <c r="C272" i="17"/>
  <c r="F205" i="17"/>
  <c r="E269" i="17"/>
  <c r="F269" i="17"/>
  <c r="E199" i="17"/>
  <c r="F199" i="17"/>
  <c r="E274" i="17"/>
  <c r="F274" i="17"/>
  <c r="F192" i="17"/>
  <c r="C300" i="17"/>
  <c r="C265" i="17"/>
  <c r="F264" i="17"/>
  <c r="C288" i="17"/>
  <c r="C216" i="17"/>
  <c r="F214" i="17"/>
  <c r="C271" i="17"/>
  <c r="C268" i="17"/>
  <c r="E268" i="17"/>
  <c r="C263" i="17"/>
  <c r="D272" i="17"/>
  <c r="E272" i="17"/>
  <c r="E262" i="17"/>
  <c r="F262" i="17"/>
  <c r="D193" i="17"/>
  <c r="E280" i="17"/>
  <c r="F280" i="17"/>
  <c r="E206" i="17"/>
  <c r="F206" i="17"/>
  <c r="D287" i="17"/>
  <c r="D284" i="17"/>
  <c r="E284" i="17"/>
  <c r="D279" i="17"/>
  <c r="E279" i="17"/>
  <c r="E277" i="17"/>
  <c r="F277" i="17"/>
  <c r="C208" i="17"/>
  <c r="F68" i="17"/>
  <c r="C304" i="17"/>
  <c r="E261" i="17"/>
  <c r="F261" i="17"/>
  <c r="D271" i="17"/>
  <c r="E283" i="17"/>
  <c r="F283" i="17"/>
  <c r="D286" i="17"/>
  <c r="E286" i="17"/>
  <c r="F286" i="17"/>
  <c r="D288" i="17"/>
  <c r="E288" i="17"/>
  <c r="E278" i="17"/>
  <c r="F278" i="17"/>
  <c r="E172" i="17"/>
  <c r="D173" i="17"/>
  <c r="E124" i="17"/>
  <c r="F124" i="17"/>
  <c r="E102" i="17"/>
  <c r="F102" i="17"/>
  <c r="D103" i="17"/>
  <c r="E48" i="17"/>
  <c r="F48" i="17"/>
  <c r="D160" i="17"/>
  <c r="E160" i="17"/>
  <c r="F160" i="17"/>
  <c r="D125" i="17"/>
  <c r="D90" i="17"/>
  <c r="E90" i="17"/>
  <c r="F90" i="17"/>
  <c r="E31" i="17"/>
  <c r="F31" i="17"/>
  <c r="D32" i="17"/>
  <c r="C125" i="17"/>
  <c r="C195" i="17"/>
  <c r="C210" i="17"/>
  <c r="C175" i="17"/>
  <c r="C140" i="17"/>
  <c r="C105" i="17"/>
  <c r="C62" i="17"/>
  <c r="G36" i="14"/>
  <c r="G38" i="14"/>
  <c r="G40" i="14"/>
  <c r="I33" i="14"/>
  <c r="I36" i="14"/>
  <c r="I38" i="14"/>
  <c r="I40" i="14"/>
  <c r="H33" i="14"/>
  <c r="H36" i="14"/>
  <c r="H38" i="14"/>
  <c r="H40" i="14"/>
  <c r="E24" i="13"/>
  <c r="E20" i="13"/>
  <c r="E17" i="13"/>
  <c r="E28" i="13"/>
  <c r="C24" i="13"/>
  <c r="C20" i="13"/>
  <c r="C17" i="13"/>
  <c r="C28" i="13"/>
  <c r="D24" i="13"/>
  <c r="D20" i="13"/>
  <c r="D17" i="13"/>
  <c r="D28" i="13"/>
  <c r="C20" i="12"/>
  <c r="E17" i="12"/>
  <c r="F17" i="12"/>
  <c r="D34" i="12"/>
  <c r="E112" i="8"/>
  <c r="E111" i="8"/>
  <c r="E28" i="8"/>
  <c r="C112" i="8"/>
  <c r="C111" i="8"/>
  <c r="C28" i="8"/>
  <c r="C141" i="8"/>
  <c r="E158" i="8"/>
  <c r="C158" i="8"/>
  <c r="E141" i="8"/>
  <c r="D24" i="8"/>
  <c r="D20" i="8"/>
  <c r="D17" i="8"/>
  <c r="D141" i="8"/>
  <c r="D35" i="5"/>
  <c r="C21" i="5"/>
  <c r="E18" i="5"/>
  <c r="F18" i="5"/>
  <c r="D112" i="22"/>
  <c r="D55" i="22"/>
  <c r="D47" i="22"/>
  <c r="D37" i="22"/>
  <c r="E113" i="22"/>
  <c r="E56" i="22"/>
  <c r="E48" i="22"/>
  <c r="E38" i="22"/>
  <c r="C113" i="22"/>
  <c r="C56" i="22"/>
  <c r="C48" i="22"/>
  <c r="C38" i="22"/>
  <c r="E55" i="22"/>
  <c r="E47" i="22"/>
  <c r="E37" i="22"/>
  <c r="E112" i="22"/>
  <c r="C55" i="22"/>
  <c r="C47" i="22"/>
  <c r="C37" i="22"/>
  <c r="C112" i="22"/>
  <c r="D56" i="22"/>
  <c r="D48" i="22"/>
  <c r="D38" i="22"/>
  <c r="D113" i="22"/>
  <c r="F41" i="20"/>
  <c r="C269" i="18"/>
  <c r="C268" i="18"/>
  <c r="C271" i="18"/>
  <c r="D247" i="18"/>
  <c r="E247" i="18"/>
  <c r="E223" i="18"/>
  <c r="D263" i="18"/>
  <c r="E263" i="18"/>
  <c r="E259" i="18"/>
  <c r="E113" i="18"/>
  <c r="E122" i="18"/>
  <c r="D128" i="18"/>
  <c r="D129" i="18"/>
  <c r="E121" i="18"/>
  <c r="C181" i="18"/>
  <c r="E181" i="18"/>
  <c r="C169" i="18"/>
  <c r="E258" i="18"/>
  <c r="D264" i="18"/>
  <c r="D169" i="18"/>
  <c r="E169" i="18"/>
  <c r="E109" i="18"/>
  <c r="E126" i="18"/>
  <c r="D116" i="18"/>
  <c r="E110" i="18"/>
  <c r="E123" i="18"/>
  <c r="E84" i="18"/>
  <c r="D90" i="18"/>
  <c r="E90" i="18"/>
  <c r="E95" i="18"/>
  <c r="D91" i="18"/>
  <c r="E83" i="18"/>
  <c r="D102" i="18"/>
  <c r="E102" i="18"/>
  <c r="E96" i="18"/>
  <c r="E180" i="18"/>
  <c r="E211" i="18"/>
  <c r="D235" i="18"/>
  <c r="E235" i="18"/>
  <c r="C126" i="18"/>
  <c r="C124" i="18"/>
  <c r="E124" i="18"/>
  <c r="C122" i="18"/>
  <c r="C115" i="18"/>
  <c r="E115" i="18"/>
  <c r="C113" i="18"/>
  <c r="C111" i="18"/>
  <c r="E111" i="18"/>
  <c r="C109" i="18"/>
  <c r="C125" i="18"/>
  <c r="E125" i="18"/>
  <c r="C121" i="18"/>
  <c r="C114" i="18"/>
  <c r="E114" i="18"/>
  <c r="C110" i="18"/>
  <c r="C127" i="18"/>
  <c r="E127" i="18"/>
  <c r="C123" i="18"/>
  <c r="C112" i="18"/>
  <c r="E112" i="18"/>
  <c r="C106" i="17"/>
  <c r="C176" i="17"/>
  <c r="F176" i="17"/>
  <c r="D62" i="17"/>
  <c r="E32" i="17"/>
  <c r="F32" i="17"/>
  <c r="D175" i="17"/>
  <c r="D140" i="17"/>
  <c r="D105" i="17"/>
  <c r="E173" i="17"/>
  <c r="D174" i="17"/>
  <c r="D304" i="17"/>
  <c r="D273" i="17"/>
  <c r="E271" i="17"/>
  <c r="F271" i="17"/>
  <c r="C273" i="17"/>
  <c r="E91" i="17"/>
  <c r="F91" i="17"/>
  <c r="D92" i="17"/>
  <c r="E161" i="17"/>
  <c r="F161" i="17"/>
  <c r="D162" i="17"/>
  <c r="E270" i="17"/>
  <c r="C50" i="17"/>
  <c r="C127" i="17"/>
  <c r="E254" i="17"/>
  <c r="F254" i="17"/>
  <c r="E300" i="17"/>
  <c r="F300" i="17"/>
  <c r="C291" i="17"/>
  <c r="C289" i="17"/>
  <c r="C63" i="17"/>
  <c r="C141" i="17"/>
  <c r="E125" i="17"/>
  <c r="F125" i="17"/>
  <c r="E103" i="17"/>
  <c r="F103" i="17"/>
  <c r="D104" i="17"/>
  <c r="E287" i="17"/>
  <c r="F287" i="17"/>
  <c r="D291" i="17"/>
  <c r="D289" i="17"/>
  <c r="E289" i="17"/>
  <c r="E193" i="17"/>
  <c r="F193" i="17"/>
  <c r="D194" i="17"/>
  <c r="D266" i="17"/>
  <c r="D282" i="17"/>
  <c r="F268" i="17"/>
  <c r="F288" i="17"/>
  <c r="F272" i="17"/>
  <c r="F270" i="17"/>
  <c r="E126" i="17"/>
  <c r="F126" i="17"/>
  <c r="D127" i="17"/>
  <c r="D50" i="17"/>
  <c r="E49" i="17"/>
  <c r="F49" i="17"/>
  <c r="E138" i="17"/>
  <c r="F138" i="17"/>
  <c r="D139" i="17"/>
  <c r="E207" i="17"/>
  <c r="F207" i="17"/>
  <c r="D208" i="17"/>
  <c r="E263" i="17"/>
  <c r="F263" i="17"/>
  <c r="C92" i="17"/>
  <c r="C162" i="17"/>
  <c r="C209" i="17"/>
  <c r="C174" i="17"/>
  <c r="C139" i="17"/>
  <c r="C104" i="17"/>
  <c r="E61" i="17"/>
  <c r="F61" i="17"/>
  <c r="E216" i="17"/>
  <c r="F216" i="17"/>
  <c r="F279" i="17"/>
  <c r="F284" i="17"/>
  <c r="D70" i="13"/>
  <c r="D72" i="13"/>
  <c r="D69" i="13"/>
  <c r="D22" i="13"/>
  <c r="C70" i="13"/>
  <c r="C72" i="13"/>
  <c r="C69" i="13"/>
  <c r="C22" i="13"/>
  <c r="E70" i="13"/>
  <c r="E72" i="13"/>
  <c r="E69" i="13"/>
  <c r="E22" i="13"/>
  <c r="D42" i="12"/>
  <c r="C34" i="12"/>
  <c r="E20" i="12"/>
  <c r="F20" i="12"/>
  <c r="D28" i="8"/>
  <c r="D112" i="8"/>
  <c r="D111" i="8"/>
  <c r="C99" i="8"/>
  <c r="C101" i="8"/>
  <c r="C98" i="8"/>
  <c r="C22" i="8"/>
  <c r="E99" i="8"/>
  <c r="E101" i="8"/>
  <c r="E98" i="8"/>
  <c r="E22" i="8"/>
  <c r="D43" i="5"/>
  <c r="C35" i="5"/>
  <c r="E21" i="5"/>
  <c r="F21" i="5"/>
  <c r="E91" i="18"/>
  <c r="E264" i="18"/>
  <c r="D266" i="18"/>
  <c r="C116" i="18"/>
  <c r="C117" i="18"/>
  <c r="C128" i="18"/>
  <c r="E128" i="18"/>
  <c r="D103" i="18"/>
  <c r="E103" i="18"/>
  <c r="E116" i="18"/>
  <c r="D117" i="18"/>
  <c r="E50" i="17"/>
  <c r="F50" i="17"/>
  <c r="E266" i="17"/>
  <c r="F266" i="17"/>
  <c r="D265" i="17"/>
  <c r="E265" i="17"/>
  <c r="F265" i="17"/>
  <c r="E291" i="17"/>
  <c r="D305" i="17"/>
  <c r="E104" i="17"/>
  <c r="F104" i="17"/>
  <c r="C322" i="17"/>
  <c r="C211" i="17"/>
  <c r="C305" i="17"/>
  <c r="F291" i="17"/>
  <c r="C197" i="17"/>
  <c r="C148" i="17"/>
  <c r="E162" i="17"/>
  <c r="E92" i="17"/>
  <c r="E273" i="17"/>
  <c r="F273" i="17"/>
  <c r="E174" i="17"/>
  <c r="F174" i="17"/>
  <c r="E105" i="17"/>
  <c r="F105" i="17"/>
  <c r="D106" i="17"/>
  <c r="E106" i="17"/>
  <c r="F106" i="17"/>
  <c r="E175" i="17"/>
  <c r="F175" i="17"/>
  <c r="D176" i="17"/>
  <c r="E176" i="17"/>
  <c r="D63" i="17"/>
  <c r="E63" i="17"/>
  <c r="F63" i="17"/>
  <c r="E62" i="17"/>
  <c r="F62" i="17"/>
  <c r="C323" i="17"/>
  <c r="F323" i="17"/>
  <c r="C183" i="17"/>
  <c r="F183" i="17"/>
  <c r="F162" i="17"/>
  <c r="C324" i="17"/>
  <c r="C113" i="17"/>
  <c r="F92" i="17"/>
  <c r="E208" i="17"/>
  <c r="F208" i="17"/>
  <c r="D209" i="17"/>
  <c r="E209" i="17"/>
  <c r="F209" i="17"/>
  <c r="E139" i="17"/>
  <c r="F139" i="17"/>
  <c r="E127" i="17"/>
  <c r="F127" i="17"/>
  <c r="E282" i="17"/>
  <c r="F282" i="17"/>
  <c r="D281" i="17"/>
  <c r="E281" i="17"/>
  <c r="F281" i="17"/>
  <c r="E194" i="17"/>
  <c r="F194" i="17"/>
  <c r="D196" i="17"/>
  <c r="D195" i="17"/>
  <c r="E195" i="17"/>
  <c r="F195" i="17"/>
  <c r="F289" i="17"/>
  <c r="C70" i="17"/>
  <c r="E304" i="17"/>
  <c r="F304" i="17"/>
  <c r="E140" i="17"/>
  <c r="F140" i="17"/>
  <c r="D141" i="17"/>
  <c r="D210" i="17"/>
  <c r="C42" i="12"/>
  <c r="E34" i="12"/>
  <c r="F34" i="12"/>
  <c r="D49" i="12"/>
  <c r="D99" i="8"/>
  <c r="D101" i="8"/>
  <c r="D98" i="8"/>
  <c r="D22" i="8"/>
  <c r="D50" i="5"/>
  <c r="C43" i="5"/>
  <c r="E35" i="5"/>
  <c r="F35" i="5"/>
  <c r="C129" i="18"/>
  <c r="E129" i="18"/>
  <c r="E266" i="18"/>
  <c r="D267" i="18"/>
  <c r="E117" i="18"/>
  <c r="D131" i="18"/>
  <c r="C131" i="18"/>
  <c r="D105" i="18"/>
  <c r="E105" i="18"/>
  <c r="E210" i="17"/>
  <c r="F210" i="17"/>
  <c r="D211" i="17"/>
  <c r="E211" i="17"/>
  <c r="F211" i="17"/>
  <c r="C325" i="17"/>
  <c r="D183" i="17"/>
  <c r="E183" i="17"/>
  <c r="D323" i="17"/>
  <c r="E323" i="17"/>
  <c r="D309" i="17"/>
  <c r="E305" i="17"/>
  <c r="D322" i="17"/>
  <c r="E322" i="17"/>
  <c r="F322" i="17"/>
  <c r="E141" i="17"/>
  <c r="F141" i="17"/>
  <c r="E196" i="17"/>
  <c r="F196" i="17"/>
  <c r="D197" i="17"/>
  <c r="E197" i="17"/>
  <c r="D148" i="17"/>
  <c r="E148" i="17"/>
  <c r="F148" i="17"/>
  <c r="D113" i="17"/>
  <c r="E113" i="17"/>
  <c r="F113" i="17"/>
  <c r="D324" i="17"/>
  <c r="F197" i="17"/>
  <c r="C309" i="17"/>
  <c r="F305" i="17"/>
  <c r="D70" i="17"/>
  <c r="E70" i="17"/>
  <c r="F70" i="17"/>
  <c r="C49" i="12"/>
  <c r="E42" i="12"/>
  <c r="F42" i="12"/>
  <c r="C50" i="5"/>
  <c r="E43" i="5"/>
  <c r="F43" i="5"/>
  <c r="E131" i="18"/>
  <c r="D269" i="18"/>
  <c r="E269" i="18"/>
  <c r="E267" i="18"/>
  <c r="D268" i="18"/>
  <c r="E309" i="17"/>
  <c r="D310" i="17"/>
  <c r="F309" i="17"/>
  <c r="C310" i="17"/>
  <c r="D325" i="17"/>
  <c r="E325" i="17"/>
  <c r="E324" i="17"/>
  <c r="F324" i="17"/>
  <c r="F325" i="17"/>
  <c r="E49" i="12"/>
  <c r="F49" i="12"/>
  <c r="F50" i="5"/>
  <c r="E50" i="5"/>
  <c r="D271" i="18"/>
  <c r="E271" i="18"/>
  <c r="E268" i="18"/>
  <c r="C312" i="17"/>
  <c r="D312" i="17"/>
  <c r="E310" i="17"/>
  <c r="F310" i="17"/>
  <c r="C313" i="17"/>
  <c r="E312" i="17"/>
  <c r="F312" i="17"/>
  <c r="D313" i="17"/>
  <c r="D315" i="17"/>
  <c r="D314" i="17"/>
  <c r="E313" i="17"/>
  <c r="F313" i="17"/>
  <c r="D251" i="17"/>
  <c r="E251" i="17"/>
  <c r="D256" i="17"/>
  <c r="C251" i="17"/>
  <c r="C314" i="17"/>
  <c r="C315" i="17"/>
  <c r="C256" i="17"/>
  <c r="C257" i="17"/>
  <c r="C318" i="17"/>
  <c r="D318" i="17"/>
  <c r="E314" i="17"/>
  <c r="F314" i="17"/>
  <c r="F251" i="17"/>
  <c r="E256" i="17"/>
  <c r="F256" i="17"/>
  <c r="D257" i="17"/>
  <c r="E257" i="17"/>
  <c r="E315" i="17"/>
  <c r="F315" i="17"/>
  <c r="E318" i="17"/>
  <c r="F318" i="17"/>
  <c r="F257" i="17"/>
</calcChain>
</file>

<file path=xl/sharedStrings.xml><?xml version="1.0" encoding="utf-8"?>
<sst xmlns="http://schemas.openxmlformats.org/spreadsheetml/2006/main" count="2335" uniqueCount="1010">
  <si>
    <t>MIDSTATE MEDICAL CENTER</t>
  </si>
  <si>
    <t>TWELVE MONTHS ACTUAL FILING</t>
  </si>
  <si>
    <t>FISCAL YEAR 2014</t>
  </si>
  <si>
    <t>REPORT 100 - HOSPITAL BALANCE SHEET INFORMATION</t>
  </si>
  <si>
    <t>FY 2013</t>
  </si>
  <si>
    <t>FY 2014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</si>
  <si>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</si>
  <si>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</si>
  <si>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</si>
  <si>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</si>
  <si>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</si>
  <si>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</si>
  <si>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</si>
  <si>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</si>
  <si>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</si>
  <si>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</si>
  <si>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</si>
  <si>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</si>
  <si>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</si>
  <si>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</si>
  <si>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</si>
  <si>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</si>
  <si>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</si>
  <si>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</si>
  <si>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</si>
  <si>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</si>
  <si>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</si>
  <si>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</si>
  <si>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</si>
  <si>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</si>
  <si>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</si>
  <si>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</si>
  <si>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</si>
  <si>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</si>
  <si>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</si>
  <si>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</si>
  <si>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</si>
  <si>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</si>
  <si>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</si>
  <si>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</si>
  <si>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</si>
  <si>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</si>
  <si>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</si>
  <si>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</si>
  <si>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</si>
  <si>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</si>
  <si>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</si>
  <si>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</si>
  <si>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</si>
  <si>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</si>
  <si>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</si>
  <si>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</si>
  <si>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</si>
  <si>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</si>
  <si>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</si>
  <si>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</si>
  <si>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</si>
  <si>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</si>
  <si>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</si>
  <si>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</si>
  <si>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</si>
  <si>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</si>
  <si>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</si>
  <si>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</si>
  <si>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</si>
  <si>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</si>
  <si>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</si>
  <si>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</si>
  <si>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</si>
  <si>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</si>
  <si>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</si>
  <si>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</si>
  <si>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</si>
  <si>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</si>
  <si>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</si>
  <si>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</si>
  <si>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</si>
  <si>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</si>
  <si>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</si>
  <si>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</si>
  <si>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</si>
  <si>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</si>
  <si>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</si>
  <si>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</si>
  <si>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</si>
  <si>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</si>
  <si>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</si>
  <si>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</si>
  <si>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</si>
  <si>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</si>
  <si>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</si>
  <si>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</si>
  <si>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</si>
  <si>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</si>
  <si>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</si>
  <si>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</si>
  <si>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</si>
  <si>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</si>
  <si>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</si>
  <si>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</si>
  <si>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</si>
  <si>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</si>
  <si>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</si>
  <si>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</si>
  <si>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</si>
  <si>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</si>
  <si>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</si>
  <si>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2013                ACTUAL</t>
  </si>
  <si>
    <t>FY 2014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</si>
  <si>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</si>
  <si>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</si>
  <si>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</si>
  <si>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</si>
  <si>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</si>
  <si>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</si>
  <si>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</si>
  <si>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</si>
  <si>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</si>
  <si>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</si>
  <si>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</si>
  <si>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</si>
  <si>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</si>
  <si>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</si>
  <si>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</si>
  <si>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</si>
  <si>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</si>
  <si>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</si>
  <si>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</si>
  <si>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</si>
  <si>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</si>
  <si>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</si>
  <si>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</si>
  <si>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</si>
  <si>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</si>
  <si>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</si>
  <si>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</si>
  <si>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</si>
  <si>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</si>
  <si>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</si>
  <si>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</si>
  <si>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</si>
  <si>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</si>
  <si>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</si>
  <si>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</si>
  <si>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</si>
  <si>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</si>
  <si>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</si>
  <si>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</si>
  <si>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</si>
  <si>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</si>
  <si>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</si>
  <si>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</si>
  <si>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</si>
  <si>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</si>
  <si>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</si>
  <si>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</si>
  <si>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</si>
  <si>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</si>
  <si>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</si>
  <si>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</si>
  <si>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</si>
  <si>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</si>
  <si>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</si>
  <si>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</si>
  <si>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</si>
  <si>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</si>
  <si>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</si>
  <si>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</si>
  <si>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</si>
  <si>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</si>
  <si>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</si>
  <si>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</si>
  <si>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</si>
  <si>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</si>
  <si>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</si>
  <si>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</si>
  <si>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</si>
  <si>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</si>
  <si>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</si>
  <si>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</si>
  <si>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</si>
  <si>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</si>
  <si>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</si>
  <si>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</si>
  <si>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</si>
  <si>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</si>
  <si>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</si>
  <si>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</si>
  <si>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</si>
  <si>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</si>
  <si>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</si>
  <si>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</si>
  <si>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</si>
  <si>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</si>
  <si>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</si>
  <si>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</si>
  <si>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</si>
  <si>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</si>
  <si>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</si>
  <si>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</si>
  <si>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</si>
  <si>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</si>
  <si>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</si>
  <si>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</si>
  <si>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</si>
  <si>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</si>
  <si>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</si>
  <si>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</si>
  <si>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</si>
  <si>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</si>
  <si>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</si>
  <si>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</si>
  <si>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</si>
  <si>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</si>
  <si>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</si>
  <si>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</si>
  <si>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</si>
  <si>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</si>
  <si>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</si>
  <si>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</si>
  <si>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</si>
  <si>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</si>
  <si>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</si>
  <si>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</si>
  <si>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</si>
  <si>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</si>
  <si>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</si>
  <si>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</si>
  <si>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</si>
  <si>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</si>
  <si>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</si>
  <si>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</si>
  <si>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</si>
  <si>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</si>
  <si>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</si>
  <si>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</si>
  <si>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</si>
  <si>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</si>
  <si>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</si>
  <si>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</si>
  <si>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</si>
  <si>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</si>
  <si>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</si>
  <si>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</si>
  <si>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</si>
  <si>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</si>
  <si>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</si>
  <si>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</si>
  <si>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</si>
  <si>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</si>
  <si>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</si>
  <si>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</si>
  <si>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</si>
  <si>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</si>
  <si>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</si>
  <si>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</si>
  <si>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</si>
  <si>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</si>
  <si>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</si>
  <si>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</si>
  <si>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</si>
  <si>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</si>
  <si>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</si>
  <si>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</si>
  <si>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</si>
  <si>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</si>
  <si>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</si>
  <si>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</si>
  <si>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</si>
  <si>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</si>
  <si>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</si>
  <si>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</si>
  <si>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</si>
  <si>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</si>
  <si>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</si>
  <si>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</si>
  <si>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</si>
  <si>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</si>
  <si>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</si>
  <si>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</si>
  <si>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</si>
  <si>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</si>
  <si>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</si>
  <si>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</si>
  <si>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</si>
  <si>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</si>
  <si>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</si>
  <si>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</si>
  <si>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</si>
  <si>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</si>
  <si>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</si>
  <si>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</si>
  <si>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</si>
  <si>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</si>
  <si>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</si>
  <si>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</si>
  <si>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</si>
  <si>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</si>
  <si>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</si>
  <si>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</si>
  <si>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</si>
  <si>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</si>
  <si>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</si>
  <si>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</si>
  <si>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</si>
  <si>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</si>
  <si>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</si>
  <si>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</si>
  <si>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</si>
  <si>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</si>
  <si>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</si>
  <si>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</si>
  <si>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</si>
  <si>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</si>
  <si>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2014</t>
  </si>
  <si>
    <t>REPORT 185 - HOSPITAL FINANCIAL AND STATISTICAL DATA ANALYSIS</t>
  </si>
  <si>
    <t xml:space="preserve">      FY 2012</t>
  </si>
  <si>
    <t xml:space="preserve">      FY 2013</t>
  </si>
  <si>
    <t xml:space="preserve">      FY 2014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</si>
  <si>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</si>
  <si>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</si>
  <si>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</si>
  <si>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</si>
  <si>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</si>
  <si>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</si>
  <si>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</si>
  <si>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</si>
  <si>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</si>
  <si>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</si>
  <si>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</si>
  <si>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</si>
  <si>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</si>
  <si>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</si>
  <si>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</si>
  <si>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</si>
  <si>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</si>
  <si>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</si>
  <si>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</si>
  <si>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</si>
  <si>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</si>
  <si>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</si>
  <si>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</si>
  <si>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</si>
  <si>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</si>
  <si>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</si>
  <si>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</si>
  <si>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</si>
  <si>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</si>
  <si>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</si>
  <si>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</si>
  <si>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</si>
  <si>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</si>
  <si>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</si>
  <si>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</si>
  <si>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</si>
  <si>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</si>
  <si>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</si>
  <si>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</si>
  <si>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</si>
  <si>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</si>
  <si>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</si>
  <si>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</si>
  <si>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</si>
  <si>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</si>
  <si>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</si>
  <si>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</si>
  <si>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</si>
  <si>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</si>
  <si>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</si>
  <si>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</si>
  <si>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</si>
  <si>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</si>
  <si>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</si>
  <si>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</si>
  <si>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</si>
  <si>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</si>
  <si>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</si>
  <si>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</si>
  <si>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</si>
  <si>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</si>
  <si>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</si>
  <si>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</si>
  <si>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</si>
  <si>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</si>
  <si>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</si>
  <si>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</si>
  <si>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</si>
  <si>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</si>
  <si>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</si>
  <si>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</si>
  <si>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</si>
  <si>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</si>
  <si>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</si>
  <si>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</si>
  <si>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</si>
  <si>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</si>
  <si>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</si>
  <si>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</si>
  <si>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</si>
  <si>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</si>
  <si>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</si>
  <si>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</si>
  <si>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</si>
  <si>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</si>
  <si>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</si>
  <si>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</si>
  <si>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</si>
  <si>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</si>
  <si>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</si>
  <si>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</si>
  <si>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</si>
  <si>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</si>
  <si>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</si>
  <si>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</si>
  <si>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</si>
  <si>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</si>
  <si>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</si>
  <si>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</si>
  <si>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</si>
  <si>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</si>
  <si>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</si>
  <si>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</si>
  <si>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</si>
  <si>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</si>
  <si>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</si>
  <si>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</si>
  <si>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</si>
  <si>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</si>
  <si>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</si>
  <si>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</si>
  <si>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</si>
  <si>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</si>
  <si>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</si>
  <si>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</si>
  <si>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</si>
  <si>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</si>
  <si>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2013 ACTUAL</t>
  </si>
  <si>
    <t>FY 2014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</si>
  <si>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</si>
  <si>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</si>
  <si>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</si>
  <si>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</si>
  <si>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</si>
  <si>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</si>
  <si>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</si>
  <si>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</si>
  <si>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</si>
  <si>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</si>
  <si>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</si>
  <si>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</si>
  <si>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</si>
  <si>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</si>
  <si>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</si>
  <si>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</si>
  <si>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</si>
  <si>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</si>
  <si>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</si>
  <si>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</si>
  <si>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</si>
  <si>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</si>
  <si>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</si>
  <si>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</si>
  <si>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</si>
  <si>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</si>
  <si>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</si>
  <si>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</si>
  <si>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</si>
  <si>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</si>
  <si>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</si>
  <si>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</si>
  <si>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</si>
  <si>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</si>
  <si>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</si>
  <si>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</si>
  <si>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2013 ACTUAL     </t>
  </si>
  <si>
    <t xml:space="preserve">      FY 2014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</si>
  <si>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</si>
  <si>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</si>
  <si>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</si>
  <si>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</si>
  <si>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</si>
  <si>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</si>
  <si>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</si>
  <si>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</si>
  <si>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</si>
  <si>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</si>
  <si>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</si>
  <si>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</si>
  <si>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</si>
  <si>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</si>
  <si>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</si>
  <si>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</si>
  <si>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</si>
  <si>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</si>
  <si>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</si>
  <si>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</si>
  <si>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</si>
  <si>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</si>
  <si>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</si>
  <si>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</si>
  <si>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MIDSTATE MEDICAL CENTER AND SUBSIDIARIES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</si>
  <si>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</si>
  <si>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</si>
  <si>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</si>
  <si>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</si>
  <si>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2012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</si>
  <si>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</si>
  <si>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</si>
  <si>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</si>
  <si>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</si>
  <si>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</si>
  <si>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</si>
  <si>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</si>
  <si>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</si>
  <si>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</si>
  <si>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</si>
  <si>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</si>
  <si>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</si>
  <si>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</si>
  <si>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</si>
  <si>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</si>
  <si>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</si>
  <si>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</si>
  <si>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</si>
  <si>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</si>
  <si>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</si>
  <si>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</si>
  <si>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</si>
  <si>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</si>
  <si>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</si>
  <si>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</si>
  <si>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</si>
  <si>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</si>
  <si>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</si>
  <si>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</si>
  <si>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</si>
  <si>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</si>
  <si>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</si>
  <si>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</si>
  <si>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</si>
  <si>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</si>
  <si>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</si>
  <si>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</si>
  <si>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</si>
  <si>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</si>
  <si>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</si>
  <si>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</si>
  <si>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</si>
  <si>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</si>
  <si>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</si>
  <si>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</si>
  <si>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</si>
  <si>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</si>
  <si>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</si>
  <si>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</si>
  <si>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</si>
  <si>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</si>
  <si>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</si>
  <si>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</si>
  <si>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</si>
  <si>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</si>
  <si>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</si>
  <si>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</si>
  <si>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</si>
  <si>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</si>
  <si>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</si>
  <si>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</si>
  <si>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</si>
  <si>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</si>
  <si>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</si>
  <si>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</si>
  <si>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</si>
  <si>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</si>
  <si>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</si>
  <si>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</si>
  <si>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</si>
  <si>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</si>
  <si>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</si>
  <si>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</si>
  <si>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</si>
  <si>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</si>
  <si>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</si>
  <si>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</si>
  <si>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</si>
  <si>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</si>
  <si>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</si>
  <si>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</si>
  <si>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</si>
  <si>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</si>
  <si>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</si>
  <si>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</si>
  <si>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</si>
  <si>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</si>
  <si>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</si>
  <si>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</si>
  <si>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</si>
  <si>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</si>
  <si>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</si>
  <si>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</si>
  <si>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</si>
  <si>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</si>
  <si>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</si>
  <si>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</si>
  <si>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</si>
  <si>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</si>
  <si>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</si>
  <si>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</si>
  <si>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</si>
  <si>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</si>
  <si>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</si>
  <si>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</si>
  <si>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</si>
  <si>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</si>
  <si>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</si>
  <si>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</si>
  <si>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</si>
  <si>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</si>
  <si>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</si>
  <si>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</si>
  <si>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</si>
  <si>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</si>
  <si>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Main hospital campus</t>
  </si>
  <si>
    <t>Total Outpatient Surgical Procedures(A)</t>
  </si>
  <si>
    <t>Total Outpatient Endoscopy Procedures(B)</t>
  </si>
  <si>
    <t>Outpatient Hospital Emergency Room Visits</t>
  </si>
  <si>
    <t>61 Pomeroy Ave</t>
  </si>
  <si>
    <t>680 S. Main St Cheshire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</si>
  <si>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</si>
  <si>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</si>
  <si>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</si>
  <si>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</si>
  <si>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</si>
  <si>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</si>
  <si>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</si>
  <si>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</si>
  <si>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</si>
  <si>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</si>
  <si>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</si>
  <si>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</si>
  <si>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</si>
  <si>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</si>
  <si>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</si>
  <si>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</si>
  <si>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</si>
  <si>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</si>
  <si>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</si>
  <si>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</si>
  <si>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</si>
  <si>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</si>
  <si>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</si>
  <si>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</si>
  <si>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</si>
  <si>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</si>
  <si>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</si>
  <si>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</si>
  <si>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</si>
  <si>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</si>
  <si>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</si>
  <si>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</si>
  <si>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</si>
  <si>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</si>
  <si>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</si>
  <si>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</si>
  <si>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</si>
  <si>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</si>
  <si>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</si>
  <si>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</si>
  <si>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</si>
  <si>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</si>
  <si>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</si>
  <si>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</si>
  <si>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</si>
  <si>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</si>
  <si>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</si>
  <si>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</si>
  <si>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</si>
  <si>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</si>
  <si>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</si>
  <si>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</si>
  <si>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</si>
  <si>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</si>
  <si>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</si>
  <si>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</si>
  <si>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</si>
  <si>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</si>
  <si>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</si>
  <si>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</si>
  <si>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</si>
  <si>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</si>
  <si>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</si>
  <si>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</si>
  <si>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</si>
  <si>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</si>
  <si>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</si>
  <si>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</si>
  <si>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</si>
  <si>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</si>
  <si>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</si>
  <si>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</si>
  <si>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</si>
  <si>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</si>
  <si>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</si>
  <si>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</si>
  <si>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</si>
  <si>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</si>
  <si>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</si>
  <si>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</si>
  <si>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</si>
  <si>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</si>
  <si>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</si>
  <si>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</si>
  <si>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</si>
  <si>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</si>
  <si>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</si>
  <si>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</si>
  <si>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</si>
  <si>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</si>
  <si>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</si>
  <si>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</si>
  <si>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</si>
  <si>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</si>
  <si>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</si>
  <si>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</si>
  <si>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</si>
  <si>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</si>
  <si>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</si>
  <si>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</si>
  <si>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</si>
  <si>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</si>
  <si>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</si>
  <si>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</si>
  <si>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</si>
  <si>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</si>
  <si>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</si>
  <si>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</si>
  <si>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</si>
  <si>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</si>
  <si>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</si>
  <si>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</si>
  <si>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</si>
  <si>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</si>
  <si>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</si>
  <si>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</si>
  <si>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</si>
  <si>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</si>
  <si>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</si>
  <si>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</si>
  <si>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</si>
  <si>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</si>
  <si>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</si>
  <si>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</si>
  <si>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</si>
  <si>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</si>
  <si>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</si>
  <si>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</si>
  <si>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</si>
  <si>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</si>
  <si>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</si>
  <si>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</si>
  <si>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</si>
  <si>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</si>
  <si>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</si>
  <si>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</si>
  <si>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</si>
  <si>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</si>
  <si>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</si>
  <si>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</si>
  <si>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</si>
  <si>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</si>
  <si>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</si>
  <si>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</si>
  <si>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2014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</si>
  <si>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</si>
  <si>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</si>
  <si>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2013</t>
    </r>
  </si>
  <si>
    <r>
      <t xml:space="preserve">ACTUAL            </t>
    </r>
    <r>
      <rPr>
        <b/>
        <u/>
        <sz val="12"/>
        <rFont val="Arial"/>
        <family val="2"/>
      </rPr>
      <t>FY 2014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</si>
  <si>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</si>
  <si>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</si>
  <si>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</si>
  <si>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</si>
  <si>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</si>
  <si>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</si>
  <si>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</si>
  <si>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</si>
  <si>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</si>
  <si>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</si>
  <si>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</si>
  <si>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</si>
  <si>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</si>
  <si>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</si>
  <si>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</si>
  <si>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</si>
  <si>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</si>
  <si>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</si>
  <si>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</si>
  <si>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</si>
  <si>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</si>
  <si>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</si>
  <si>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</si>
  <si>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</si>
  <si>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</si>
  <si>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</si>
  <si>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</si>
  <si>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</si>
  <si>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</si>
  <si>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</si>
  <si>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</si>
  <si>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</si>
  <si>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</si>
  <si>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</si>
  <si>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</si>
  <si>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</si>
  <si>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</si>
  <si>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</si>
  <si>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</si>
  <si>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</si>
  <si>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</si>
  <si>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</si>
  <si>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</si>
  <si>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</si>
  <si>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</si>
  <si>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</si>
  <si>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</si>
  <si>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</si>
  <si>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</si>
  <si>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</si>
  <si>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</si>
  <si>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</si>
  <si>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</si>
  <si>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</si>
  <si>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</si>
  <si>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</si>
  <si>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</si>
  <si>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</si>
  <si>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</si>
  <si>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</si>
  <si>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</si>
  <si>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</si>
  <si>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</si>
  <si>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</si>
  <si>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</si>
  <si>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</si>
  <si>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</si>
  <si>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</si>
  <si>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</si>
  <si>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</si>
  <si>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</si>
  <si>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</si>
  <si>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</si>
  <si>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</si>
  <si>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</si>
  <si>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</si>
  <si>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</si>
  <si>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</si>
  <si>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</si>
  <si>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</si>
  <si>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</si>
  <si>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</si>
  <si>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</si>
  <si>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</si>
  <si>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</si>
  <si>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</si>
  <si>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</si>
  <si>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</si>
  <si>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</si>
  <si>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</si>
  <si>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</si>
  <si>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</si>
  <si>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</si>
  <si>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</si>
  <si>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</si>
  <si>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</si>
  <si>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</si>
  <si>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2014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</si>
  <si>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</si>
  <si>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</si>
  <si>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</si>
  <si>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</si>
  <si>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</si>
  <si>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</si>
  <si>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</si>
  <si>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</si>
  <si>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</si>
  <si>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</si>
  <si>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</si>
  <si>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</si>
  <si>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</si>
  <si>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</si>
  <si>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</si>
  <si>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</si>
  <si>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</si>
  <si>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</si>
  <si>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</si>
  <si>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</si>
  <si>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</si>
  <si>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</si>
  <si>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</si>
  <si>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</si>
  <si>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</si>
  <si>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</si>
  <si>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</si>
  <si>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</si>
  <si>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</si>
  <si>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</si>
  <si>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</si>
  <si>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</si>
  <si>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</si>
  <si>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</si>
  <si>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</si>
  <si>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</si>
  <si>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</si>
  <si>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</si>
  <si>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</si>
  <si>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</si>
  <si>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</si>
  <si>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</si>
  <si>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</si>
  <si>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</si>
  <si>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</si>
  <si>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</si>
  <si>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</si>
  <si>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</si>
  <si>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</si>
  <si>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</si>
  <si>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</si>
  <si>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</si>
  <si>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</si>
  <si>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</si>
  <si>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</si>
  <si>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2012</t>
    </r>
  </si>
  <si>
    <r>
      <t xml:space="preserve">ACTUAL          </t>
    </r>
    <r>
      <rPr>
        <b/>
        <u/>
        <sz val="14"/>
        <rFont val="Arial"/>
        <family val="2"/>
      </rPr>
      <t>FY 2013</t>
    </r>
  </si>
  <si>
    <r>
      <t xml:space="preserve">ACTUAL          </t>
    </r>
    <r>
      <rPr>
        <b/>
        <u/>
        <sz val="14"/>
        <rFont val="Arial"/>
        <family val="2"/>
      </rPr>
      <t>FY 2014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</si>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</sst>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6" xfId="7" applyFill="1" applyBorder="1" applyAlignment="1">
      <alignment horizontal="center"/>
    </xf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7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4" fillId="0" borderId="12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zoomScale="75" zoomScaleSheetLayoutView="75" workbookViewId="0">
      <selection sqref="A1:F1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27158493</v>
      </c>
      <c r="D13" s="22">
        <v>45140915</v>
      </c>
      <c r="E13" s="22">
        <f t="shared" ref="E13:E22" si="0">D13-C13</f>
        <v>17982422</v>
      </c>
      <c r="F13" s="23">
        <f t="shared" ref="F13:F22" si="1">IF(C13=0,0,E13/C13)</f>
        <v>0.66212885965358981</v>
      </c>
    </row>
    <row r="14" spans="1:8" ht="24" customHeight="1" x14ac:dyDescent="0.2">
      <c r="A14" s="20">
        <v>2</v>
      </c>
      <c r="B14" s="21" t="s">
        <v>17</v>
      </c>
      <c r="C14" s="22">
        <v>0</v>
      </c>
      <c r="D14" s="22">
        <v>0</v>
      </c>
      <c r="E14" s="22">
        <f t="shared" si="0"/>
        <v>0</v>
      </c>
      <c r="F14" s="23">
        <f t="shared" si="1"/>
        <v>0</v>
      </c>
    </row>
    <row r="15" spans="1:8" ht="24" customHeight="1" x14ac:dyDescent="0.2">
      <c r="A15" s="20">
        <v>3</v>
      </c>
      <c r="B15" s="21" t="s">
        <v>18</v>
      </c>
      <c r="C15" s="22">
        <v>27767137</v>
      </c>
      <c r="D15" s="22">
        <v>23724146</v>
      </c>
      <c r="E15" s="22">
        <f t="shared" si="0"/>
        <v>-4042991</v>
      </c>
      <c r="F15" s="23">
        <f t="shared" si="1"/>
        <v>-0.14560345202315961</v>
      </c>
    </row>
    <row r="16" spans="1:8" ht="24" customHeight="1" x14ac:dyDescent="0.2">
      <c r="A16" s="20">
        <v>4</v>
      </c>
      <c r="B16" s="21" t="s">
        <v>19</v>
      </c>
      <c r="C16" s="22">
        <v>0</v>
      </c>
      <c r="D16" s="22">
        <v>0</v>
      </c>
      <c r="E16" s="22">
        <f t="shared" si="0"/>
        <v>0</v>
      </c>
      <c r="F16" s="23">
        <f t="shared" si="1"/>
        <v>0</v>
      </c>
    </row>
    <row r="17" spans="1:11" ht="24" customHeight="1" x14ac:dyDescent="0.2">
      <c r="A17" s="20">
        <v>5</v>
      </c>
      <c r="B17" s="21" t="s">
        <v>20</v>
      </c>
      <c r="C17" s="22">
        <v>2663150</v>
      </c>
      <c r="D17" s="22">
        <v>387409</v>
      </c>
      <c r="E17" s="22">
        <f t="shared" si="0"/>
        <v>-2275741</v>
      </c>
      <c r="F17" s="23">
        <f t="shared" si="1"/>
        <v>-0.85452978615549258</v>
      </c>
    </row>
    <row r="18" spans="1:11" ht="24" customHeight="1" x14ac:dyDescent="0.2">
      <c r="A18" s="20">
        <v>6</v>
      </c>
      <c r="B18" s="21" t="s">
        <v>21</v>
      </c>
      <c r="C18" s="22">
        <v>1517735</v>
      </c>
      <c r="D18" s="22">
        <v>0</v>
      </c>
      <c r="E18" s="22">
        <f t="shared" si="0"/>
        <v>-1517735</v>
      </c>
      <c r="F18" s="23">
        <f t="shared" si="1"/>
        <v>-1</v>
      </c>
    </row>
    <row r="19" spans="1:11" ht="24" customHeight="1" x14ac:dyDescent="0.2">
      <c r="A19" s="20">
        <v>7</v>
      </c>
      <c r="B19" s="21" t="s">
        <v>22</v>
      </c>
      <c r="C19" s="22">
        <v>2719853</v>
      </c>
      <c r="D19" s="22">
        <v>3431508</v>
      </c>
      <c r="E19" s="22">
        <f t="shared" si="0"/>
        <v>711655</v>
      </c>
      <c r="F19" s="23">
        <f t="shared" si="1"/>
        <v>0.26165200839898334</v>
      </c>
    </row>
    <row r="20" spans="1:11" ht="24" customHeight="1" x14ac:dyDescent="0.2">
      <c r="A20" s="20">
        <v>8</v>
      </c>
      <c r="B20" s="21" t="s">
        <v>23</v>
      </c>
      <c r="C20" s="22">
        <v>4878472</v>
      </c>
      <c r="D20" s="22">
        <v>2245299</v>
      </c>
      <c r="E20" s="22">
        <f t="shared" si="0"/>
        <v>-2633173</v>
      </c>
      <c r="F20" s="23">
        <f t="shared" si="1"/>
        <v>-0.53975363597454284</v>
      </c>
    </row>
    <row r="21" spans="1:11" ht="24" customHeight="1" x14ac:dyDescent="0.2">
      <c r="A21" s="20">
        <v>9</v>
      </c>
      <c r="B21" s="21" t="s">
        <v>24</v>
      </c>
      <c r="C21" s="22">
        <v>6718647</v>
      </c>
      <c r="D21" s="22">
        <v>4746679</v>
      </c>
      <c r="E21" s="22">
        <f t="shared" si="0"/>
        <v>-1971968</v>
      </c>
      <c r="F21" s="23">
        <f t="shared" si="1"/>
        <v>-0.29350671347966339</v>
      </c>
    </row>
    <row r="22" spans="1:11" ht="24" customHeight="1" x14ac:dyDescent="0.25">
      <c r="A22" s="24"/>
      <c r="B22" s="25" t="s">
        <v>25</v>
      </c>
      <c r="C22" s="26">
        <f>SUM(C13:C21)</f>
        <v>73423487</v>
      </c>
      <c r="D22" s="26">
        <f>SUM(D13:D21)</f>
        <v>79675956</v>
      </c>
      <c r="E22" s="26">
        <f t="shared" si="0"/>
        <v>6252469</v>
      </c>
      <c r="F22" s="27">
        <f t="shared" si="1"/>
        <v>8.5156252521757791E-2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13953158</v>
      </c>
      <c r="D25" s="22">
        <v>14799538</v>
      </c>
      <c r="E25" s="22">
        <f>D25-C25</f>
        <v>846380</v>
      </c>
      <c r="F25" s="23">
        <f>IF(C25=0,0,E25/C25)</f>
        <v>6.0658669528432199E-2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0</v>
      </c>
      <c r="D26" s="22">
        <v>0</v>
      </c>
      <c r="E26" s="22">
        <f>D26-C26</f>
        <v>0</v>
      </c>
      <c r="F26" s="23">
        <f>IF(C26=0,0,E26/C26)</f>
        <v>0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6312325</v>
      </c>
      <c r="D27" s="22">
        <v>6307694</v>
      </c>
      <c r="E27" s="22">
        <f>D27-C27</f>
        <v>-4631</v>
      </c>
      <c r="F27" s="23">
        <f>IF(C27=0,0,E27/C27)</f>
        <v>-7.3364410102458289E-4</v>
      </c>
    </row>
    <row r="28" spans="1:11" ht="24" customHeight="1" x14ac:dyDescent="0.2">
      <c r="A28" s="20">
        <v>4</v>
      </c>
      <c r="B28" s="21" t="s">
        <v>31</v>
      </c>
      <c r="C28" s="22">
        <v>62809</v>
      </c>
      <c r="D28" s="22">
        <v>41986</v>
      </c>
      <c r="E28" s="22">
        <f>D28-C28</f>
        <v>-20823</v>
      </c>
      <c r="F28" s="23">
        <f>IF(C28=0,0,E28/C28)</f>
        <v>-0.33152892101450426</v>
      </c>
    </row>
    <row r="29" spans="1:11" ht="24" customHeight="1" x14ac:dyDescent="0.25">
      <c r="A29" s="24"/>
      <c r="B29" s="25" t="s">
        <v>32</v>
      </c>
      <c r="C29" s="26">
        <f>SUM(C25:C28)</f>
        <v>20328292</v>
      </c>
      <c r="D29" s="26">
        <f>SUM(D25:D28)</f>
        <v>21149218</v>
      </c>
      <c r="E29" s="26">
        <f>D29-C29</f>
        <v>820926</v>
      </c>
      <c r="F29" s="27">
        <f>IF(C29=0,0,E29/C29)</f>
        <v>4.0383422276696931E-2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38819627</v>
      </c>
      <c r="D31" s="22">
        <v>42123273</v>
      </c>
      <c r="E31" s="22">
        <f>D31-C31</f>
        <v>3303646</v>
      </c>
      <c r="F31" s="23">
        <f>IF(C31=0,0,E31/C31)</f>
        <v>8.510246633745347E-2</v>
      </c>
    </row>
    <row r="32" spans="1:11" ht="24" customHeight="1" x14ac:dyDescent="0.2">
      <c r="A32" s="20">
        <v>6</v>
      </c>
      <c r="B32" s="21" t="s">
        <v>34</v>
      </c>
      <c r="C32" s="22">
        <v>0</v>
      </c>
      <c r="D32" s="22">
        <v>0</v>
      </c>
      <c r="E32" s="22">
        <f>D32-C32</f>
        <v>0</v>
      </c>
      <c r="F32" s="23">
        <f>IF(C32=0,0,E32/C32)</f>
        <v>0</v>
      </c>
    </row>
    <row r="33" spans="1:8" ht="24" customHeight="1" x14ac:dyDescent="0.2">
      <c r="A33" s="20">
        <v>7</v>
      </c>
      <c r="B33" s="21" t="s">
        <v>35</v>
      </c>
      <c r="C33" s="22">
        <v>18517286</v>
      </c>
      <c r="D33" s="22">
        <v>18463116</v>
      </c>
      <c r="E33" s="22">
        <f>D33-C33</f>
        <v>-54170</v>
      </c>
      <c r="F33" s="23">
        <f>IF(C33=0,0,E33/C33)</f>
        <v>-2.9253747012386155E-3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252854982</v>
      </c>
      <c r="D36" s="22">
        <v>260616400</v>
      </c>
      <c r="E36" s="22">
        <f>D36-C36</f>
        <v>7761418</v>
      </c>
      <c r="F36" s="23">
        <f>IF(C36=0,0,E36/C36)</f>
        <v>3.0695135759674294E-2</v>
      </c>
    </row>
    <row r="37" spans="1:8" ht="24" customHeight="1" x14ac:dyDescent="0.2">
      <c r="A37" s="20">
        <v>2</v>
      </c>
      <c r="B37" s="21" t="s">
        <v>39</v>
      </c>
      <c r="C37" s="22">
        <v>132718605</v>
      </c>
      <c r="D37" s="22">
        <v>145547861</v>
      </c>
      <c r="E37" s="22">
        <f>D37-C37</f>
        <v>12829256</v>
      </c>
      <c r="F37" s="23">
        <f>IF(C37=0,0,E37/C37)</f>
        <v>9.6665090776082221E-2</v>
      </c>
    </row>
    <row r="38" spans="1:8" ht="24" customHeight="1" x14ac:dyDescent="0.25">
      <c r="A38" s="24"/>
      <c r="B38" s="25" t="s">
        <v>40</v>
      </c>
      <c r="C38" s="26">
        <f>C36-C37</f>
        <v>120136377</v>
      </c>
      <c r="D38" s="26">
        <f>D36-D37</f>
        <v>115068539</v>
      </c>
      <c r="E38" s="26">
        <f>D38-C38</f>
        <v>-5067838</v>
      </c>
      <c r="F38" s="27">
        <f>IF(C38=0,0,E38/C38)</f>
        <v>-4.2184042223946873E-2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1879662</v>
      </c>
      <c r="D40" s="22">
        <v>584432</v>
      </c>
      <c r="E40" s="22">
        <f>D40-C40</f>
        <v>-1295230</v>
      </c>
      <c r="F40" s="23">
        <f>IF(C40=0,0,E40/C40)</f>
        <v>-0.68907601473030788</v>
      </c>
    </row>
    <row r="41" spans="1:8" ht="24" customHeight="1" x14ac:dyDescent="0.25">
      <c r="A41" s="24"/>
      <c r="B41" s="25" t="s">
        <v>42</v>
      </c>
      <c r="C41" s="26">
        <f>+C38+C40</f>
        <v>122016039</v>
      </c>
      <c r="D41" s="26">
        <f>+D38+D40</f>
        <v>115652971</v>
      </c>
      <c r="E41" s="26">
        <f>D41-C41</f>
        <v>-6363068</v>
      </c>
      <c r="F41" s="27">
        <f>IF(C41=0,0,E41/C41)</f>
        <v>-5.2149439140537907E-2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273104731</v>
      </c>
      <c r="D43" s="26">
        <f>D22+D29+D31+D32+D33+D41</f>
        <v>277064534</v>
      </c>
      <c r="E43" s="26">
        <f>D43-C43</f>
        <v>3959803</v>
      </c>
      <c r="F43" s="27">
        <f>IF(C43=0,0,E43/C43)</f>
        <v>1.4499210561094234E-2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12841942</v>
      </c>
      <c r="D49" s="22">
        <v>2689312</v>
      </c>
      <c r="E49" s="22">
        <f t="shared" ref="E49:E56" si="2">D49-C49</f>
        <v>-10152630</v>
      </c>
      <c r="F49" s="23">
        <f t="shared" ref="F49:F56" si="3">IF(C49=0,0,E49/C49)</f>
        <v>-0.79058369832226305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9070645</v>
      </c>
      <c r="D50" s="22">
        <v>7004880</v>
      </c>
      <c r="E50" s="22">
        <f t="shared" si="2"/>
        <v>-2065765</v>
      </c>
      <c r="F50" s="23">
        <f t="shared" si="3"/>
        <v>-0.2277417978545076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0</v>
      </c>
      <c r="D51" s="22">
        <v>4070103</v>
      </c>
      <c r="E51" s="22">
        <f t="shared" si="2"/>
        <v>4070103</v>
      </c>
      <c r="F51" s="23">
        <f t="shared" si="3"/>
        <v>0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1445398</v>
      </c>
      <c r="D52" s="22">
        <v>3582982</v>
      </c>
      <c r="E52" s="22">
        <f t="shared" si="2"/>
        <v>2137584</v>
      </c>
      <c r="F52" s="23">
        <f t="shared" si="3"/>
        <v>1.478889551528368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669578</v>
      </c>
      <c r="D53" s="22">
        <v>757808</v>
      </c>
      <c r="E53" s="22">
        <f t="shared" si="2"/>
        <v>88230</v>
      </c>
      <c r="F53" s="23">
        <f t="shared" si="3"/>
        <v>0.13176956232134271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0</v>
      </c>
      <c r="D54" s="22">
        <v>0</v>
      </c>
      <c r="E54" s="22">
        <f t="shared" si="2"/>
        <v>0</v>
      </c>
      <c r="F54" s="23">
        <f t="shared" si="3"/>
        <v>0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6458439</v>
      </c>
      <c r="D55" s="22">
        <v>8394597</v>
      </c>
      <c r="E55" s="22">
        <f t="shared" si="2"/>
        <v>1936158</v>
      </c>
      <c r="F55" s="23">
        <f t="shared" si="3"/>
        <v>0.29978730154453731</v>
      </c>
    </row>
    <row r="56" spans="1:6" ht="24" customHeight="1" x14ac:dyDescent="0.25">
      <c r="A56" s="24"/>
      <c r="B56" s="25" t="s">
        <v>54</v>
      </c>
      <c r="C56" s="26">
        <f>SUM(C49:C55)</f>
        <v>30486002</v>
      </c>
      <c r="D56" s="26">
        <f>SUM(D49:D55)</f>
        <v>26499682</v>
      </c>
      <c r="E56" s="26">
        <f t="shared" si="2"/>
        <v>-3986320</v>
      </c>
      <c r="F56" s="27">
        <f t="shared" si="3"/>
        <v>-0.13075902835668646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87806192</v>
      </c>
      <c r="D59" s="22">
        <v>86762098</v>
      </c>
      <c r="E59" s="22">
        <f>D59-C59</f>
        <v>-1044094</v>
      </c>
      <c r="F59" s="23">
        <f>IF(C59=0,0,E59/C59)</f>
        <v>-1.1890892614953625E-2</v>
      </c>
    </row>
    <row r="60" spans="1:6" ht="24" customHeight="1" x14ac:dyDescent="0.2">
      <c r="A60" s="20">
        <v>2</v>
      </c>
      <c r="B60" s="21" t="s">
        <v>57</v>
      </c>
      <c r="C60" s="22">
        <v>0</v>
      </c>
      <c r="D60" s="22">
        <v>0</v>
      </c>
      <c r="E60" s="22">
        <f>D60-C60</f>
        <v>0</v>
      </c>
      <c r="F60" s="23">
        <f>IF(C60=0,0,E60/C60)</f>
        <v>0</v>
      </c>
    </row>
    <row r="61" spans="1:6" ht="24" customHeight="1" x14ac:dyDescent="0.25">
      <c r="A61" s="24"/>
      <c r="B61" s="25" t="s">
        <v>58</v>
      </c>
      <c r="C61" s="26">
        <f>SUM(C59:C60)</f>
        <v>87806192</v>
      </c>
      <c r="D61" s="26">
        <f>SUM(D59:D60)</f>
        <v>86762098</v>
      </c>
      <c r="E61" s="26">
        <f>D61-C61</f>
        <v>-1044094</v>
      </c>
      <c r="F61" s="27">
        <f>IF(C61=0,0,E61/C61)</f>
        <v>-1.1890892614953625E-2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18941059</v>
      </c>
      <c r="D63" s="22">
        <v>34688717</v>
      </c>
      <c r="E63" s="22">
        <f>D63-C63</f>
        <v>15747658</v>
      </c>
      <c r="F63" s="23">
        <f>IF(C63=0,0,E63/C63)</f>
        <v>0.8314032494170468</v>
      </c>
    </row>
    <row r="64" spans="1:6" ht="24" customHeight="1" x14ac:dyDescent="0.2">
      <c r="A64" s="20">
        <v>4</v>
      </c>
      <c r="B64" s="21" t="s">
        <v>60</v>
      </c>
      <c r="C64" s="22">
        <v>22285452</v>
      </c>
      <c r="D64" s="22">
        <v>21672445</v>
      </c>
      <c r="E64" s="22">
        <f>D64-C64</f>
        <v>-613007</v>
      </c>
      <c r="F64" s="23">
        <f>IF(C64=0,0,E64/C64)</f>
        <v>-2.7507048095771178E-2</v>
      </c>
    </row>
    <row r="65" spans="1:6" ht="24" customHeight="1" x14ac:dyDescent="0.25">
      <c r="A65" s="24"/>
      <c r="B65" s="25" t="s">
        <v>61</v>
      </c>
      <c r="C65" s="26">
        <f>SUM(C61:C64)</f>
        <v>129032703</v>
      </c>
      <c r="D65" s="26">
        <f>SUM(D61:D64)</f>
        <v>143123260</v>
      </c>
      <c r="E65" s="26">
        <f>D65-C65</f>
        <v>14090557</v>
      </c>
      <c r="F65" s="27">
        <f>IF(C65=0,0,E65/C65)</f>
        <v>0.10920144019613384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96806371</v>
      </c>
      <c r="D70" s="22">
        <v>89763992</v>
      </c>
      <c r="E70" s="22">
        <f>D70-C70</f>
        <v>-7042379</v>
      </c>
      <c r="F70" s="23">
        <f>IF(C70=0,0,E70/C70)</f>
        <v>-7.2747061244553837E-2</v>
      </c>
    </row>
    <row r="71" spans="1:6" ht="24" customHeight="1" x14ac:dyDescent="0.2">
      <c r="A71" s="20">
        <v>2</v>
      </c>
      <c r="B71" s="21" t="s">
        <v>65</v>
      </c>
      <c r="C71" s="22">
        <v>2047687</v>
      </c>
      <c r="D71" s="22">
        <v>2099252</v>
      </c>
      <c r="E71" s="22">
        <f>D71-C71</f>
        <v>51565</v>
      </c>
      <c r="F71" s="23">
        <f>IF(C71=0,0,E71/C71)</f>
        <v>2.5182071283355319E-2</v>
      </c>
    </row>
    <row r="72" spans="1:6" ht="24" customHeight="1" x14ac:dyDescent="0.2">
      <c r="A72" s="20">
        <v>3</v>
      </c>
      <c r="B72" s="21" t="s">
        <v>66</v>
      </c>
      <c r="C72" s="22">
        <v>14731968</v>
      </c>
      <c r="D72" s="22">
        <v>15578348</v>
      </c>
      <c r="E72" s="22">
        <f>D72-C72</f>
        <v>846380</v>
      </c>
      <c r="F72" s="23">
        <f>IF(C72=0,0,E72/C72)</f>
        <v>5.7451930387033154E-2</v>
      </c>
    </row>
    <row r="73" spans="1:6" ht="24" customHeight="1" x14ac:dyDescent="0.25">
      <c r="A73" s="20"/>
      <c r="B73" s="25" t="s">
        <v>67</v>
      </c>
      <c r="C73" s="26">
        <f>SUM(C70:C72)</f>
        <v>113586026</v>
      </c>
      <c r="D73" s="26">
        <f>SUM(D70:D72)</f>
        <v>107441592</v>
      </c>
      <c r="E73" s="26">
        <f>D73-C73</f>
        <v>-6144434</v>
      </c>
      <c r="F73" s="27">
        <f>IF(C73=0,0,E73/C73)</f>
        <v>-5.4094981718966026E-2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273104731</v>
      </c>
      <c r="D75" s="26">
        <f>D56+D65+D67+D73</f>
        <v>277064534</v>
      </c>
      <c r="E75" s="26">
        <f>D75-C75</f>
        <v>3959803</v>
      </c>
      <c r="F75" s="27">
        <f>IF(C75=0,0,E75/C75)</f>
        <v>1.4499210561094234E-2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FILING&amp;RMIDSTATE MEDICAL CENTER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zoomScale="70" zoomScaleSheetLayoutView="75" workbookViewId="0">
      <selection activeCell="E80" sqref="E80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218353748</v>
      </c>
      <c r="D11" s="76">
        <v>217746204</v>
      </c>
      <c r="E11" s="76">
        <v>219132186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42214373</v>
      </c>
      <c r="D12" s="185">
        <v>19139869</v>
      </c>
      <c r="E12" s="185">
        <v>16164177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260568121</v>
      </c>
      <c r="D13" s="76">
        <f>+D11+D12</f>
        <v>236886073</v>
      </c>
      <c r="E13" s="76">
        <f>+E11+E12</f>
        <v>235296363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244146156</v>
      </c>
      <c r="D14" s="185">
        <v>222912485</v>
      </c>
      <c r="E14" s="185">
        <v>216614845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16421965</v>
      </c>
      <c r="D15" s="76">
        <f>+D13-D14</f>
        <v>13973588</v>
      </c>
      <c r="E15" s="76">
        <f>+E13-E14</f>
        <v>18681518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1222491</v>
      </c>
      <c r="D16" s="185">
        <v>4228077</v>
      </c>
      <c r="E16" s="185">
        <v>3147295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17644456</v>
      </c>
      <c r="D17" s="76">
        <f>D15+D16</f>
        <v>18201665</v>
      </c>
      <c r="E17" s="76">
        <f>E15+E16</f>
        <v>21828813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6.2729388477841985E-2</v>
      </c>
      <c r="D20" s="189">
        <f>IF(+D27=0,0,+D24/+D27)</f>
        <v>5.7954242834773489E-2</v>
      </c>
      <c r="E20" s="189">
        <f>IF(+E27=0,0,+E24/+E27)</f>
        <v>7.834772439198194E-2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4.6697281871971785E-3</v>
      </c>
      <c r="D21" s="189">
        <f>IF(+D27=0,0,+D26/+D27)</f>
        <v>1.7535582212823263E-2</v>
      </c>
      <c r="E21" s="189">
        <f>IF(+E27=0,0,+E26/+E27)</f>
        <v>1.3199323590313315E-2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6.7399116665039158E-2</v>
      </c>
      <c r="D22" s="189">
        <f>IF(+D27=0,0,+D28/+D27)</f>
        <v>7.5489825047596756E-2</v>
      </c>
      <c r="E22" s="189">
        <f>IF(+E27=0,0,+E28/+E27)</f>
        <v>9.1547047982295252E-2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16421965</v>
      </c>
      <c r="D24" s="76">
        <f>+D15</f>
        <v>13973588</v>
      </c>
      <c r="E24" s="76">
        <f>+E15</f>
        <v>18681518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260568121</v>
      </c>
      <c r="D25" s="76">
        <f>+D13</f>
        <v>236886073</v>
      </c>
      <c r="E25" s="76">
        <f>+E13</f>
        <v>235296363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1222491</v>
      </c>
      <c r="D26" s="76">
        <f>+D16</f>
        <v>4228077</v>
      </c>
      <c r="E26" s="76">
        <f>+E16</f>
        <v>3147295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261790612</v>
      </c>
      <c r="D27" s="76">
        <f>SUM(D25:D26)</f>
        <v>241114150</v>
      </c>
      <c r="E27" s="76">
        <f>SUM(E25:E26)</f>
        <v>238443658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17644456</v>
      </c>
      <c r="D28" s="76">
        <f>+D17</f>
        <v>18201665</v>
      </c>
      <c r="E28" s="76">
        <f>+E17</f>
        <v>21828813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74346080</v>
      </c>
      <c r="D31" s="76">
        <v>95882676</v>
      </c>
      <c r="E31" s="76">
        <v>89335239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90626958</v>
      </c>
      <c r="D32" s="76">
        <v>112662331</v>
      </c>
      <c r="E32" s="76">
        <v>107012839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18223683</v>
      </c>
      <c r="D33" s="76">
        <f>+D32-C32</f>
        <v>22035373</v>
      </c>
      <c r="E33" s="76">
        <f>+E32-D32</f>
        <v>-5649492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1.2516</v>
      </c>
      <c r="D34" s="193">
        <f>IF(C32=0,0,+D33/C32)</f>
        <v>0.24314369020308504</v>
      </c>
      <c r="E34" s="193">
        <f>IF(D32=0,0,+E33/D32)</f>
        <v>-5.014534982415729E-2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3.1116944665202673</v>
      </c>
      <c r="D38" s="338">
        <f>IF(+D40=0,0,+D39/+D40)</f>
        <v>2.4368957312547885</v>
      </c>
      <c r="E38" s="338">
        <f>IF(+E40=0,0,+E39/+E40)</f>
        <v>3.0115133386738355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93915090</v>
      </c>
      <c r="D39" s="341">
        <v>75535375</v>
      </c>
      <c r="E39" s="341">
        <v>81182916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30181334</v>
      </c>
      <c r="D40" s="341">
        <v>30996556</v>
      </c>
      <c r="E40" s="341">
        <v>26957515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75.82377578139608</v>
      </c>
      <c r="D42" s="343">
        <f>IF((D48/365)=0,0,+D45/(D48/365))</f>
        <v>49.570448578853323</v>
      </c>
      <c r="E42" s="343">
        <f>IF((E48/365)=0,0,+E45/(E48/365))</f>
        <v>82.244411468389288</v>
      </c>
    </row>
    <row r="43" spans="1:14" ht="24" customHeight="1" x14ac:dyDescent="0.2">
      <c r="A43" s="339">
        <v>5</v>
      </c>
      <c r="B43" s="344" t="s">
        <v>16</v>
      </c>
      <c r="C43" s="345">
        <v>47972840</v>
      </c>
      <c r="D43" s="345">
        <v>28465876</v>
      </c>
      <c r="E43" s="345">
        <v>45862697</v>
      </c>
    </row>
    <row r="44" spans="1:14" ht="24" customHeight="1" x14ac:dyDescent="0.2">
      <c r="A44" s="339">
        <v>6</v>
      </c>
      <c r="B44" s="346" t="s">
        <v>17</v>
      </c>
      <c r="C44" s="345">
        <v>0</v>
      </c>
      <c r="D44" s="345">
        <v>0</v>
      </c>
      <c r="E44" s="345">
        <v>0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47972840</v>
      </c>
      <c r="D45" s="341">
        <f>+D43+D44</f>
        <v>28465876</v>
      </c>
      <c r="E45" s="341">
        <f>+E43+E44</f>
        <v>45862697</v>
      </c>
    </row>
    <row r="46" spans="1:14" ht="24" customHeight="1" x14ac:dyDescent="0.2">
      <c r="A46" s="339">
        <v>8</v>
      </c>
      <c r="B46" s="340" t="s">
        <v>334</v>
      </c>
      <c r="C46" s="341">
        <f>+C14</f>
        <v>244146156</v>
      </c>
      <c r="D46" s="341">
        <f>+D14</f>
        <v>222912485</v>
      </c>
      <c r="E46" s="341">
        <f>+E14</f>
        <v>216614845</v>
      </c>
    </row>
    <row r="47" spans="1:14" ht="24" customHeight="1" x14ac:dyDescent="0.2">
      <c r="A47" s="339">
        <v>9</v>
      </c>
      <c r="B47" s="340" t="s">
        <v>356</v>
      </c>
      <c r="C47" s="341">
        <v>13214810</v>
      </c>
      <c r="D47" s="341">
        <v>13310897</v>
      </c>
      <c r="E47" s="341">
        <v>13076585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230931346</v>
      </c>
      <c r="D48" s="341">
        <f>+D46-D47</f>
        <v>209601588</v>
      </c>
      <c r="E48" s="341">
        <f>+E46-E47</f>
        <v>203538260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36.081846394502925</v>
      </c>
      <c r="D50" s="350">
        <f>IF((D55/365)=0,0,+D54/(D55/365))</f>
        <v>49.089160149032956</v>
      </c>
      <c r="E50" s="350">
        <f>IF((E55/365)=0,0,+E54/(E55/365))</f>
        <v>32.736978651780525</v>
      </c>
    </row>
    <row r="51" spans="1:5" ht="24" customHeight="1" x14ac:dyDescent="0.2">
      <c r="A51" s="339">
        <v>12</v>
      </c>
      <c r="B51" s="344" t="s">
        <v>359</v>
      </c>
      <c r="C51" s="351">
        <v>25147640</v>
      </c>
      <c r="D51" s="351">
        <v>27767137</v>
      </c>
      <c r="E51" s="351">
        <v>23724146</v>
      </c>
    </row>
    <row r="52" spans="1:5" ht="24" customHeight="1" x14ac:dyDescent="0.2">
      <c r="A52" s="339">
        <v>13</v>
      </c>
      <c r="B52" s="344" t="s">
        <v>21</v>
      </c>
      <c r="C52" s="341">
        <v>0</v>
      </c>
      <c r="D52" s="341">
        <v>1517735</v>
      </c>
      <c r="E52" s="341">
        <v>0</v>
      </c>
    </row>
    <row r="53" spans="1:5" ht="24" customHeight="1" x14ac:dyDescent="0.2">
      <c r="A53" s="339">
        <v>14</v>
      </c>
      <c r="B53" s="344" t="s">
        <v>49</v>
      </c>
      <c r="C53" s="341">
        <v>3562417</v>
      </c>
      <c r="D53" s="341">
        <v>0</v>
      </c>
      <c r="E53" s="341">
        <v>4070103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21585223</v>
      </c>
      <c r="D54" s="352">
        <f>+D51+D52-D53</f>
        <v>29284872</v>
      </c>
      <c r="E54" s="352">
        <f>+E51+E52-E53</f>
        <v>19654043</v>
      </c>
    </row>
    <row r="55" spans="1:5" ht="24" customHeight="1" x14ac:dyDescent="0.2">
      <c r="A55" s="339">
        <v>16</v>
      </c>
      <c r="B55" s="340" t="s">
        <v>75</v>
      </c>
      <c r="C55" s="341">
        <f>+C11</f>
        <v>218353748</v>
      </c>
      <c r="D55" s="341">
        <f>+D11</f>
        <v>217746204</v>
      </c>
      <c r="E55" s="341">
        <f>+E11</f>
        <v>219132186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47.70329840800391</v>
      </c>
      <c r="D57" s="355">
        <f>IF((D61/365)=0,0,+D58/(D61/365))</f>
        <v>53.977372251588093</v>
      </c>
      <c r="E57" s="355">
        <f>IF((E61/365)=0,0,+E58/(E61/365))</f>
        <v>48.342228016491845</v>
      </c>
    </row>
    <row r="58" spans="1:5" ht="24" customHeight="1" x14ac:dyDescent="0.2">
      <c r="A58" s="339">
        <v>18</v>
      </c>
      <c r="B58" s="340" t="s">
        <v>54</v>
      </c>
      <c r="C58" s="353">
        <f>+C40</f>
        <v>30181334</v>
      </c>
      <c r="D58" s="353">
        <f>+D40</f>
        <v>30996556</v>
      </c>
      <c r="E58" s="353">
        <f>+E40</f>
        <v>26957515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244146156</v>
      </c>
      <c r="D59" s="353">
        <f t="shared" si="0"/>
        <v>222912485</v>
      </c>
      <c r="E59" s="353">
        <f t="shared" si="0"/>
        <v>216614845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13214810</v>
      </c>
      <c r="D60" s="356">
        <f t="shared" si="0"/>
        <v>13310897</v>
      </c>
      <c r="E60" s="356">
        <f t="shared" si="0"/>
        <v>13076585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230931346</v>
      </c>
      <c r="D61" s="353">
        <f>+D59-D60</f>
        <v>209601588</v>
      </c>
      <c r="E61" s="353">
        <f>+E59-E60</f>
        <v>203538260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30.910467531960972</v>
      </c>
      <c r="D65" s="357">
        <f>IF(D67=0,0,(D66/D67)*100)</f>
        <v>41.252125496870768</v>
      </c>
      <c r="E65" s="357">
        <f>IF(E67=0,0,(E66/E67)*100)</f>
        <v>38.570831284428671</v>
      </c>
    </row>
    <row r="66" spans="1:5" ht="24" customHeight="1" x14ac:dyDescent="0.2">
      <c r="A66" s="339">
        <v>2</v>
      </c>
      <c r="B66" s="340" t="s">
        <v>67</v>
      </c>
      <c r="C66" s="353">
        <f>+C32</f>
        <v>90626958</v>
      </c>
      <c r="D66" s="353">
        <f>+D32</f>
        <v>112662331</v>
      </c>
      <c r="E66" s="353">
        <f>+E32</f>
        <v>107012839</v>
      </c>
    </row>
    <row r="67" spans="1:5" ht="24" customHeight="1" x14ac:dyDescent="0.2">
      <c r="A67" s="339">
        <v>3</v>
      </c>
      <c r="B67" s="340" t="s">
        <v>43</v>
      </c>
      <c r="C67" s="353">
        <v>293191806</v>
      </c>
      <c r="D67" s="353">
        <v>273106730</v>
      </c>
      <c r="E67" s="353">
        <v>277444990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25.951205577801908</v>
      </c>
      <c r="D69" s="357">
        <f>IF(D75=0,0,(D72/D75)*100)</f>
        <v>26.525112028553416</v>
      </c>
      <c r="E69" s="357">
        <f>IF(E75=0,0,(E72/E75)*100)</f>
        <v>30.694263794232224</v>
      </c>
    </row>
    <row r="70" spans="1:5" ht="24" customHeight="1" x14ac:dyDescent="0.2">
      <c r="A70" s="339">
        <v>5</v>
      </c>
      <c r="B70" s="340" t="s">
        <v>366</v>
      </c>
      <c r="C70" s="353">
        <f>+C28</f>
        <v>17644456</v>
      </c>
      <c r="D70" s="353">
        <f>+D28</f>
        <v>18201665</v>
      </c>
      <c r="E70" s="353">
        <f>+E28</f>
        <v>21828813</v>
      </c>
    </row>
    <row r="71" spans="1:5" ht="24" customHeight="1" x14ac:dyDescent="0.2">
      <c r="A71" s="339">
        <v>6</v>
      </c>
      <c r="B71" s="340" t="s">
        <v>356</v>
      </c>
      <c r="C71" s="356">
        <f>+C47</f>
        <v>13214810</v>
      </c>
      <c r="D71" s="356">
        <f>+D47</f>
        <v>13310897</v>
      </c>
      <c r="E71" s="356">
        <f>+E47</f>
        <v>13076585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30859266</v>
      </c>
      <c r="D72" s="353">
        <f>+D70+D71</f>
        <v>31512562</v>
      </c>
      <c r="E72" s="353">
        <f>+E70+E71</f>
        <v>34905398</v>
      </c>
    </row>
    <row r="73" spans="1:5" ht="24" customHeight="1" x14ac:dyDescent="0.2">
      <c r="A73" s="339">
        <v>8</v>
      </c>
      <c r="B73" s="340" t="s">
        <v>54</v>
      </c>
      <c r="C73" s="341">
        <f>+C40</f>
        <v>30181334</v>
      </c>
      <c r="D73" s="341">
        <f>+D40</f>
        <v>30996556</v>
      </c>
      <c r="E73" s="341">
        <f>+E40</f>
        <v>26957515</v>
      </c>
    </row>
    <row r="74" spans="1:5" ht="24" customHeight="1" x14ac:dyDescent="0.2">
      <c r="A74" s="339">
        <v>9</v>
      </c>
      <c r="B74" s="340" t="s">
        <v>58</v>
      </c>
      <c r="C74" s="353">
        <v>88731315</v>
      </c>
      <c r="D74" s="353">
        <v>87806192</v>
      </c>
      <c r="E74" s="353">
        <v>86762098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118912649</v>
      </c>
      <c r="D75" s="341">
        <f>+D73+D74</f>
        <v>118802748</v>
      </c>
      <c r="E75" s="341">
        <f>+E73+E74</f>
        <v>113719613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49.471548491103057</v>
      </c>
      <c r="D77" s="359">
        <f>IF(D80=0,0,(D78/D80)*100)</f>
        <v>43.800488319056456</v>
      </c>
      <c r="E77" s="359">
        <f>IF(E80=0,0,(E78/E80)*100)</f>
        <v>44.774674859009245</v>
      </c>
    </row>
    <row r="78" spans="1:5" ht="24" customHeight="1" x14ac:dyDescent="0.2">
      <c r="A78" s="339">
        <v>12</v>
      </c>
      <c r="B78" s="340" t="s">
        <v>58</v>
      </c>
      <c r="C78" s="341">
        <f>+C74</f>
        <v>88731315</v>
      </c>
      <c r="D78" s="341">
        <f>+D74</f>
        <v>87806192</v>
      </c>
      <c r="E78" s="341">
        <f>+E74</f>
        <v>86762098</v>
      </c>
    </row>
    <row r="79" spans="1:5" ht="24" customHeight="1" x14ac:dyDescent="0.2">
      <c r="A79" s="339">
        <v>13</v>
      </c>
      <c r="B79" s="340" t="s">
        <v>67</v>
      </c>
      <c r="C79" s="341">
        <f>+C32</f>
        <v>90626958</v>
      </c>
      <c r="D79" s="341">
        <f>+D32</f>
        <v>112662331</v>
      </c>
      <c r="E79" s="341">
        <f>+E32</f>
        <v>107012839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179358273</v>
      </c>
      <c r="D80" s="341">
        <f>+D78+D79</f>
        <v>200468523</v>
      </c>
      <c r="E80" s="341">
        <f>+E78+E79</f>
        <v>193774937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73" fitToHeight="0" orientation="portrait" horizontalDpi="1200" verticalDpi="1200" r:id="rId1"/>
  <headerFooter>
    <oddHeader>_x000D_
                &amp;L&amp;8OFFICE OF HEALTH CARE ACCESS&amp;C&amp;8TWELVE MONTHS ACTUAL FILING&amp;R&amp;8MIDSTATE MEDICAL CENTER AND SUBSIDIARIES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75" zoomScaleSheetLayoutView="75" workbookViewId="0">
      <selection activeCell="C8" sqref="C8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31136</v>
      </c>
      <c r="D11" s="376">
        <v>7228</v>
      </c>
      <c r="E11" s="376">
        <v>7228</v>
      </c>
      <c r="F11" s="377">
        <v>102</v>
      </c>
      <c r="G11" s="377">
        <v>116</v>
      </c>
      <c r="H11" s="378">
        <f>IF(F11=0,0,$C11/(F11*365))</f>
        <v>0.83631479989255975</v>
      </c>
      <c r="I11" s="378">
        <f>IF(G11=0,0,$C11/(G11*365))</f>
        <v>0.73538025507794047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1773</v>
      </c>
      <c r="D13" s="376">
        <v>578</v>
      </c>
      <c r="E13" s="376">
        <v>0</v>
      </c>
      <c r="F13" s="377">
        <v>7</v>
      </c>
      <c r="G13" s="377">
        <v>9</v>
      </c>
      <c r="H13" s="378">
        <f>IF(F13=0,0,$C13/(F13*365))</f>
        <v>0.69393346379647747</v>
      </c>
      <c r="I13" s="378">
        <f>IF(G13=0,0,$C13/(G13*365))</f>
        <v>0.53972602739726028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0</v>
      </c>
      <c r="D15" s="376">
        <v>0</v>
      </c>
      <c r="E15" s="376">
        <v>0</v>
      </c>
      <c r="F15" s="377">
        <v>0</v>
      </c>
      <c r="G15" s="377">
        <v>0</v>
      </c>
      <c r="H15" s="378">
        <f t="shared" ref="H15:I17" si="0">IF(F15=0,0,$C15/(F15*365))</f>
        <v>0</v>
      </c>
      <c r="I15" s="378">
        <f t="shared" si="0"/>
        <v>0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2038</v>
      </c>
      <c r="D16" s="376">
        <v>179</v>
      </c>
      <c r="E16" s="376">
        <v>179</v>
      </c>
      <c r="F16" s="377">
        <v>6</v>
      </c>
      <c r="G16" s="377">
        <v>6</v>
      </c>
      <c r="H16" s="378">
        <f t="shared" si="0"/>
        <v>0.9305936073059361</v>
      </c>
      <c r="I16" s="378">
        <f t="shared" si="0"/>
        <v>0.9305936073059361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2038</v>
      </c>
      <c r="D17" s="381">
        <f>SUM(D15:D16)</f>
        <v>179</v>
      </c>
      <c r="E17" s="381">
        <f>SUM(E15:E16)</f>
        <v>179</v>
      </c>
      <c r="F17" s="381">
        <f>SUM(F15:F16)</f>
        <v>6</v>
      </c>
      <c r="G17" s="381">
        <f>SUM(G15:G16)</f>
        <v>6</v>
      </c>
      <c r="H17" s="382">
        <f t="shared" si="0"/>
        <v>0.9305936073059361</v>
      </c>
      <c r="I17" s="382">
        <f t="shared" si="0"/>
        <v>0.9305936073059361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0</v>
      </c>
      <c r="D19" s="376">
        <v>0</v>
      </c>
      <c r="E19" s="376">
        <v>0</v>
      </c>
      <c r="F19" s="377">
        <v>0</v>
      </c>
      <c r="G19" s="377">
        <v>0</v>
      </c>
      <c r="H19" s="378">
        <f>IF(F19=0,0,$C19/(F19*365))</f>
        <v>0</v>
      </c>
      <c r="I19" s="378">
        <f>IF(G19=0,0,$C19/(G19*365))</f>
        <v>0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2335</v>
      </c>
      <c r="D21" s="376">
        <v>941</v>
      </c>
      <c r="E21" s="376">
        <v>941</v>
      </c>
      <c r="F21" s="377">
        <v>10</v>
      </c>
      <c r="G21" s="377">
        <v>13</v>
      </c>
      <c r="H21" s="378">
        <f>IF(F21=0,0,$C21/(F21*365))</f>
        <v>0.63972602739726026</v>
      </c>
      <c r="I21" s="378">
        <f>IF(G21=0,0,$C21/(G21*365))</f>
        <v>0.49209694415173866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2210</v>
      </c>
      <c r="D23" s="376">
        <v>936</v>
      </c>
      <c r="E23" s="376">
        <v>936</v>
      </c>
      <c r="F23" s="377">
        <v>10</v>
      </c>
      <c r="G23" s="377">
        <v>12</v>
      </c>
      <c r="H23" s="378">
        <f>IF(F23=0,0,$C23/(F23*365))</f>
        <v>0.60547945205479448</v>
      </c>
      <c r="I23" s="378">
        <f>IF(G23=0,0,$C23/(G23*365))</f>
        <v>0.50456621004566216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0</v>
      </c>
      <c r="D25" s="376">
        <v>0</v>
      </c>
      <c r="E25" s="376">
        <v>0</v>
      </c>
      <c r="F25" s="377">
        <v>0</v>
      </c>
      <c r="G25" s="377">
        <v>0</v>
      </c>
      <c r="H25" s="378">
        <f>IF(F25=0,0,$C25/(F25*365))</f>
        <v>0</v>
      </c>
      <c r="I25" s="378">
        <f>IF(G25=0,0,$C25/(G25*365))</f>
        <v>0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0</v>
      </c>
      <c r="D27" s="376">
        <v>0</v>
      </c>
      <c r="E27" s="376">
        <v>0</v>
      </c>
      <c r="F27" s="377">
        <v>0</v>
      </c>
      <c r="G27" s="377">
        <v>0</v>
      </c>
      <c r="H27" s="378">
        <f>IF(F27=0,0,$C27/(F27*365))</f>
        <v>0</v>
      </c>
      <c r="I27" s="378">
        <f>IF(G27=0,0,$C27/(G27*365))</f>
        <v>0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37282</v>
      </c>
      <c r="D31" s="384">
        <f>SUM(D10:D29)-D13-D17-D23</f>
        <v>8348</v>
      </c>
      <c r="E31" s="384">
        <f>SUM(E10:E29)-E17-E23</f>
        <v>8348</v>
      </c>
      <c r="F31" s="384">
        <f>SUM(F10:F29)-F17-F23</f>
        <v>125</v>
      </c>
      <c r="G31" s="384">
        <f>SUM(G10:G29)-G17-G23</f>
        <v>144</v>
      </c>
      <c r="H31" s="385">
        <f>IF(F31=0,0,$C31/(F31*365))</f>
        <v>0.81713972602739726</v>
      </c>
      <c r="I31" s="385">
        <f>IF(G31=0,0,$C31/(G31*365))</f>
        <v>0.70932267884322675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39492</v>
      </c>
      <c r="D33" s="384">
        <f>SUM(D10:D29)-D13-D17</f>
        <v>9284</v>
      </c>
      <c r="E33" s="384">
        <f>SUM(E10:E29)-E17</f>
        <v>9284</v>
      </c>
      <c r="F33" s="384">
        <f>SUM(F10:F29)-F17</f>
        <v>135</v>
      </c>
      <c r="G33" s="384">
        <f>SUM(G10:G29)-G17</f>
        <v>156</v>
      </c>
      <c r="H33" s="385">
        <f>IF(F33=0,0,$C33/(F33*365))</f>
        <v>0.8014611872146119</v>
      </c>
      <c r="I33" s="385">
        <f>IF(G33=0,0,$C33/(G33*365))</f>
        <v>0.69357218124341413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39492</v>
      </c>
      <c r="D36" s="384">
        <f t="shared" si="1"/>
        <v>9284</v>
      </c>
      <c r="E36" s="384">
        <f t="shared" si="1"/>
        <v>9284</v>
      </c>
      <c r="F36" s="384">
        <f t="shared" si="1"/>
        <v>135</v>
      </c>
      <c r="G36" s="384">
        <f t="shared" si="1"/>
        <v>156</v>
      </c>
      <c r="H36" s="387">
        <f t="shared" si="1"/>
        <v>0.8014611872146119</v>
      </c>
      <c r="I36" s="387">
        <f t="shared" si="1"/>
        <v>0.69357218124341413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41898</v>
      </c>
      <c r="D37" s="384">
        <v>9847</v>
      </c>
      <c r="E37" s="384">
        <v>9847</v>
      </c>
      <c r="F37" s="386">
        <v>139</v>
      </c>
      <c r="G37" s="386">
        <v>156</v>
      </c>
      <c r="H37" s="385">
        <f>IF(F37=0,0,$C37/(F37*365))</f>
        <v>0.82582043953877993</v>
      </c>
      <c r="I37" s="385">
        <f>IF(G37=0,0,$C37/(G37*365))</f>
        <v>0.73582718651211798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-2406</v>
      </c>
      <c r="D38" s="384">
        <f t="shared" si="2"/>
        <v>-563</v>
      </c>
      <c r="E38" s="384">
        <f t="shared" si="2"/>
        <v>-563</v>
      </c>
      <c r="F38" s="384">
        <f t="shared" si="2"/>
        <v>-4</v>
      </c>
      <c r="G38" s="384">
        <f t="shared" si="2"/>
        <v>0</v>
      </c>
      <c r="H38" s="387">
        <f t="shared" si="2"/>
        <v>-2.4359252324168024E-2</v>
      </c>
      <c r="I38" s="387">
        <f t="shared" si="2"/>
        <v>-4.2255005268703849E-2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-5.7425175426034654E-2</v>
      </c>
      <c r="D40" s="389">
        <f t="shared" si="3"/>
        <v>-5.7174774042855689E-2</v>
      </c>
      <c r="E40" s="389">
        <f t="shared" si="3"/>
        <v>-5.7174774042855689E-2</v>
      </c>
      <c r="F40" s="389">
        <f t="shared" si="3"/>
        <v>-2.8776978417266189E-2</v>
      </c>
      <c r="G40" s="389">
        <f t="shared" si="3"/>
        <v>0</v>
      </c>
      <c r="H40" s="389">
        <f t="shared" si="3"/>
        <v>-2.9497032475694896E-2</v>
      </c>
      <c r="I40" s="389">
        <f t="shared" si="3"/>
        <v>-5.7425175426034591E-2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156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paperSize="9" scale="71" orientation="landscape" horizontalDpi="1200" verticalDpi="1200" r:id="rId1"/>
  <headerFooter>
    <oddHeader>&amp;LOFFICE OF HEALTH CARE ACCESS&amp;CTWELVE MONTHS ACTUAL FILING&amp;RMIDSTATE MEDICAL CENTER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SheetLayoutView="90" workbookViewId="0">
      <selection activeCell="B13" sqref="B13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0" t="s">
        <v>0</v>
      </c>
      <c r="B1" s="811"/>
      <c r="C1" s="811"/>
      <c r="D1" s="811"/>
      <c r="E1" s="811"/>
      <c r="F1" s="812"/>
    </row>
    <row r="2" spans="1:16" ht="15.75" customHeight="1" x14ac:dyDescent="0.25">
      <c r="A2" s="810" t="s">
        <v>1</v>
      </c>
      <c r="B2" s="811"/>
      <c r="C2" s="811"/>
      <c r="D2" s="811"/>
      <c r="E2" s="811"/>
      <c r="F2" s="812"/>
    </row>
    <row r="3" spans="1:16" ht="15.75" customHeight="1" x14ac:dyDescent="0.25">
      <c r="A3" s="810" t="s">
        <v>2</v>
      </c>
      <c r="B3" s="811"/>
      <c r="C3" s="811"/>
      <c r="D3" s="811"/>
      <c r="E3" s="811"/>
      <c r="F3" s="812"/>
    </row>
    <row r="4" spans="1:16" ht="15.75" customHeight="1" x14ac:dyDescent="0.25">
      <c r="A4" s="810" t="s">
        <v>553</v>
      </c>
      <c r="B4" s="811"/>
      <c r="C4" s="811"/>
      <c r="D4" s="811"/>
      <c r="E4" s="811"/>
      <c r="F4" s="812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4903</v>
      </c>
      <c r="D12" s="409">
        <v>4657</v>
      </c>
      <c r="E12" s="409">
        <f>+D12-C12</f>
        <v>-246</v>
      </c>
      <c r="F12" s="410">
        <f>IF(C12=0,0,+E12/C12)</f>
        <v>-5.0173363246991641E-2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3717</v>
      </c>
      <c r="D13" s="409">
        <v>4111</v>
      </c>
      <c r="E13" s="409">
        <f>+D13-C13</f>
        <v>394</v>
      </c>
      <c r="F13" s="410">
        <f>IF(C13=0,0,+E13/C13)</f>
        <v>0.10599946193166532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7733</v>
      </c>
      <c r="D14" s="409">
        <v>8323</v>
      </c>
      <c r="E14" s="409">
        <f>+D14-C14</f>
        <v>590</v>
      </c>
      <c r="F14" s="410">
        <f>IF(C14=0,0,+E14/C14)</f>
        <v>7.6296392085865763E-2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16353</v>
      </c>
      <c r="D16" s="401">
        <f>SUM(D12:D15)</f>
        <v>17091</v>
      </c>
      <c r="E16" s="401">
        <f>+D16-C16</f>
        <v>738</v>
      </c>
      <c r="F16" s="402">
        <f>IF(C16=0,0,+E16/C16)</f>
        <v>4.5129334067143645E-2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1486</v>
      </c>
      <c r="D19" s="409">
        <v>1134</v>
      </c>
      <c r="E19" s="409">
        <f>+D19-C19</f>
        <v>-352</v>
      </c>
      <c r="F19" s="410">
        <f>IF(C19=0,0,+E19/C19)</f>
        <v>-0.23687752355316286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5177</v>
      </c>
      <c r="D20" s="409">
        <v>4858</v>
      </c>
      <c r="E20" s="409">
        <f>+D20-C20</f>
        <v>-319</v>
      </c>
      <c r="F20" s="410">
        <f>IF(C20=0,0,+E20/C20)</f>
        <v>-6.1618698087695579E-2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634</v>
      </c>
      <c r="D21" s="409">
        <v>804</v>
      </c>
      <c r="E21" s="409">
        <f>+D21-C21</f>
        <v>170</v>
      </c>
      <c r="F21" s="410">
        <f>IF(C21=0,0,+E21/C21)</f>
        <v>0.26813880126182965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0</v>
      </c>
      <c r="D22" s="409">
        <v>0</v>
      </c>
      <c r="E22" s="409">
        <f>+D22-C22</f>
        <v>0</v>
      </c>
      <c r="F22" s="410">
        <f>IF(C22=0,0,+E22/C22)</f>
        <v>0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7297</v>
      </c>
      <c r="D23" s="401">
        <f>SUM(D19:D22)</f>
        <v>6796</v>
      </c>
      <c r="E23" s="401">
        <f>+D23-C23</f>
        <v>-501</v>
      </c>
      <c r="F23" s="402">
        <f>IF(C23=0,0,+E23/C23)</f>
        <v>-6.8658352747704543E-2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0</v>
      </c>
      <c r="D26" s="409">
        <v>0</v>
      </c>
      <c r="E26" s="409">
        <f>+D26-C26</f>
        <v>0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0</v>
      </c>
      <c r="D27" s="409">
        <v>0</v>
      </c>
      <c r="E27" s="409">
        <f>+D27-C27</f>
        <v>0</v>
      </c>
      <c r="F27" s="410">
        <f>IF(C27=0,0,+E27/C27)</f>
        <v>0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0</v>
      </c>
      <c r="D30" s="401">
        <f>SUM(D26:D29)</f>
        <v>0</v>
      </c>
      <c r="E30" s="401">
        <f>+D30-C30</f>
        <v>0</v>
      </c>
      <c r="F30" s="402">
        <f>IF(C30=0,0,+E30/C30)</f>
        <v>0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8</v>
      </c>
      <c r="D33" s="409">
        <v>6</v>
      </c>
      <c r="E33" s="409">
        <f>+D33-C33</f>
        <v>-2</v>
      </c>
      <c r="F33" s="410">
        <f>IF(C33=0,0,+E33/C33)</f>
        <v>-0.25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476</v>
      </c>
      <c r="D34" s="409">
        <v>379</v>
      </c>
      <c r="E34" s="409">
        <f>+D34-C34</f>
        <v>-97</v>
      </c>
      <c r="F34" s="410">
        <f>IF(C34=0,0,+E34/C34)</f>
        <v>-0.20378151260504201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484</v>
      </c>
      <c r="D37" s="401">
        <f>SUM(D33:D36)</f>
        <v>385</v>
      </c>
      <c r="E37" s="401">
        <f>+D37-C37</f>
        <v>-99</v>
      </c>
      <c r="F37" s="402">
        <f>IF(C37=0,0,+E37/C37)</f>
        <v>-0.20454545454545456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3" t="s">
        <v>566</v>
      </c>
      <c r="C39" s="814"/>
      <c r="D39" s="814"/>
      <c r="E39" s="814"/>
      <c r="F39" s="815"/>
    </row>
    <row r="40" spans="1:16" ht="15.75" customHeight="1" x14ac:dyDescent="0.25">
      <c r="A40" s="136"/>
      <c r="B40" s="813" t="s">
        <v>567</v>
      </c>
      <c r="C40" s="814"/>
      <c r="D40" s="814"/>
      <c r="E40" s="814"/>
      <c r="F40" s="815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115</v>
      </c>
      <c r="D43" s="409">
        <v>98</v>
      </c>
      <c r="E43" s="409">
        <f>+D43-C43</f>
        <v>-17</v>
      </c>
      <c r="F43" s="410">
        <f>IF(C43=0,0,+E43/C43)</f>
        <v>-0.14782608695652175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5128</v>
      </c>
      <c r="D44" s="409">
        <v>5230</v>
      </c>
      <c r="E44" s="409">
        <f>+D44-C44</f>
        <v>102</v>
      </c>
      <c r="F44" s="410">
        <f>IF(C44=0,0,+E44/C44)</f>
        <v>1.9890795631825272E-2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5243</v>
      </c>
      <c r="D45" s="401">
        <f>SUM(D43:D44)</f>
        <v>5328</v>
      </c>
      <c r="E45" s="401">
        <f>+D45-C45</f>
        <v>85</v>
      </c>
      <c r="F45" s="402">
        <f>IF(C45=0,0,+E45/C45)</f>
        <v>1.6212092313560938E-2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0</v>
      </c>
      <c r="D48" s="409">
        <v>0</v>
      </c>
      <c r="E48" s="409">
        <f>+D48-C48</f>
        <v>0</v>
      </c>
      <c r="F48" s="410">
        <f>IF(C48=0,0,+E48/C48)</f>
        <v>0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0</v>
      </c>
      <c r="D49" s="409">
        <v>0</v>
      </c>
      <c r="E49" s="409">
        <f>+D49-C49</f>
        <v>0</v>
      </c>
      <c r="F49" s="410">
        <f>IF(C49=0,0,+E49/C49)</f>
        <v>0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0</v>
      </c>
      <c r="D50" s="401">
        <f>SUM(D48:D49)</f>
        <v>0</v>
      </c>
      <c r="E50" s="401">
        <f>+D50-C50</f>
        <v>0</v>
      </c>
      <c r="F50" s="402">
        <f>IF(C50=0,0,+E50/C50)</f>
        <v>0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0</v>
      </c>
      <c r="D53" s="409">
        <v>0</v>
      </c>
      <c r="E53" s="409">
        <f>+D53-C53</f>
        <v>0</v>
      </c>
      <c r="F53" s="410">
        <f>IF(C53=0,0,+E53/C53)</f>
        <v>0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0</v>
      </c>
      <c r="D54" s="409">
        <v>0</v>
      </c>
      <c r="E54" s="409">
        <f>+D54-C54</f>
        <v>0</v>
      </c>
      <c r="F54" s="410">
        <f>IF(C54=0,0,+E54/C54)</f>
        <v>0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0</v>
      </c>
      <c r="D55" s="401">
        <f>SUM(D53:D54)</f>
        <v>0</v>
      </c>
      <c r="E55" s="401">
        <f>+D55-C55</f>
        <v>0</v>
      </c>
      <c r="F55" s="402">
        <f>IF(C55=0,0,+E55/C55)</f>
        <v>0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0</v>
      </c>
      <c r="D58" s="409">
        <v>0</v>
      </c>
      <c r="E58" s="409">
        <f>+D58-C58</f>
        <v>0</v>
      </c>
      <c r="F58" s="410">
        <f>IF(C58=0,0,+E58/C58)</f>
        <v>0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0</v>
      </c>
      <c r="D59" s="409">
        <v>0</v>
      </c>
      <c r="E59" s="409">
        <f>+D59-C59</f>
        <v>0</v>
      </c>
      <c r="F59" s="410">
        <f>IF(C59=0,0,+E59/C59)</f>
        <v>0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0</v>
      </c>
      <c r="D60" s="401">
        <f>SUM(D58:D59)</f>
        <v>0</v>
      </c>
      <c r="E60" s="401">
        <f>SUM(E58:E59)</f>
        <v>0</v>
      </c>
      <c r="F60" s="402">
        <f>IF(C60=0,0,+E60/C60)</f>
        <v>0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2267</v>
      </c>
      <c r="D63" s="409">
        <v>2336</v>
      </c>
      <c r="E63" s="409">
        <f>+D63-C63</f>
        <v>69</v>
      </c>
      <c r="F63" s="410">
        <f>IF(C63=0,0,+E63/C63)</f>
        <v>3.0436700485222762E-2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6055</v>
      </c>
      <c r="D64" s="409">
        <v>6023</v>
      </c>
      <c r="E64" s="409">
        <f>+D64-C64</f>
        <v>-32</v>
      </c>
      <c r="F64" s="410">
        <f>IF(C64=0,0,+E64/C64)</f>
        <v>-5.2848885218827416E-3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8322</v>
      </c>
      <c r="D65" s="401">
        <f>SUM(D63:D64)</f>
        <v>8359</v>
      </c>
      <c r="E65" s="401">
        <f>+D65-C65</f>
        <v>37</v>
      </c>
      <c r="F65" s="402">
        <f>IF(C65=0,0,+E65/C65)</f>
        <v>4.4460466234078344E-3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1145</v>
      </c>
      <c r="D68" s="409">
        <v>1170</v>
      </c>
      <c r="E68" s="409">
        <f>+D68-C68</f>
        <v>25</v>
      </c>
      <c r="F68" s="410">
        <f>IF(C68=0,0,+E68/C68)</f>
        <v>2.1834061135371178E-2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7319</v>
      </c>
      <c r="D69" s="409">
        <v>7623</v>
      </c>
      <c r="E69" s="409">
        <f>+D69-C69</f>
        <v>304</v>
      </c>
      <c r="F69" s="412">
        <f>IF(C69=0,0,+E69/C69)</f>
        <v>4.1535728924716492E-2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8464</v>
      </c>
      <c r="D70" s="401">
        <f>SUM(D68:D69)</f>
        <v>8793</v>
      </c>
      <c r="E70" s="401">
        <f>+D70-C70</f>
        <v>329</v>
      </c>
      <c r="F70" s="402">
        <f>IF(C70=0,0,+E70/C70)</f>
        <v>3.8870510396975429E-2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6894</v>
      </c>
      <c r="D73" s="376">
        <v>6344</v>
      </c>
      <c r="E73" s="409">
        <f>+D73-C73</f>
        <v>-550</v>
      </c>
      <c r="F73" s="410">
        <f>IF(C73=0,0,+E73/C73)</f>
        <v>-7.9779518421816076E-2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52897</v>
      </c>
      <c r="D74" s="376">
        <v>52269</v>
      </c>
      <c r="E74" s="409">
        <f>+D74-C74</f>
        <v>-628</v>
      </c>
      <c r="F74" s="410">
        <f>IF(C74=0,0,+E74/C74)</f>
        <v>-1.1872128854188329E-2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59791</v>
      </c>
      <c r="D75" s="401">
        <f>SUM(D73:D74)</f>
        <v>58613</v>
      </c>
      <c r="E75" s="401">
        <f>SUM(E73:E74)</f>
        <v>-1178</v>
      </c>
      <c r="F75" s="402">
        <f>IF(C75=0,0,+E75/C75)</f>
        <v>-1.9701961833720794E-2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0</v>
      </c>
      <c r="D79" s="376">
        <v>0</v>
      </c>
      <c r="E79" s="409">
        <f t="shared" ref="E79:E92" si="0">+D79-C79</f>
        <v>0</v>
      </c>
      <c r="F79" s="410">
        <f t="shared" ref="F79:F92" si="1">IF(C79=0,0,+E79/C79)</f>
        <v>0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0</v>
      </c>
      <c r="D80" s="376">
        <v>0</v>
      </c>
      <c r="E80" s="409">
        <f t="shared" si="0"/>
        <v>0</v>
      </c>
      <c r="F80" s="410">
        <f t="shared" si="1"/>
        <v>0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0</v>
      </c>
      <c r="D81" s="376">
        <v>0</v>
      </c>
      <c r="E81" s="409">
        <f t="shared" si="0"/>
        <v>0</v>
      </c>
      <c r="F81" s="410">
        <f t="shared" si="1"/>
        <v>0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33972</v>
      </c>
      <c r="D84" s="376">
        <v>31757</v>
      </c>
      <c r="E84" s="409">
        <f t="shared" si="0"/>
        <v>-2215</v>
      </c>
      <c r="F84" s="410">
        <f t="shared" si="1"/>
        <v>-6.5200753561756739E-2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0</v>
      </c>
      <c r="D85" s="376">
        <v>0</v>
      </c>
      <c r="E85" s="409">
        <f t="shared" si="0"/>
        <v>0</v>
      </c>
      <c r="F85" s="410">
        <f t="shared" si="1"/>
        <v>0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0</v>
      </c>
      <c r="D86" s="376">
        <v>0</v>
      </c>
      <c r="E86" s="409">
        <f t="shared" si="0"/>
        <v>0</v>
      </c>
      <c r="F86" s="410">
        <f t="shared" si="1"/>
        <v>0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0</v>
      </c>
      <c r="D88" s="376">
        <v>0</v>
      </c>
      <c r="E88" s="409">
        <f t="shared" si="0"/>
        <v>0</v>
      </c>
      <c r="F88" s="410">
        <f t="shared" si="1"/>
        <v>0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0</v>
      </c>
      <c r="D89" s="376">
        <v>0</v>
      </c>
      <c r="E89" s="409">
        <f t="shared" si="0"/>
        <v>0</v>
      </c>
      <c r="F89" s="410">
        <f t="shared" si="1"/>
        <v>0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0</v>
      </c>
      <c r="D90" s="376">
        <v>0</v>
      </c>
      <c r="E90" s="409">
        <f t="shared" si="0"/>
        <v>0</v>
      </c>
      <c r="F90" s="410">
        <f t="shared" si="1"/>
        <v>0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2306</v>
      </c>
      <c r="D91" s="376">
        <v>2395</v>
      </c>
      <c r="E91" s="409">
        <f t="shared" si="0"/>
        <v>89</v>
      </c>
      <c r="F91" s="410">
        <f t="shared" si="1"/>
        <v>3.8594969644405897E-2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36278</v>
      </c>
      <c r="D92" s="381">
        <f>SUM(D79:D91)</f>
        <v>34152</v>
      </c>
      <c r="E92" s="401">
        <f t="shared" si="0"/>
        <v>-2126</v>
      </c>
      <c r="F92" s="402">
        <f t="shared" si="1"/>
        <v>-5.8603010088759025E-2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613</v>
      </c>
      <c r="D95" s="414">
        <v>1145</v>
      </c>
      <c r="E95" s="415">
        <f t="shared" ref="E95:E100" si="2">+D95-C95</f>
        <v>532</v>
      </c>
      <c r="F95" s="412">
        <f t="shared" ref="F95:F100" si="3">IF(C95=0,0,+E95/C95)</f>
        <v>0.86786296900489401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2254</v>
      </c>
      <c r="D96" s="414">
        <v>2239</v>
      </c>
      <c r="E96" s="409">
        <f t="shared" si="2"/>
        <v>-15</v>
      </c>
      <c r="F96" s="410">
        <f t="shared" si="3"/>
        <v>-6.6548358473824312E-3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931</v>
      </c>
      <c r="D97" s="414">
        <v>874</v>
      </c>
      <c r="E97" s="409">
        <f t="shared" si="2"/>
        <v>-57</v>
      </c>
      <c r="F97" s="410">
        <f t="shared" si="3"/>
        <v>-6.1224489795918366E-2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7319</v>
      </c>
      <c r="D98" s="414">
        <v>7623</v>
      </c>
      <c r="E98" s="409">
        <f t="shared" si="2"/>
        <v>304</v>
      </c>
      <c r="F98" s="410">
        <f t="shared" si="3"/>
        <v>4.1535728924716492E-2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62972</v>
      </c>
      <c r="D99" s="414">
        <v>59696</v>
      </c>
      <c r="E99" s="409">
        <f t="shared" si="2"/>
        <v>-3276</v>
      </c>
      <c r="F99" s="410">
        <f t="shared" si="3"/>
        <v>-5.2023121387283239E-2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74089</v>
      </c>
      <c r="D100" s="381">
        <f>SUM(D95:D99)</f>
        <v>71577</v>
      </c>
      <c r="E100" s="401">
        <f t="shared" si="2"/>
        <v>-2512</v>
      </c>
      <c r="F100" s="402">
        <f t="shared" si="3"/>
        <v>-3.3905168108626114E-2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310.2</v>
      </c>
      <c r="D104" s="416">
        <v>298.39999999999998</v>
      </c>
      <c r="E104" s="417">
        <f>+D104-C104</f>
        <v>-11.800000000000011</v>
      </c>
      <c r="F104" s="410">
        <f>IF(C104=0,0,+E104/C104)</f>
        <v>-3.8039974210187011E-2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44.7</v>
      </c>
      <c r="D105" s="416">
        <v>45.6</v>
      </c>
      <c r="E105" s="417">
        <f>+D105-C105</f>
        <v>0.89999999999999858</v>
      </c>
      <c r="F105" s="410">
        <f>IF(C105=0,0,+E105/C105)</f>
        <v>2.0134228187919431E-2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673.2</v>
      </c>
      <c r="D106" s="416">
        <v>619.29999999999995</v>
      </c>
      <c r="E106" s="417">
        <f>+D106-C106</f>
        <v>-53.900000000000091</v>
      </c>
      <c r="F106" s="410">
        <f>IF(C106=0,0,+E106/C106)</f>
        <v>-8.0065359477124315E-2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1028.0999999999999</v>
      </c>
      <c r="D107" s="418">
        <f>SUM(D104:D106)</f>
        <v>963.3</v>
      </c>
      <c r="E107" s="418">
        <f>+D107-C107</f>
        <v>-64.799999999999955</v>
      </c>
      <c r="F107" s="402">
        <f>IF(C107=0,0,+E107/C107)</f>
        <v>-6.3028888240443504E-2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A1:F1"/>
    <mergeCell ref="A2:F2"/>
    <mergeCell ref="A3:F3"/>
    <mergeCell ref="A4:F4"/>
    <mergeCell ref="B39:F39"/>
    <mergeCell ref="B40:F40"/>
  </mergeCells>
  <printOptions gridLines="1"/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FILING&amp;RMIDSTATE MEDICAL CENTER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opLeftCell="A4" zoomScale="75" zoomScaleSheetLayoutView="90" workbookViewId="0">
      <selection activeCell="B29" sqref="B29:F29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0" t="s">
        <v>0</v>
      </c>
      <c r="B1" s="811"/>
      <c r="C1" s="811"/>
      <c r="D1" s="811"/>
      <c r="E1" s="811"/>
      <c r="F1" s="812"/>
    </row>
    <row r="2" spans="1:6" ht="15.75" customHeight="1" x14ac:dyDescent="0.25">
      <c r="A2" s="810" t="s">
        <v>1</v>
      </c>
      <c r="B2" s="811"/>
      <c r="C2" s="811"/>
      <c r="D2" s="811"/>
      <c r="E2" s="811"/>
      <c r="F2" s="812"/>
    </row>
    <row r="3" spans="1:6" ht="15.75" customHeight="1" x14ac:dyDescent="0.25">
      <c r="A3" s="810" t="s">
        <v>2</v>
      </c>
      <c r="B3" s="811"/>
      <c r="C3" s="811"/>
      <c r="D3" s="811"/>
      <c r="E3" s="811"/>
      <c r="F3" s="812"/>
    </row>
    <row r="4" spans="1:6" ht="15.75" customHeight="1" x14ac:dyDescent="0.25">
      <c r="A4" s="810" t="s">
        <v>620</v>
      </c>
      <c r="B4" s="811"/>
      <c r="C4" s="811"/>
      <c r="D4" s="811"/>
      <c r="E4" s="811"/>
      <c r="F4" s="812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6055</v>
      </c>
      <c r="D12" s="409">
        <v>6023</v>
      </c>
      <c r="E12" s="409">
        <f>+D12-C12</f>
        <v>-32</v>
      </c>
      <c r="F12" s="410">
        <f>IF(C12=0,0,+E12/C12)</f>
        <v>-5.2848885218827416E-3</v>
      </c>
    </row>
    <row r="13" spans="1:6" ht="15.75" customHeight="1" x14ac:dyDescent="0.25">
      <c r="A13" s="374"/>
      <c r="B13" s="399" t="s">
        <v>622</v>
      </c>
      <c r="C13" s="401">
        <f>SUM(C11:C12)</f>
        <v>6055</v>
      </c>
      <c r="D13" s="401">
        <f>SUM(D11:D12)</f>
        <v>6023</v>
      </c>
      <c r="E13" s="401">
        <f>+D13-C13</f>
        <v>-32</v>
      </c>
      <c r="F13" s="402">
        <f>IF(C13=0,0,+E13/C13)</f>
        <v>-5.2848885218827416E-3</v>
      </c>
    </row>
    <row r="14" spans="1:6" ht="15.75" customHeight="1" x14ac:dyDescent="0.25">
      <c r="A14" s="136"/>
      <c r="B14" s="399"/>
      <c r="C14" s="401"/>
      <c r="D14" s="401"/>
      <c r="E14" s="401"/>
      <c r="F14" s="402"/>
    </row>
    <row r="15" spans="1:6" ht="15.75" customHeight="1" x14ac:dyDescent="0.25">
      <c r="A15" s="136" t="s">
        <v>26</v>
      </c>
      <c r="B15" s="406" t="s">
        <v>588</v>
      </c>
      <c r="C15" s="409"/>
      <c r="D15" s="409"/>
      <c r="E15" s="409"/>
      <c r="F15" s="410"/>
    </row>
    <row r="16" spans="1:6" ht="15.75" customHeight="1" x14ac:dyDescent="0.2">
      <c r="A16" s="374">
        <v>1</v>
      </c>
      <c r="B16" s="408" t="s">
        <v>621</v>
      </c>
      <c r="C16" s="409">
        <v>7319</v>
      </c>
      <c r="D16" s="409">
        <v>7623</v>
      </c>
      <c r="E16" s="409">
        <f>+D16-C16</f>
        <v>304</v>
      </c>
      <c r="F16" s="410">
        <f>IF(C16=0,0,+E16/C16)</f>
        <v>4.1535728924716492E-2</v>
      </c>
    </row>
    <row r="17" spans="1:6" ht="15.75" customHeight="1" x14ac:dyDescent="0.25">
      <c r="A17" s="374"/>
      <c r="B17" s="399" t="s">
        <v>623</v>
      </c>
      <c r="C17" s="401">
        <f>SUM(C15:C16)</f>
        <v>7319</v>
      </c>
      <c r="D17" s="401">
        <f>SUM(D15:D16)</f>
        <v>7623</v>
      </c>
      <c r="E17" s="401">
        <f>+D17-C17</f>
        <v>304</v>
      </c>
      <c r="F17" s="402">
        <f>IF(C17=0,0,+E17/C17)</f>
        <v>4.1535728924716492E-2</v>
      </c>
    </row>
    <row r="18" spans="1:6" ht="15.75" customHeight="1" x14ac:dyDescent="0.25">
      <c r="A18" s="136"/>
      <c r="B18" s="399"/>
      <c r="C18" s="401"/>
      <c r="D18" s="401"/>
      <c r="E18" s="401"/>
      <c r="F18" s="402"/>
    </row>
    <row r="19" spans="1:6" ht="15.75" customHeight="1" x14ac:dyDescent="0.25">
      <c r="A19" s="136" t="s">
        <v>36</v>
      </c>
      <c r="B19" s="406" t="s">
        <v>624</v>
      </c>
      <c r="C19" s="409"/>
      <c r="D19" s="409"/>
      <c r="E19" s="409"/>
      <c r="F19" s="410"/>
    </row>
    <row r="20" spans="1:6" ht="15.75" customHeight="1" x14ac:dyDescent="0.2">
      <c r="A20" s="374">
        <v>1</v>
      </c>
      <c r="B20" s="408" t="s">
        <v>625</v>
      </c>
      <c r="C20" s="409">
        <v>0</v>
      </c>
      <c r="D20" s="409">
        <v>0</v>
      </c>
      <c r="E20" s="409">
        <f>+D20-C20</f>
        <v>0</v>
      </c>
      <c r="F20" s="410">
        <f>IF(C20=0,0,+E20/C20)</f>
        <v>0</v>
      </c>
    </row>
    <row r="21" spans="1:6" ht="15.75" customHeight="1" x14ac:dyDescent="0.2">
      <c r="A21" s="374">
        <v>2</v>
      </c>
      <c r="B21" s="408" t="s">
        <v>626</v>
      </c>
      <c r="C21" s="409">
        <v>0</v>
      </c>
      <c r="D21" s="409">
        <v>0</v>
      </c>
      <c r="E21" s="409">
        <f>+D21-C21</f>
        <v>0</v>
      </c>
      <c r="F21" s="410">
        <f>IF(C21=0,0,+E21/C21)</f>
        <v>0</v>
      </c>
    </row>
    <row r="22" spans="1:6" ht="15.75" customHeight="1" x14ac:dyDescent="0.2">
      <c r="A22" s="374">
        <v>3</v>
      </c>
      <c r="B22" s="408" t="s">
        <v>621</v>
      </c>
      <c r="C22" s="409">
        <v>52897</v>
      </c>
      <c r="D22" s="409">
        <v>52269</v>
      </c>
      <c r="E22" s="409">
        <f>+D22-C22</f>
        <v>-628</v>
      </c>
      <c r="F22" s="410">
        <f>IF(C22=0,0,+E22/C22)</f>
        <v>-1.1872128854188329E-2</v>
      </c>
    </row>
    <row r="23" spans="1:6" ht="15.75" customHeight="1" x14ac:dyDescent="0.25">
      <c r="A23" s="374"/>
      <c r="B23" s="399" t="s">
        <v>627</v>
      </c>
      <c r="C23" s="401">
        <f>SUM(C19:C22)</f>
        <v>52897</v>
      </c>
      <c r="D23" s="401">
        <f>SUM(D19:D22)</f>
        <v>52269</v>
      </c>
      <c r="E23" s="401">
        <f>+D23-C23</f>
        <v>-628</v>
      </c>
      <c r="F23" s="402">
        <f>IF(C23=0,0,+E23/C23)</f>
        <v>-1.1872128854188329E-2</v>
      </c>
    </row>
    <row r="24" spans="1:6" ht="15.75" customHeight="1" x14ac:dyDescent="0.25">
      <c r="A24" s="136"/>
      <c r="B24" s="399"/>
      <c r="C24" s="401"/>
      <c r="D24" s="401"/>
      <c r="E24" s="401"/>
      <c r="F24" s="402"/>
    </row>
    <row r="25" spans="1:6" ht="15.75" customHeight="1" x14ac:dyDescent="0.25">
      <c r="B25" s="813" t="s">
        <v>628</v>
      </c>
      <c r="C25" s="814"/>
      <c r="D25" s="814"/>
      <c r="E25" s="814"/>
      <c r="F25" s="815"/>
    </row>
    <row r="26" spans="1:6" ht="15.75" customHeight="1" x14ac:dyDescent="0.25">
      <c r="A26" s="392"/>
    </row>
    <row r="27" spans="1:6" ht="15.75" customHeight="1" x14ac:dyDescent="0.25">
      <c r="B27" s="813" t="s">
        <v>629</v>
      </c>
      <c r="C27" s="814"/>
      <c r="D27" s="814"/>
      <c r="E27" s="814"/>
      <c r="F27" s="815"/>
    </row>
    <row r="28" spans="1:6" ht="15.75" customHeight="1" x14ac:dyDescent="0.25">
      <c r="A28" s="392"/>
    </row>
    <row r="29" spans="1:6" ht="15.75" customHeight="1" x14ac:dyDescent="0.25">
      <c r="B29" s="813" t="s">
        <v>630</v>
      </c>
      <c r="C29" s="814"/>
      <c r="D29" s="814"/>
      <c r="E29" s="814"/>
      <c r="F29" s="815"/>
    </row>
    <row r="30" spans="1:6" ht="15.75" customHeight="1" x14ac:dyDescent="0.25">
      <c r="A30" s="392"/>
    </row>
  </sheetData>
  <mergeCells count="7">
    <mergeCell ref="B29:F29"/>
    <mergeCell ref="A1:F1"/>
    <mergeCell ref="A2:F2"/>
    <mergeCell ref="A3:F3"/>
    <mergeCell ref="A4:F4"/>
    <mergeCell ref="B25:F25"/>
    <mergeCell ref="B27:F27"/>
  </mergeCells>
  <printOptions gridLines="1"/>
  <pageMargins left="0.25" right="0.25" top="0.5" bottom="0.5" header="0.25" footer="0.25"/>
  <pageSetup paperSize="9" scale="79" fitToHeight="0" orientation="portrait" horizontalDpi="1200" verticalDpi="1200" r:id="rId1"/>
  <headerFooter>
    <oddHeader>&amp;LOFFICE OF HEALTH CARE ACCESS&amp;CTWELVE MONTHS ACTUAL FILING&amp;RMIDSTATE MEDICAL CENTER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072"/>
  <sheetViews>
    <sheetView topLeftCell="A286" zoomScale="85" zoomScaleSheetLayoutView="80" workbookViewId="0">
      <selection activeCell="B329" sqref="B329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631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632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633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634</v>
      </c>
      <c r="D7" s="426" t="s">
        <v>634</v>
      </c>
      <c r="E7" s="426" t="s">
        <v>635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636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637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638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639</v>
      </c>
      <c r="C15" s="448">
        <v>130191173</v>
      </c>
      <c r="D15" s="448">
        <v>133168476</v>
      </c>
      <c r="E15" s="448">
        <f t="shared" ref="E15:E24" si="0">D15-C15</f>
        <v>2977303</v>
      </c>
      <c r="F15" s="449">
        <f t="shared" ref="F15:F24" si="1">IF(C15=0,0,E15/C15)</f>
        <v>2.2868700937197946E-2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640</v>
      </c>
      <c r="C16" s="448">
        <v>50847282</v>
      </c>
      <c r="D16" s="448">
        <v>51842983</v>
      </c>
      <c r="E16" s="448">
        <f t="shared" si="0"/>
        <v>995701</v>
      </c>
      <c r="F16" s="449">
        <f t="shared" si="1"/>
        <v>1.9582187303541613E-2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641</v>
      </c>
      <c r="C17" s="453">
        <f>IF(C15=0,0,C16/C15)</f>
        <v>0.39055859800879128</v>
      </c>
      <c r="D17" s="453">
        <f>IF(LN_IA1=0,0,LN_IA2/LN_IA1)</f>
        <v>0.38930371929765117</v>
      </c>
      <c r="E17" s="454">
        <f t="shared" si="0"/>
        <v>-1.2548787111401061E-3</v>
      </c>
      <c r="F17" s="449">
        <f t="shared" si="1"/>
        <v>-3.2130356815543962E-3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4908</v>
      </c>
      <c r="D18" s="456">
        <v>4483</v>
      </c>
      <c r="E18" s="456">
        <f t="shared" si="0"/>
        <v>-425</v>
      </c>
      <c r="F18" s="449">
        <f t="shared" si="1"/>
        <v>-8.6593317033414829E-2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642</v>
      </c>
      <c r="C19" s="459">
        <v>1.52013</v>
      </c>
      <c r="D19" s="459">
        <v>1.59467</v>
      </c>
      <c r="E19" s="460">
        <f t="shared" si="0"/>
        <v>7.4540000000000051E-2</v>
      </c>
      <c r="F19" s="449">
        <f t="shared" si="1"/>
        <v>4.9035279877378941E-2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643</v>
      </c>
      <c r="C20" s="463">
        <f>C18*C19</f>
        <v>7460.7980399999997</v>
      </c>
      <c r="D20" s="463">
        <f>LN_IA4*LN_IA5</f>
        <v>7148.9056099999998</v>
      </c>
      <c r="E20" s="463">
        <f t="shared" si="0"/>
        <v>-311.89242999999988</v>
      </c>
      <c r="F20" s="449">
        <f t="shared" si="1"/>
        <v>-4.1804164692280009E-2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644</v>
      </c>
      <c r="C21" s="465">
        <f>IF(C20=0,0,C16/C20)</f>
        <v>6815.2604758082962</v>
      </c>
      <c r="D21" s="465">
        <f>IF(LN_IA6=0,0,LN_IA2/LN_IA6)</f>
        <v>7251.8768365721926</v>
      </c>
      <c r="E21" s="465">
        <f t="shared" si="0"/>
        <v>436.61636076389641</v>
      </c>
      <c r="F21" s="449">
        <f t="shared" si="1"/>
        <v>6.4064515555014537E-2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24257</v>
      </c>
      <c r="D22" s="456">
        <v>22600</v>
      </c>
      <c r="E22" s="456">
        <f t="shared" si="0"/>
        <v>-1657</v>
      </c>
      <c r="F22" s="449">
        <f t="shared" si="1"/>
        <v>-6.8310178505173763E-2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645</v>
      </c>
      <c r="C23" s="465">
        <f>IF(C22=0,0,C16/C22)</f>
        <v>2096.1900482334995</v>
      </c>
      <c r="D23" s="465">
        <f>IF(LN_IA8=0,0,LN_IA2/LN_IA8)</f>
        <v>2293.9373008849557</v>
      </c>
      <c r="E23" s="465">
        <f t="shared" si="0"/>
        <v>197.74725265145617</v>
      </c>
      <c r="F23" s="449">
        <f t="shared" si="1"/>
        <v>9.433650962044289E-2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646</v>
      </c>
      <c r="C24" s="466">
        <f>IF(C18=0,0,C22/C18)</f>
        <v>4.9423390383048087</v>
      </c>
      <c r="D24" s="466">
        <f>IF(LN_IA4=0,0,LN_IA8/LN_IA4)</f>
        <v>5.0412670086995313</v>
      </c>
      <c r="E24" s="466">
        <f t="shared" si="0"/>
        <v>9.8927970394722564E-2</v>
      </c>
      <c r="F24" s="449">
        <f t="shared" si="1"/>
        <v>2.0016427369307758E-2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647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648</v>
      </c>
      <c r="C27" s="448">
        <v>96879700</v>
      </c>
      <c r="D27" s="448">
        <v>109908722</v>
      </c>
      <c r="E27" s="448">
        <f t="shared" ref="E27:E32" si="2">D27-C27</f>
        <v>13029022</v>
      </c>
      <c r="F27" s="449">
        <f t="shared" ref="F27:F32" si="3">IF(C27=0,0,E27/C27)</f>
        <v>0.13448660555307251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649</v>
      </c>
      <c r="C28" s="448">
        <v>26993382</v>
      </c>
      <c r="D28" s="448">
        <v>29672851</v>
      </c>
      <c r="E28" s="448">
        <f t="shared" si="2"/>
        <v>2679469</v>
      </c>
      <c r="F28" s="449">
        <f t="shared" si="3"/>
        <v>9.9263923283121766E-2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650</v>
      </c>
      <c r="C29" s="453">
        <f>IF(C27=0,0,C28/C27)</f>
        <v>0.27862784463618279</v>
      </c>
      <c r="D29" s="453">
        <f>IF(LN_IA11=0,0,LN_IA12/LN_IA11)</f>
        <v>0.26997721800459112</v>
      </c>
      <c r="E29" s="454">
        <f t="shared" si="2"/>
        <v>-8.6506266315916625E-3</v>
      </c>
      <c r="F29" s="449">
        <f t="shared" si="3"/>
        <v>-3.1047243834826287E-2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651</v>
      </c>
      <c r="C30" s="453">
        <f>IF(C15=0,0,C27/C15)</f>
        <v>0.74413416645381947</v>
      </c>
      <c r="D30" s="453">
        <f>IF(LN_IA1=0,0,LN_IA11/LN_IA1)</f>
        <v>0.82533588504835032</v>
      </c>
      <c r="E30" s="454">
        <f t="shared" si="2"/>
        <v>8.1201718594530847E-2</v>
      </c>
      <c r="F30" s="449">
        <f t="shared" si="3"/>
        <v>0.10912241670275488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652</v>
      </c>
      <c r="C31" s="463">
        <f>C30*C18</f>
        <v>3652.2104889553461</v>
      </c>
      <c r="D31" s="463">
        <f>LN_IA14*LN_IA4</f>
        <v>3699.9807726717545</v>
      </c>
      <c r="E31" s="463">
        <f t="shared" si="2"/>
        <v>47.770283716408358</v>
      </c>
      <c r="F31" s="449">
        <f t="shared" si="3"/>
        <v>1.3079827644345945E-2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653</v>
      </c>
      <c r="C32" s="465">
        <f>IF(C31=0,0,C28/C31)</f>
        <v>7390.9710520876924</v>
      </c>
      <c r="D32" s="465">
        <f>IF(LN_IA15=0,0,LN_IA12/LN_IA15)</f>
        <v>8019.7311345953958</v>
      </c>
      <c r="E32" s="465">
        <f t="shared" si="2"/>
        <v>628.76008250770337</v>
      </c>
      <c r="F32" s="449">
        <f t="shared" si="3"/>
        <v>8.5071376694149076E-2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654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655</v>
      </c>
      <c r="C35" s="448">
        <f>C15+C27</f>
        <v>227070873</v>
      </c>
      <c r="D35" s="448">
        <f>LN_IA1+LN_IA11</f>
        <v>243077198</v>
      </c>
      <c r="E35" s="448">
        <f>D35-C35</f>
        <v>16006325</v>
      </c>
      <c r="F35" s="449">
        <f>IF(C35=0,0,E35/C35)</f>
        <v>7.0490436701672432E-2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656</v>
      </c>
      <c r="C36" s="448">
        <f>C16+C28</f>
        <v>77840664</v>
      </c>
      <c r="D36" s="448">
        <f>LN_IA2+LN_IA12</f>
        <v>81515834</v>
      </c>
      <c r="E36" s="448">
        <f>D36-C36</f>
        <v>3675170</v>
      </c>
      <c r="F36" s="449">
        <f>IF(C36=0,0,E36/C36)</f>
        <v>4.7214011432379355E-2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657</v>
      </c>
      <c r="C37" s="448">
        <f>C35-C36</f>
        <v>149230209</v>
      </c>
      <c r="D37" s="448">
        <f>LN_IA17-LN_IA18</f>
        <v>161561364</v>
      </c>
      <c r="E37" s="448">
        <f>D37-C37</f>
        <v>12331155</v>
      </c>
      <c r="F37" s="449">
        <f>IF(C37=0,0,E37/C37)</f>
        <v>8.2631761240782017E-2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658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659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639</v>
      </c>
      <c r="C42" s="448">
        <v>52921319</v>
      </c>
      <c r="D42" s="448">
        <v>52893058</v>
      </c>
      <c r="E42" s="448">
        <f t="shared" ref="E42:E53" si="4">D42-C42</f>
        <v>-28261</v>
      </c>
      <c r="F42" s="449">
        <f t="shared" ref="F42:F53" si="5">IF(C42=0,0,E42/C42)</f>
        <v>-5.3401919177411281E-4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640</v>
      </c>
      <c r="C43" s="448">
        <v>35010054</v>
      </c>
      <c r="D43" s="448">
        <v>33452829</v>
      </c>
      <c r="E43" s="448">
        <f t="shared" si="4"/>
        <v>-1557225</v>
      </c>
      <c r="F43" s="449">
        <f t="shared" si="5"/>
        <v>-4.4479365841595106E-2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641</v>
      </c>
      <c r="C44" s="453">
        <f>IF(C42=0,0,C43/C42)</f>
        <v>0.6615491575332807</v>
      </c>
      <c r="D44" s="453">
        <f>IF(LN_IB1=0,0,LN_IB2/LN_IB1)</f>
        <v>0.63246161717479066</v>
      </c>
      <c r="E44" s="454">
        <f t="shared" si="4"/>
        <v>-2.9087540358490038E-2</v>
      </c>
      <c r="F44" s="449">
        <f t="shared" si="5"/>
        <v>-4.3968826847197252E-2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2804</v>
      </c>
      <c r="D45" s="456">
        <v>2607</v>
      </c>
      <c r="E45" s="456">
        <f t="shared" si="4"/>
        <v>-197</v>
      </c>
      <c r="F45" s="449">
        <f t="shared" si="5"/>
        <v>-7.0256776034236801E-2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642</v>
      </c>
      <c r="C46" s="459">
        <v>1.10877</v>
      </c>
      <c r="D46" s="459">
        <v>1.1429499999999999</v>
      </c>
      <c r="E46" s="460">
        <f t="shared" si="4"/>
        <v>3.4179999999999877E-2</v>
      </c>
      <c r="F46" s="449">
        <f t="shared" si="5"/>
        <v>3.0826952388682844E-2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643</v>
      </c>
      <c r="C47" s="463">
        <f>C45*C46</f>
        <v>3108.9910800000002</v>
      </c>
      <c r="D47" s="463">
        <f>LN_IB4*LN_IB5</f>
        <v>2979.6706499999996</v>
      </c>
      <c r="E47" s="463">
        <f t="shared" si="4"/>
        <v>-129.32043000000067</v>
      </c>
      <c r="F47" s="449">
        <f t="shared" si="5"/>
        <v>-4.1595625935343841E-2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644</v>
      </c>
      <c r="C48" s="465">
        <f>IF(C47=0,0,C43/C47)</f>
        <v>11260.905258049179</v>
      </c>
      <c r="D48" s="465">
        <f>IF(LN_IB6=0,0,LN_IB2/LN_IB6)</f>
        <v>11227.022355641891</v>
      </c>
      <c r="E48" s="465">
        <f t="shared" si="4"/>
        <v>-33.882902407287474</v>
      </c>
      <c r="F48" s="449">
        <f t="shared" si="5"/>
        <v>-3.0088968542798392E-3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660</v>
      </c>
      <c r="C49" s="465">
        <f>C21-C48</f>
        <v>-4445.6447822408827</v>
      </c>
      <c r="D49" s="465">
        <f>LN_IA7-LN_IB7</f>
        <v>-3975.1455190696988</v>
      </c>
      <c r="E49" s="465">
        <f t="shared" si="4"/>
        <v>470.49926317118388</v>
      </c>
      <c r="F49" s="449">
        <f t="shared" si="5"/>
        <v>-0.10583375105692157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661</v>
      </c>
      <c r="C50" s="479">
        <f>C49*C47</f>
        <v>-13821469.972835448</v>
      </c>
      <c r="D50" s="479">
        <f>LN_IB8*LN_IB6</f>
        <v>-11844624.432650995</v>
      </c>
      <c r="E50" s="479">
        <f t="shared" si="4"/>
        <v>1976845.5401844531</v>
      </c>
      <c r="F50" s="449">
        <f t="shared" si="5"/>
        <v>-0.14302715587196743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9388</v>
      </c>
      <c r="D51" s="456">
        <v>8667</v>
      </c>
      <c r="E51" s="456">
        <f t="shared" si="4"/>
        <v>-721</v>
      </c>
      <c r="F51" s="449">
        <f t="shared" si="5"/>
        <v>-7.6800170430336601E-2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645</v>
      </c>
      <c r="C52" s="465">
        <f>IF(C51=0,0,C43/C51)</f>
        <v>3729.2345547507457</v>
      </c>
      <c r="D52" s="465">
        <f>IF(LN_IB10=0,0,LN_IB2/LN_IB10)</f>
        <v>3859.7933541017651</v>
      </c>
      <c r="E52" s="465">
        <f t="shared" si="4"/>
        <v>130.55879935101939</v>
      </c>
      <c r="F52" s="449">
        <f t="shared" si="5"/>
        <v>3.5009543495916055E-2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646</v>
      </c>
      <c r="C53" s="466">
        <f>IF(C45=0,0,C51/C45)</f>
        <v>3.3480741797432239</v>
      </c>
      <c r="D53" s="466">
        <f>IF(LN_IB4=0,0,LN_IB10/LN_IB4)</f>
        <v>3.324510932105869</v>
      </c>
      <c r="E53" s="466">
        <f t="shared" si="4"/>
        <v>-2.3563247637354845E-2</v>
      </c>
      <c r="F53" s="449">
        <f t="shared" si="5"/>
        <v>-7.0378511264532371E-3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662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648</v>
      </c>
      <c r="C56" s="448">
        <v>122851558</v>
      </c>
      <c r="D56" s="448">
        <v>127897726</v>
      </c>
      <c r="E56" s="448">
        <f t="shared" ref="E56:E63" si="6">D56-C56</f>
        <v>5046168</v>
      </c>
      <c r="F56" s="449">
        <f t="shared" ref="F56:F63" si="7">IF(C56=0,0,E56/C56)</f>
        <v>4.1075327673093083E-2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649</v>
      </c>
      <c r="C57" s="448">
        <v>83307287</v>
      </c>
      <c r="D57" s="448">
        <v>82851058</v>
      </c>
      <c r="E57" s="448">
        <f t="shared" si="6"/>
        <v>-456229</v>
      </c>
      <c r="F57" s="449">
        <f t="shared" si="7"/>
        <v>-5.4764597003380986E-3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650</v>
      </c>
      <c r="C58" s="453">
        <f>IF(C56=0,0,C57/C56)</f>
        <v>0.67811339437795326</v>
      </c>
      <c r="D58" s="453">
        <f>IF(LN_IB13=0,0,LN_IB14/LN_IB13)</f>
        <v>0.64779148614417115</v>
      </c>
      <c r="E58" s="454">
        <f t="shared" si="6"/>
        <v>-3.0321908233782113E-2</v>
      </c>
      <c r="F58" s="449">
        <f t="shared" si="7"/>
        <v>-4.4715099989430226E-2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651</v>
      </c>
      <c r="C59" s="453">
        <f>IF(C42=0,0,C56/C42)</f>
        <v>2.3214001525547765</v>
      </c>
      <c r="D59" s="453">
        <f>IF(LN_IB1=0,0,LN_IB13/LN_IB1)</f>
        <v>2.4180437062270062</v>
      </c>
      <c r="E59" s="454">
        <f t="shared" si="6"/>
        <v>9.6643553672229654E-2</v>
      </c>
      <c r="F59" s="449">
        <f t="shared" si="7"/>
        <v>4.163157892699812E-2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652</v>
      </c>
      <c r="C60" s="463">
        <f>C59*C45</f>
        <v>6509.2060277635937</v>
      </c>
      <c r="D60" s="463">
        <f>LN_IB16*LN_IB4</f>
        <v>6303.8399421338054</v>
      </c>
      <c r="E60" s="463">
        <f t="shared" si="6"/>
        <v>-205.36608562978836</v>
      </c>
      <c r="F60" s="449">
        <f t="shared" si="7"/>
        <v>-3.1550097623864459E-2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653</v>
      </c>
      <c r="C61" s="465">
        <f>IF(C60=0,0,C57/C60)</f>
        <v>12798.379194739113</v>
      </c>
      <c r="D61" s="465">
        <f>IF(LN_IB17=0,0,LN_IB14/LN_IB17)</f>
        <v>13142.950766601396</v>
      </c>
      <c r="E61" s="465">
        <f t="shared" si="6"/>
        <v>344.57157186228324</v>
      </c>
      <c r="F61" s="449">
        <f t="shared" si="7"/>
        <v>2.6923063195683595E-2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663</v>
      </c>
      <c r="C62" s="465">
        <f>C32-C61</f>
        <v>-5407.4081426514203</v>
      </c>
      <c r="D62" s="465">
        <f>LN_IA16-LN_IB18</f>
        <v>-5123.2196320060002</v>
      </c>
      <c r="E62" s="465">
        <f t="shared" si="6"/>
        <v>284.18851064542014</v>
      </c>
      <c r="F62" s="449">
        <f t="shared" si="7"/>
        <v>-5.25554023569735E-2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664</v>
      </c>
      <c r="C63" s="448">
        <f>C62*C60</f>
        <v>-35197933.676724561</v>
      </c>
      <c r="D63" s="448">
        <f>LN_IB19*LN_IB17</f>
        <v>-32295956.54856348</v>
      </c>
      <c r="E63" s="448">
        <f t="shared" si="6"/>
        <v>2901977.1281610802</v>
      </c>
      <c r="F63" s="449">
        <f t="shared" si="7"/>
        <v>-8.244737190581386E-2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665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655</v>
      </c>
      <c r="C66" s="448">
        <f>C42+C56</f>
        <v>175772877</v>
      </c>
      <c r="D66" s="448">
        <f>LN_IB1+LN_IB13</f>
        <v>180790784</v>
      </c>
      <c r="E66" s="448">
        <f>D66-C66</f>
        <v>5017907</v>
      </c>
      <c r="F66" s="449">
        <f>IF(C66=0,0,E66/C66)</f>
        <v>2.8547675191093334E-2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656</v>
      </c>
      <c r="C67" s="448">
        <f>C43+C57</f>
        <v>118317341</v>
      </c>
      <c r="D67" s="448">
        <f>LN_IB2+LN_IB14</f>
        <v>116303887</v>
      </c>
      <c r="E67" s="448">
        <f>D67-C67</f>
        <v>-2013454</v>
      </c>
      <c r="F67" s="449">
        <f>IF(C67=0,0,E67/C67)</f>
        <v>-1.7017404067591411E-2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657</v>
      </c>
      <c r="C68" s="448">
        <f>C66-C67</f>
        <v>57455536</v>
      </c>
      <c r="D68" s="448">
        <f>LN_IB21-LN_IB22</f>
        <v>64486897</v>
      </c>
      <c r="E68" s="448">
        <f>D68-C68</f>
        <v>7031361</v>
      </c>
      <c r="F68" s="449">
        <f>IF(C68=0,0,E68/C68)</f>
        <v>0.12237917334893543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666</v>
      </c>
      <c r="C70" s="441">
        <f>C50+C63</f>
        <v>-49019403.649560004</v>
      </c>
      <c r="D70" s="441">
        <f>LN_IB9+LN_IB20</f>
        <v>-44140580.981214479</v>
      </c>
      <c r="E70" s="448">
        <f>D70-C70</f>
        <v>4878822.6683455259</v>
      </c>
      <c r="F70" s="449">
        <f>IF(C70=0,0,E70/C70)</f>
        <v>-9.9528397024661028E-2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667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668</v>
      </c>
      <c r="C73" s="488">
        <v>163272936</v>
      </c>
      <c r="D73" s="488">
        <v>180790784</v>
      </c>
      <c r="E73" s="488">
        <f>D73-C73</f>
        <v>17517848</v>
      </c>
      <c r="F73" s="489">
        <f>IF(C73=0,0,E73/C73)</f>
        <v>0.10729180493208011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669</v>
      </c>
      <c r="C74" s="488">
        <v>115287227</v>
      </c>
      <c r="D74" s="488">
        <v>130814180</v>
      </c>
      <c r="E74" s="488">
        <f>D74-C74</f>
        <v>15526953</v>
      </c>
      <c r="F74" s="489">
        <f>IF(C74=0,0,E74/C74)</f>
        <v>0.134680600826664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670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671</v>
      </c>
      <c r="C76" s="441">
        <f>C73-C74</f>
        <v>47985709</v>
      </c>
      <c r="D76" s="441">
        <f>LN_IB32-LN_IB33</f>
        <v>49976604</v>
      </c>
      <c r="E76" s="488">
        <f>D76-C76</f>
        <v>1990895</v>
      </c>
      <c r="F76" s="489">
        <f>IF(E76=0,0,E76/C76)</f>
        <v>4.1489331750834399E-2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672</v>
      </c>
      <c r="C77" s="453">
        <f>IF(C73=0,0,C76/C73)</f>
        <v>0.29389873285551749</v>
      </c>
      <c r="D77" s="453">
        <f>IF(LN_IB32=0,0,LN_IB34/LN_IB32)</f>
        <v>0.27643336067396002</v>
      </c>
      <c r="E77" s="493">
        <f>D77-C77</f>
        <v>-1.746537218155747E-2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673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674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639</v>
      </c>
      <c r="C83" s="448">
        <v>4451612</v>
      </c>
      <c r="D83" s="448">
        <v>2576251</v>
      </c>
      <c r="E83" s="448">
        <f t="shared" ref="E83:E95" si="8">D83-C83</f>
        <v>-1875361</v>
      </c>
      <c r="F83" s="449">
        <f t="shared" ref="F83:F95" si="9">IF(C83=0,0,E83/C83)</f>
        <v>-0.42127683185327025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640</v>
      </c>
      <c r="C84" s="448">
        <v>943085</v>
      </c>
      <c r="D84" s="448">
        <v>1035766</v>
      </c>
      <c r="E84" s="448">
        <f t="shared" si="8"/>
        <v>92681</v>
      </c>
      <c r="F84" s="449">
        <f t="shared" si="9"/>
        <v>9.8274280685198043E-2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641</v>
      </c>
      <c r="C85" s="453">
        <f>IF(C83=0,0,C84/C83)</f>
        <v>0.21185247052079112</v>
      </c>
      <c r="D85" s="453">
        <f>IF(LN_IC1=0,0,LN_IC2/LN_IC1)</f>
        <v>0.4020439002255603</v>
      </c>
      <c r="E85" s="454">
        <f t="shared" si="8"/>
        <v>0.19019142970476918</v>
      </c>
      <c r="F85" s="449">
        <f t="shared" si="9"/>
        <v>0.89775412690362688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242</v>
      </c>
      <c r="D86" s="456">
        <v>127</v>
      </c>
      <c r="E86" s="456">
        <f t="shared" si="8"/>
        <v>-115</v>
      </c>
      <c r="F86" s="449">
        <f t="shared" si="9"/>
        <v>-0.47520661157024796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642</v>
      </c>
      <c r="C87" s="459">
        <v>0.94379000000000002</v>
      </c>
      <c r="D87" s="459">
        <v>0.34031</v>
      </c>
      <c r="E87" s="460">
        <f t="shared" si="8"/>
        <v>-0.60348000000000002</v>
      </c>
      <c r="F87" s="449">
        <f t="shared" si="9"/>
        <v>-0.63942190529672915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643</v>
      </c>
      <c r="C88" s="463">
        <f>C86*C87</f>
        <v>228.39717999999999</v>
      </c>
      <c r="D88" s="463">
        <f>LN_IC4*LN_IC5</f>
        <v>43.219369999999998</v>
      </c>
      <c r="E88" s="463">
        <f t="shared" si="8"/>
        <v>-185.17780999999999</v>
      </c>
      <c r="F88" s="449">
        <f t="shared" si="9"/>
        <v>-0.81077099988712642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644</v>
      </c>
      <c r="C89" s="465">
        <f>IF(C88=0,0,C84/C88)</f>
        <v>4129.144676830073</v>
      </c>
      <c r="D89" s="465">
        <f>IF(LN_IC6=0,0,LN_IC2/LN_IC6)</f>
        <v>23965.319253843823</v>
      </c>
      <c r="E89" s="465">
        <f t="shared" si="8"/>
        <v>19836.17457701375</v>
      </c>
      <c r="F89" s="449">
        <f t="shared" si="9"/>
        <v>4.8039427362089668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675</v>
      </c>
      <c r="C90" s="465">
        <f>C48-C89</f>
        <v>7131.7605812191059</v>
      </c>
      <c r="D90" s="465">
        <f>LN_IB7-LN_IC7</f>
        <v>-12738.296898201932</v>
      </c>
      <c r="E90" s="465">
        <f t="shared" si="8"/>
        <v>-19870.057479421037</v>
      </c>
      <c r="F90" s="449">
        <f t="shared" si="9"/>
        <v>-2.7861363618609363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676</v>
      </c>
      <c r="C91" s="465">
        <f>C21-C89</f>
        <v>2686.1157989782232</v>
      </c>
      <c r="D91" s="465">
        <f>LN_IA7-LN_IC7</f>
        <v>-16713.442417271632</v>
      </c>
      <c r="E91" s="465">
        <f t="shared" si="8"/>
        <v>-19399.558216249854</v>
      </c>
      <c r="F91" s="449">
        <f t="shared" si="9"/>
        <v>-7.2221600511896362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661</v>
      </c>
      <c r="C92" s="441">
        <f>C91*C88</f>
        <v>613501.27364007302</v>
      </c>
      <c r="D92" s="441">
        <f>LN_IC9*LN_IC6</f>
        <v>-722344.45180575701</v>
      </c>
      <c r="E92" s="441">
        <f t="shared" si="8"/>
        <v>-1335845.72544583</v>
      </c>
      <c r="F92" s="449">
        <f t="shared" si="9"/>
        <v>-2.1774131250288811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882</v>
      </c>
      <c r="D93" s="456">
        <v>662</v>
      </c>
      <c r="E93" s="456">
        <f t="shared" si="8"/>
        <v>-220</v>
      </c>
      <c r="F93" s="449">
        <f t="shared" si="9"/>
        <v>-0.24943310657596371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645</v>
      </c>
      <c r="C94" s="499">
        <f>IF(C93=0,0,C84/C93)</f>
        <v>1069.2573696145125</v>
      </c>
      <c r="D94" s="499">
        <f>IF(LN_IC11=0,0,LN_IC2/LN_IC11)</f>
        <v>1564.6012084592146</v>
      </c>
      <c r="E94" s="499">
        <f t="shared" si="8"/>
        <v>495.34383884470208</v>
      </c>
      <c r="F94" s="449">
        <f t="shared" si="9"/>
        <v>0.4632596911848107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646</v>
      </c>
      <c r="C95" s="466">
        <f>IF(C86=0,0,C93/C86)</f>
        <v>3.6446280991735538</v>
      </c>
      <c r="D95" s="466">
        <f>IF(LN_IC4=0,0,LN_IC11/LN_IC4)</f>
        <v>5.21259842519685</v>
      </c>
      <c r="E95" s="466">
        <f t="shared" si="8"/>
        <v>1.5679703260232962</v>
      </c>
      <c r="F95" s="449">
        <f t="shared" si="9"/>
        <v>0.43021408038280917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677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648</v>
      </c>
      <c r="C98" s="448">
        <v>8048329</v>
      </c>
      <c r="D98" s="448">
        <v>6834430</v>
      </c>
      <c r="E98" s="448">
        <f t="shared" ref="E98:E106" si="10">D98-C98</f>
        <v>-1213899</v>
      </c>
      <c r="F98" s="449">
        <f t="shared" ref="F98:F106" si="11">IF(C98=0,0,E98/C98)</f>
        <v>-0.15082621498201676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649</v>
      </c>
      <c r="C99" s="448">
        <v>2160322</v>
      </c>
      <c r="D99" s="448">
        <v>1001844</v>
      </c>
      <c r="E99" s="448">
        <f t="shared" si="10"/>
        <v>-1158478</v>
      </c>
      <c r="F99" s="449">
        <f t="shared" si="11"/>
        <v>-0.5362524660675585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650</v>
      </c>
      <c r="C100" s="453">
        <f>IF(C98=0,0,C99/C98)</f>
        <v>0.26841869908648119</v>
      </c>
      <c r="D100" s="453">
        <f>IF(LN_IC14=0,0,LN_IC15/LN_IC14)</f>
        <v>0.14658779152028772</v>
      </c>
      <c r="E100" s="454">
        <f t="shared" si="10"/>
        <v>-0.12183090756619347</v>
      </c>
      <c r="F100" s="449">
        <f t="shared" si="11"/>
        <v>-0.45388383142018379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651</v>
      </c>
      <c r="C101" s="453">
        <f>IF(C83=0,0,C98/C83)</f>
        <v>1.8079583306002409</v>
      </c>
      <c r="D101" s="453">
        <f>IF(LN_IC1=0,0,LN_IC14/LN_IC1)</f>
        <v>2.6528587470708405</v>
      </c>
      <c r="E101" s="454">
        <f t="shared" si="10"/>
        <v>0.84490041647059955</v>
      </c>
      <c r="F101" s="449">
        <f t="shared" si="11"/>
        <v>0.46732294775294581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652</v>
      </c>
      <c r="C102" s="463">
        <f>C101*C86</f>
        <v>437.5259160052583</v>
      </c>
      <c r="D102" s="463">
        <f>LN_IC17*LN_IC4</f>
        <v>336.91306087799671</v>
      </c>
      <c r="E102" s="463">
        <f t="shared" si="10"/>
        <v>-100.61285512726158</v>
      </c>
      <c r="F102" s="449">
        <f t="shared" si="11"/>
        <v>-0.22995861832799955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653</v>
      </c>
      <c r="C103" s="465">
        <f>IF(C102=0,0,C99/C102)</f>
        <v>4937.5863713957388</v>
      </c>
      <c r="D103" s="465">
        <f>IF(LN_IC18=0,0,LN_IC15/LN_IC18)</f>
        <v>2973.5979881254552</v>
      </c>
      <c r="E103" s="465">
        <f t="shared" si="10"/>
        <v>-1963.9883832702835</v>
      </c>
      <c r="F103" s="449">
        <f t="shared" si="11"/>
        <v>-0.39776284110147331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678</v>
      </c>
      <c r="C104" s="465">
        <f>C61-C103</f>
        <v>7860.792823343374</v>
      </c>
      <c r="D104" s="465">
        <f>LN_IB18-LN_IC19</f>
        <v>10169.352778475941</v>
      </c>
      <c r="E104" s="465">
        <f t="shared" si="10"/>
        <v>2308.5599551325668</v>
      </c>
      <c r="F104" s="449">
        <f t="shared" si="11"/>
        <v>0.29368029497954429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679</v>
      </c>
      <c r="C105" s="465">
        <f>C32-C103</f>
        <v>2453.3846806919537</v>
      </c>
      <c r="D105" s="465">
        <f>LN_IA16-LN_IC19</f>
        <v>5046.1331464699406</v>
      </c>
      <c r="E105" s="465">
        <f t="shared" si="10"/>
        <v>2592.7484657779869</v>
      </c>
      <c r="F105" s="449">
        <f t="shared" si="11"/>
        <v>1.056804701758685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664</v>
      </c>
      <c r="C106" s="448">
        <f>C105*C102</f>
        <v>1073419.3797330151</v>
      </c>
      <c r="D106" s="448">
        <f>LN_IC21*LN_IC18</f>
        <v>1700108.1639751042</v>
      </c>
      <c r="E106" s="448">
        <f t="shared" si="10"/>
        <v>626688.78424208914</v>
      </c>
      <c r="F106" s="449">
        <f t="shared" si="11"/>
        <v>0.58382473437172477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680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655</v>
      </c>
      <c r="C109" s="448">
        <f>C83+C98</f>
        <v>12499941</v>
      </c>
      <c r="D109" s="448">
        <f>LN_IC1+LN_IC14</f>
        <v>9410681</v>
      </c>
      <c r="E109" s="448">
        <f>D109-C109</f>
        <v>-3089260</v>
      </c>
      <c r="F109" s="449">
        <f>IF(C109=0,0,E109/C109)</f>
        <v>-0.24714196651008194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656</v>
      </c>
      <c r="C110" s="448">
        <f>C84+C99</f>
        <v>3103407</v>
      </c>
      <c r="D110" s="448">
        <f>LN_IC2+LN_IC15</f>
        <v>2037610</v>
      </c>
      <c r="E110" s="448">
        <f>D110-C110</f>
        <v>-1065797</v>
      </c>
      <c r="F110" s="449">
        <f>IF(C110=0,0,E110/C110)</f>
        <v>-0.3434280453707812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657</v>
      </c>
      <c r="C111" s="448">
        <f>C109-C110</f>
        <v>9396534</v>
      </c>
      <c r="D111" s="448">
        <f>LN_IC23-LN_IC24</f>
        <v>7373071</v>
      </c>
      <c r="E111" s="448">
        <f>D111-C111</f>
        <v>-2023463</v>
      </c>
      <c r="F111" s="449">
        <f>IF(C111=0,0,E111/C111)</f>
        <v>-0.21534142269905052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666</v>
      </c>
      <c r="C113" s="448">
        <f>C92+C106</f>
        <v>1686920.6533730882</v>
      </c>
      <c r="D113" s="448">
        <f>LN_IC10+LN_IC22</f>
        <v>977763.71216934721</v>
      </c>
      <c r="E113" s="448">
        <f>D113-C113</f>
        <v>-709156.94120374101</v>
      </c>
      <c r="F113" s="449">
        <f>IF(C113=0,0,E113/C113)</f>
        <v>-0.42038547562135997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681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682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639</v>
      </c>
      <c r="C118" s="448">
        <v>36142007</v>
      </c>
      <c r="D118" s="448">
        <v>40223929</v>
      </c>
      <c r="E118" s="448">
        <f t="shared" ref="E118:E130" si="12">D118-C118</f>
        <v>4081922</v>
      </c>
      <c r="F118" s="449">
        <f t="shared" ref="F118:F130" si="13">IF(C118=0,0,E118/C118)</f>
        <v>0.11294120993336092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640</v>
      </c>
      <c r="C119" s="448">
        <v>12657458</v>
      </c>
      <c r="D119" s="448">
        <v>12188046</v>
      </c>
      <c r="E119" s="448">
        <f t="shared" si="12"/>
        <v>-469412</v>
      </c>
      <c r="F119" s="449">
        <f t="shared" si="13"/>
        <v>-3.7085803484396315E-2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641</v>
      </c>
      <c r="C120" s="453">
        <f>IF(C118=0,0,C119/C118)</f>
        <v>0.35021458548220635</v>
      </c>
      <c r="D120" s="453">
        <f>IF(LN_ID1=0,0,LN_1D2/LN_ID1)</f>
        <v>0.30300486061418813</v>
      </c>
      <c r="E120" s="454">
        <f t="shared" si="12"/>
        <v>-4.7209724868018221E-2</v>
      </c>
      <c r="F120" s="449">
        <f t="shared" si="13"/>
        <v>-0.13480228073030057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2111</v>
      </c>
      <c r="D121" s="456">
        <v>2182</v>
      </c>
      <c r="E121" s="456">
        <f t="shared" si="12"/>
        <v>71</v>
      </c>
      <c r="F121" s="449">
        <f t="shared" si="13"/>
        <v>3.3633349123638086E-2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642</v>
      </c>
      <c r="C122" s="459">
        <v>0.98575999999999997</v>
      </c>
      <c r="D122" s="459">
        <v>0.99990999999999997</v>
      </c>
      <c r="E122" s="460">
        <f t="shared" si="12"/>
        <v>1.4149999999999996E-2</v>
      </c>
      <c r="F122" s="449">
        <f t="shared" si="13"/>
        <v>1.4354406752150621E-2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643</v>
      </c>
      <c r="C123" s="463">
        <f>C121*C122</f>
        <v>2080.9393599999999</v>
      </c>
      <c r="D123" s="463">
        <f>LN_ID4*LN_ID5</f>
        <v>2181.8036200000001</v>
      </c>
      <c r="E123" s="463">
        <f t="shared" si="12"/>
        <v>100.86426000000029</v>
      </c>
      <c r="F123" s="449">
        <f t="shared" si="13"/>
        <v>4.8470542649546644E-2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644</v>
      </c>
      <c r="C124" s="465">
        <f>IF(C123=0,0,C119/C123)</f>
        <v>6082.5693642509605</v>
      </c>
      <c r="D124" s="465">
        <f>IF(LN_ID6=0,0,LN_1D2/LN_ID6)</f>
        <v>5586.2250333969105</v>
      </c>
      <c r="E124" s="465">
        <f t="shared" si="12"/>
        <v>-496.34433085404999</v>
      </c>
      <c r="F124" s="449">
        <f t="shared" si="13"/>
        <v>-8.1601096696276215E-2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683</v>
      </c>
      <c r="C125" s="465">
        <f>C48-C124</f>
        <v>5178.3358937982184</v>
      </c>
      <c r="D125" s="465">
        <f>LN_IB7-LN_ID7</f>
        <v>5640.7973222449809</v>
      </c>
      <c r="E125" s="465">
        <f t="shared" si="12"/>
        <v>462.46142844676251</v>
      </c>
      <c r="F125" s="449">
        <f t="shared" si="13"/>
        <v>8.9306958438255188E-2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684</v>
      </c>
      <c r="C126" s="465">
        <f>C21-C124</f>
        <v>732.69111155733572</v>
      </c>
      <c r="D126" s="465">
        <f>LN_IA7-LN_ID7</f>
        <v>1665.6518031752821</v>
      </c>
      <c r="E126" s="465">
        <f t="shared" si="12"/>
        <v>932.9606916179464</v>
      </c>
      <c r="F126" s="449">
        <f t="shared" si="13"/>
        <v>1.2733342562801635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661</v>
      </c>
      <c r="C127" s="479">
        <f>C126*C123</f>
        <v>1524685.7727618106</v>
      </c>
      <c r="D127" s="479">
        <f>LN_ID9*LN_ID6</f>
        <v>3634125.133827358</v>
      </c>
      <c r="E127" s="479">
        <f t="shared" si="12"/>
        <v>2109439.3610655474</v>
      </c>
      <c r="F127" s="449">
        <f t="shared" si="13"/>
        <v>1.3835240013058665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8183</v>
      </c>
      <c r="D128" s="456">
        <v>8199</v>
      </c>
      <c r="E128" s="456">
        <f t="shared" si="12"/>
        <v>16</v>
      </c>
      <c r="F128" s="449">
        <f t="shared" si="13"/>
        <v>1.9552731272149577E-3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645</v>
      </c>
      <c r="C129" s="465">
        <f>IF(C128=0,0,C119/C128)</f>
        <v>1546.7992178907491</v>
      </c>
      <c r="D129" s="465">
        <f>IF(LN_ID11=0,0,LN_1D2/LN_ID11)</f>
        <v>1486.5283571167215</v>
      </c>
      <c r="E129" s="465">
        <f t="shared" si="12"/>
        <v>-60.270860774027597</v>
      </c>
      <c r="F129" s="449">
        <f t="shared" si="13"/>
        <v>-3.8964889610051866E-2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646</v>
      </c>
      <c r="C130" s="466">
        <f>IF(C121=0,0,C128/C121)</f>
        <v>3.8763619137849359</v>
      </c>
      <c r="D130" s="466">
        <f>IF(LN_ID4=0,0,LN_ID11/LN_ID4)</f>
        <v>3.7575618698441797</v>
      </c>
      <c r="E130" s="466">
        <f t="shared" si="12"/>
        <v>-0.11880004394075616</v>
      </c>
      <c r="F130" s="449">
        <f t="shared" si="13"/>
        <v>-3.0647304504330473E-2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685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648</v>
      </c>
      <c r="C133" s="448">
        <v>64876057</v>
      </c>
      <c r="D133" s="448">
        <v>78467175</v>
      </c>
      <c r="E133" s="448">
        <f t="shared" ref="E133:E141" si="14">D133-C133</f>
        <v>13591118</v>
      </c>
      <c r="F133" s="449">
        <f t="shared" ref="F133:F141" si="15">IF(C133=0,0,E133/C133)</f>
        <v>0.20949358867478646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649</v>
      </c>
      <c r="C134" s="448">
        <v>15757381</v>
      </c>
      <c r="D134" s="448">
        <v>17449662</v>
      </c>
      <c r="E134" s="448">
        <f t="shared" si="14"/>
        <v>1692281</v>
      </c>
      <c r="F134" s="449">
        <f t="shared" si="15"/>
        <v>0.10739608314351223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650</v>
      </c>
      <c r="C135" s="453">
        <f>IF(C133=0,0,C134/C133)</f>
        <v>0.24288438182980202</v>
      </c>
      <c r="D135" s="453">
        <f>IF(LN_ID14=0,0,LN_ID15/LN_ID14)</f>
        <v>0.22238167743390788</v>
      </c>
      <c r="E135" s="454">
        <f t="shared" si="14"/>
        <v>-2.0502704395894134E-2</v>
      </c>
      <c r="F135" s="449">
        <f t="shared" si="15"/>
        <v>-8.4413432602929286E-2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651</v>
      </c>
      <c r="C136" s="453">
        <f>IF(C118=0,0,C133/C118)</f>
        <v>1.7950319416406511</v>
      </c>
      <c r="D136" s="453">
        <f>IF(LN_ID1=0,0,LN_ID14/LN_ID1)</f>
        <v>1.9507585894953225</v>
      </c>
      <c r="E136" s="454">
        <f t="shared" si="14"/>
        <v>0.1557266478546715</v>
      </c>
      <c r="F136" s="449">
        <f t="shared" si="15"/>
        <v>8.6754248903413961E-2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652</v>
      </c>
      <c r="C137" s="463">
        <f>C136*C121</f>
        <v>3789.3124288034142</v>
      </c>
      <c r="D137" s="463">
        <f>LN_ID17*LN_ID4</f>
        <v>4256.5552422787941</v>
      </c>
      <c r="E137" s="463">
        <f t="shared" si="14"/>
        <v>467.24281347537999</v>
      </c>
      <c r="F137" s="449">
        <f t="shared" si="15"/>
        <v>0.12330543396837973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653</v>
      </c>
      <c r="C138" s="465">
        <f>IF(C137=0,0,C134/C137)</f>
        <v>4158.3747173298807</v>
      </c>
      <c r="D138" s="465">
        <f>IF(LN_ID18=0,0,LN_ID15/LN_ID18)</f>
        <v>4099.4797451890063</v>
      </c>
      <c r="E138" s="465">
        <f t="shared" si="14"/>
        <v>-58.894972140874415</v>
      </c>
      <c r="F138" s="449">
        <f t="shared" si="15"/>
        <v>-1.4162978602056156E-2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686</v>
      </c>
      <c r="C139" s="465">
        <f>C61-C138</f>
        <v>8640.0044774092312</v>
      </c>
      <c r="D139" s="465">
        <f>LN_IB18-LN_ID19</f>
        <v>9043.4710214123897</v>
      </c>
      <c r="E139" s="465">
        <f t="shared" si="14"/>
        <v>403.46654400315856</v>
      </c>
      <c r="F139" s="449">
        <f t="shared" si="15"/>
        <v>4.6697492467520224E-2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687</v>
      </c>
      <c r="C140" s="465">
        <f>C32-C138</f>
        <v>3232.5963347578117</v>
      </c>
      <c r="D140" s="465">
        <f>LN_IA16-LN_ID19</f>
        <v>3920.2513894063895</v>
      </c>
      <c r="E140" s="465">
        <f t="shared" si="14"/>
        <v>687.65505464857779</v>
      </c>
      <c r="F140" s="449">
        <f t="shared" si="15"/>
        <v>0.21272530914383325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664</v>
      </c>
      <c r="C141" s="441">
        <f>C140*C137</f>
        <v>12249317.468602138</v>
      </c>
      <c r="D141" s="441">
        <f>LN_ID21*LN_ID18</f>
        <v>16686766.602628494</v>
      </c>
      <c r="E141" s="441">
        <f t="shared" si="14"/>
        <v>4437449.134026356</v>
      </c>
      <c r="F141" s="449">
        <f t="shared" si="15"/>
        <v>0.3622609296722511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688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655</v>
      </c>
      <c r="C144" s="448">
        <f>C118+C133</f>
        <v>101018064</v>
      </c>
      <c r="D144" s="448">
        <f>LN_ID1+LN_ID14</f>
        <v>118691104</v>
      </c>
      <c r="E144" s="448">
        <f>D144-C144</f>
        <v>17673040</v>
      </c>
      <c r="F144" s="449">
        <f>IF(C144=0,0,E144/C144)</f>
        <v>0.174949304116539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656</v>
      </c>
      <c r="C145" s="448">
        <f>C119+C134</f>
        <v>28414839</v>
      </c>
      <c r="D145" s="448">
        <f>LN_1D2+LN_ID15</f>
        <v>29637708</v>
      </c>
      <c r="E145" s="448">
        <f>D145-C145</f>
        <v>1222869</v>
      </c>
      <c r="F145" s="449">
        <f>IF(C145=0,0,E145/C145)</f>
        <v>4.3036281148733591E-2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657</v>
      </c>
      <c r="C146" s="448">
        <f>C144-C145</f>
        <v>72603225</v>
      </c>
      <c r="D146" s="448">
        <f>LN_ID23-LN_ID24</f>
        <v>89053396</v>
      </c>
      <c r="E146" s="448">
        <f>D146-C146</f>
        <v>16450171</v>
      </c>
      <c r="F146" s="449">
        <f>IF(C146=0,0,E146/C146)</f>
        <v>0.22657631255360902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666</v>
      </c>
      <c r="C148" s="448">
        <f>C127+C141</f>
        <v>13774003.241363948</v>
      </c>
      <c r="D148" s="448">
        <f>LN_ID10+LN_ID22</f>
        <v>20320891.73645585</v>
      </c>
      <c r="E148" s="448">
        <f>D148-C148</f>
        <v>6546888.4950919021</v>
      </c>
      <c r="F148" s="503">
        <f>IF(C148=0,0,E148/C148)</f>
        <v>0.47530760523064952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689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690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639</v>
      </c>
      <c r="C153" s="448">
        <v>0</v>
      </c>
      <c r="D153" s="448">
        <v>0</v>
      </c>
      <c r="E153" s="448">
        <f t="shared" ref="E153:E165" si="16">D153-C153</f>
        <v>0</v>
      </c>
      <c r="F153" s="449">
        <f t="shared" ref="F153:F165" si="17">IF(C153=0,0,E153/C153)</f>
        <v>0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640</v>
      </c>
      <c r="C154" s="448">
        <v>0</v>
      </c>
      <c r="D154" s="448">
        <v>0</v>
      </c>
      <c r="E154" s="448">
        <f t="shared" si="16"/>
        <v>0</v>
      </c>
      <c r="F154" s="449">
        <f t="shared" si="17"/>
        <v>0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641</v>
      </c>
      <c r="C155" s="453">
        <f>IF(C153=0,0,C154/C153)</f>
        <v>0</v>
      </c>
      <c r="D155" s="453">
        <f>IF(LN_IE1=0,0,LN_IE2/LN_IE1)</f>
        <v>0</v>
      </c>
      <c r="E155" s="454">
        <f t="shared" si="16"/>
        <v>0</v>
      </c>
      <c r="F155" s="449">
        <f t="shared" si="17"/>
        <v>0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0</v>
      </c>
      <c r="D156" s="506">
        <v>0</v>
      </c>
      <c r="E156" s="506">
        <f t="shared" si="16"/>
        <v>0</v>
      </c>
      <c r="F156" s="449">
        <f t="shared" si="17"/>
        <v>0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642</v>
      </c>
      <c r="C157" s="459">
        <v>0</v>
      </c>
      <c r="D157" s="459">
        <v>0</v>
      </c>
      <c r="E157" s="460">
        <f t="shared" si="16"/>
        <v>0</v>
      </c>
      <c r="F157" s="449">
        <f t="shared" si="17"/>
        <v>0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643</v>
      </c>
      <c r="C158" s="463">
        <f>C156*C157</f>
        <v>0</v>
      </c>
      <c r="D158" s="463">
        <f>LN_IE4*LN_IE5</f>
        <v>0</v>
      </c>
      <c r="E158" s="463">
        <f t="shared" si="16"/>
        <v>0</v>
      </c>
      <c r="F158" s="449">
        <f t="shared" si="17"/>
        <v>0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644</v>
      </c>
      <c r="C159" s="465">
        <f>IF(C158=0,0,C154/C158)</f>
        <v>0</v>
      </c>
      <c r="D159" s="465">
        <f>IF(LN_IE6=0,0,LN_IE2/LN_IE6)</f>
        <v>0</v>
      </c>
      <c r="E159" s="465">
        <f t="shared" si="16"/>
        <v>0</v>
      </c>
      <c r="F159" s="449">
        <f t="shared" si="17"/>
        <v>0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691</v>
      </c>
      <c r="C160" s="465">
        <f>C48-C159</f>
        <v>11260.905258049179</v>
      </c>
      <c r="D160" s="465">
        <f>LN_IB7-LN_IE7</f>
        <v>11227.022355641891</v>
      </c>
      <c r="E160" s="465">
        <f t="shared" si="16"/>
        <v>-33.882902407287474</v>
      </c>
      <c r="F160" s="449">
        <f t="shared" si="17"/>
        <v>-3.0088968542798392E-3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692</v>
      </c>
      <c r="C161" s="465">
        <f>C21-C159</f>
        <v>6815.2604758082962</v>
      </c>
      <c r="D161" s="465">
        <f>LN_IA7-LN_IE7</f>
        <v>7251.8768365721926</v>
      </c>
      <c r="E161" s="465">
        <f t="shared" si="16"/>
        <v>436.61636076389641</v>
      </c>
      <c r="F161" s="449">
        <f t="shared" si="17"/>
        <v>6.4064515555014537E-2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661</v>
      </c>
      <c r="C162" s="479">
        <f>C161*C158</f>
        <v>0</v>
      </c>
      <c r="D162" s="479">
        <f>LN_IE9*LN_IE6</f>
        <v>0</v>
      </c>
      <c r="E162" s="479">
        <f t="shared" si="16"/>
        <v>0</v>
      </c>
      <c r="F162" s="449">
        <f t="shared" si="17"/>
        <v>0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0</v>
      </c>
      <c r="D163" s="456">
        <v>0</v>
      </c>
      <c r="E163" s="506">
        <f t="shared" si="16"/>
        <v>0</v>
      </c>
      <c r="F163" s="449">
        <f t="shared" si="17"/>
        <v>0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645</v>
      </c>
      <c r="C164" s="465">
        <f>IF(C163=0,0,C154/C163)</f>
        <v>0</v>
      </c>
      <c r="D164" s="465">
        <f>IF(LN_IE11=0,0,LN_IE2/LN_IE11)</f>
        <v>0</v>
      </c>
      <c r="E164" s="465">
        <f t="shared" si="16"/>
        <v>0</v>
      </c>
      <c r="F164" s="449">
        <f t="shared" si="17"/>
        <v>0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646</v>
      </c>
      <c r="C165" s="466">
        <f>IF(C156=0,0,C163/C156)</f>
        <v>0</v>
      </c>
      <c r="D165" s="466">
        <f>IF(LN_IE4=0,0,LN_IE11/LN_IE4)</f>
        <v>0</v>
      </c>
      <c r="E165" s="466">
        <f t="shared" si="16"/>
        <v>0</v>
      </c>
      <c r="F165" s="449">
        <f t="shared" si="17"/>
        <v>0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693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648</v>
      </c>
      <c r="C168" s="511">
        <v>0</v>
      </c>
      <c r="D168" s="511">
        <v>0</v>
      </c>
      <c r="E168" s="511">
        <f t="shared" ref="E168:E176" si="18">D168-C168</f>
        <v>0</v>
      </c>
      <c r="F168" s="449">
        <f t="shared" ref="F168:F176" si="19">IF(C168=0,0,E168/C168)</f>
        <v>0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649</v>
      </c>
      <c r="C169" s="511">
        <v>0</v>
      </c>
      <c r="D169" s="511">
        <v>0</v>
      </c>
      <c r="E169" s="511">
        <f t="shared" si="18"/>
        <v>0</v>
      </c>
      <c r="F169" s="449">
        <f t="shared" si="19"/>
        <v>0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650</v>
      </c>
      <c r="C170" s="453">
        <f>IF(C168=0,0,C169/C168)</f>
        <v>0</v>
      </c>
      <c r="D170" s="453">
        <f>IF(LN_IE14=0,0,LN_IE15/LN_IE14)</f>
        <v>0</v>
      </c>
      <c r="E170" s="454">
        <f t="shared" si="18"/>
        <v>0</v>
      </c>
      <c r="F170" s="449">
        <f t="shared" si="19"/>
        <v>0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651</v>
      </c>
      <c r="C171" s="453">
        <f>IF(C153=0,0,C168/C153)</f>
        <v>0</v>
      </c>
      <c r="D171" s="453">
        <f>IF(LN_IE1=0,0,LN_IE14/LN_IE1)</f>
        <v>0</v>
      </c>
      <c r="E171" s="454">
        <f t="shared" si="18"/>
        <v>0</v>
      </c>
      <c r="F171" s="449">
        <f t="shared" si="19"/>
        <v>0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652</v>
      </c>
      <c r="C172" s="463">
        <f>C171*C156</f>
        <v>0</v>
      </c>
      <c r="D172" s="463">
        <f>LN_IE17*LN_IE4</f>
        <v>0</v>
      </c>
      <c r="E172" s="463">
        <f t="shared" si="18"/>
        <v>0</v>
      </c>
      <c r="F172" s="449">
        <f t="shared" si="19"/>
        <v>0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653</v>
      </c>
      <c r="C173" s="465">
        <f>IF(C172=0,0,C169/C172)</f>
        <v>0</v>
      </c>
      <c r="D173" s="465">
        <f>IF(LN_IE18=0,0,LN_IE15/LN_IE18)</f>
        <v>0</v>
      </c>
      <c r="E173" s="465">
        <f t="shared" si="18"/>
        <v>0</v>
      </c>
      <c r="F173" s="449">
        <f t="shared" si="19"/>
        <v>0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694</v>
      </c>
      <c r="C174" s="465">
        <f>C61-C173</f>
        <v>12798.379194739113</v>
      </c>
      <c r="D174" s="465">
        <f>LN_IB18-LN_IE19</f>
        <v>13142.950766601396</v>
      </c>
      <c r="E174" s="465">
        <f t="shared" si="18"/>
        <v>344.57157186228324</v>
      </c>
      <c r="F174" s="449">
        <f t="shared" si="19"/>
        <v>2.6923063195683595E-2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695</v>
      </c>
      <c r="C175" s="465">
        <f>C32-C173</f>
        <v>7390.9710520876924</v>
      </c>
      <c r="D175" s="465">
        <f>LN_IA16-LN_IE19</f>
        <v>8019.7311345953958</v>
      </c>
      <c r="E175" s="465">
        <f t="shared" si="18"/>
        <v>628.76008250770337</v>
      </c>
      <c r="F175" s="449">
        <f t="shared" si="19"/>
        <v>8.5071376694149076E-2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664</v>
      </c>
      <c r="C176" s="441">
        <f>C175*C172</f>
        <v>0</v>
      </c>
      <c r="D176" s="441">
        <f>LN_IE21*LN_IE18</f>
        <v>0</v>
      </c>
      <c r="E176" s="441">
        <f t="shared" si="18"/>
        <v>0</v>
      </c>
      <c r="F176" s="449">
        <f t="shared" si="19"/>
        <v>0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696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655</v>
      </c>
      <c r="C179" s="448">
        <f>C153+C168</f>
        <v>0</v>
      </c>
      <c r="D179" s="448">
        <f>LN_IE1+LN_IE14</f>
        <v>0</v>
      </c>
      <c r="E179" s="448">
        <f>D179-C179</f>
        <v>0</v>
      </c>
      <c r="F179" s="449">
        <f>IF(C179=0,0,E179/C179)</f>
        <v>0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656</v>
      </c>
      <c r="C180" s="448">
        <f>C154+C169</f>
        <v>0</v>
      </c>
      <c r="D180" s="448">
        <f>LN_IE15+LN_IE2</f>
        <v>0</v>
      </c>
      <c r="E180" s="448">
        <f>D180-C180</f>
        <v>0</v>
      </c>
      <c r="F180" s="449">
        <f>IF(C180=0,0,E180/C180)</f>
        <v>0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657</v>
      </c>
      <c r="C181" s="448">
        <f>C179-C180</f>
        <v>0</v>
      </c>
      <c r="D181" s="448">
        <f>LN_IE23-LN_IE24</f>
        <v>0</v>
      </c>
      <c r="E181" s="448">
        <f>D181-C181</f>
        <v>0</v>
      </c>
      <c r="F181" s="449">
        <f>IF(C181=0,0,E181/C181)</f>
        <v>0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697</v>
      </c>
      <c r="C183" s="448">
        <f>C162+C176</f>
        <v>0</v>
      </c>
      <c r="D183" s="448">
        <f>LN_IE10+LN_IE22</f>
        <v>0</v>
      </c>
      <c r="E183" s="441">
        <f>D183-C183</f>
        <v>0</v>
      </c>
      <c r="F183" s="449">
        <f>IF(C183=0,0,E183/C183)</f>
        <v>0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698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699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639</v>
      </c>
      <c r="C188" s="448">
        <f>C118+C153</f>
        <v>36142007</v>
      </c>
      <c r="D188" s="448">
        <f>LN_ID1+LN_IE1</f>
        <v>40223929</v>
      </c>
      <c r="E188" s="448">
        <f t="shared" ref="E188:E200" si="20">D188-C188</f>
        <v>4081922</v>
      </c>
      <c r="F188" s="449">
        <f t="shared" ref="F188:F200" si="21">IF(C188=0,0,E188/C188)</f>
        <v>0.11294120993336092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640</v>
      </c>
      <c r="C189" s="448">
        <f>C119+C154</f>
        <v>12657458</v>
      </c>
      <c r="D189" s="448">
        <f>LN_1D2+LN_IE2</f>
        <v>12188046</v>
      </c>
      <c r="E189" s="448">
        <f t="shared" si="20"/>
        <v>-469412</v>
      </c>
      <c r="F189" s="449">
        <f t="shared" si="21"/>
        <v>-3.7085803484396315E-2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641</v>
      </c>
      <c r="C190" s="453">
        <f>IF(C188=0,0,C189/C188)</f>
        <v>0.35021458548220635</v>
      </c>
      <c r="D190" s="453">
        <f>IF(LN_IF1=0,0,LN_IF2/LN_IF1)</f>
        <v>0.30300486061418813</v>
      </c>
      <c r="E190" s="454">
        <f t="shared" si="20"/>
        <v>-4.7209724868018221E-2</v>
      </c>
      <c r="F190" s="449">
        <f t="shared" si="21"/>
        <v>-0.13480228073030057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2111</v>
      </c>
      <c r="D191" s="456">
        <f>LN_ID4+LN_IE4</f>
        <v>2182</v>
      </c>
      <c r="E191" s="456">
        <f t="shared" si="20"/>
        <v>71</v>
      </c>
      <c r="F191" s="449">
        <f t="shared" si="21"/>
        <v>3.3633349123638086E-2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642</v>
      </c>
      <c r="C192" s="459">
        <f>IF((C121+C156)=0,0,(C123+C158)/(C121+C156))</f>
        <v>0.98575999999999997</v>
      </c>
      <c r="D192" s="459">
        <f>IF((LN_ID4+LN_IE4)=0,0,(LN_ID6+LN_IE6)/(LN_ID4+LN_IE4))</f>
        <v>0.99991000000000008</v>
      </c>
      <c r="E192" s="460">
        <f t="shared" si="20"/>
        <v>1.4150000000000107E-2</v>
      </c>
      <c r="F192" s="449">
        <f t="shared" si="21"/>
        <v>1.4354406752150734E-2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643</v>
      </c>
      <c r="C193" s="463">
        <f>C123+C158</f>
        <v>2080.9393599999999</v>
      </c>
      <c r="D193" s="463">
        <f>LN_IF4*LN_IF5</f>
        <v>2181.8036200000001</v>
      </c>
      <c r="E193" s="463">
        <f t="shared" si="20"/>
        <v>100.86426000000029</v>
      </c>
      <c r="F193" s="449">
        <f t="shared" si="21"/>
        <v>4.8470542649546644E-2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644</v>
      </c>
      <c r="C194" s="465">
        <f>IF(C193=0,0,C189/C193)</f>
        <v>6082.5693642509605</v>
      </c>
      <c r="D194" s="465">
        <f>IF(LN_IF6=0,0,LN_IF2/LN_IF6)</f>
        <v>5586.2250333969105</v>
      </c>
      <c r="E194" s="465">
        <f t="shared" si="20"/>
        <v>-496.34433085404999</v>
      </c>
      <c r="F194" s="449">
        <f t="shared" si="21"/>
        <v>-8.1601096696276215E-2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700</v>
      </c>
      <c r="C195" s="465">
        <f>C48-C194</f>
        <v>5178.3358937982184</v>
      </c>
      <c r="D195" s="465">
        <f>LN_IB7-LN_IF7</f>
        <v>5640.7973222449809</v>
      </c>
      <c r="E195" s="465">
        <f t="shared" si="20"/>
        <v>462.46142844676251</v>
      </c>
      <c r="F195" s="449">
        <f t="shared" si="21"/>
        <v>8.9306958438255188E-2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701</v>
      </c>
      <c r="C196" s="465">
        <f>C21-C194</f>
        <v>732.69111155733572</v>
      </c>
      <c r="D196" s="465">
        <f>LN_IA7-LN_IF7</f>
        <v>1665.6518031752821</v>
      </c>
      <c r="E196" s="465">
        <f t="shared" si="20"/>
        <v>932.9606916179464</v>
      </c>
      <c r="F196" s="449">
        <f t="shared" si="21"/>
        <v>1.2733342562801635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661</v>
      </c>
      <c r="C197" s="479">
        <f>C127+C162</f>
        <v>1524685.7727618106</v>
      </c>
      <c r="D197" s="479">
        <f>LN_IF9*LN_IF6</f>
        <v>3634125.133827358</v>
      </c>
      <c r="E197" s="479">
        <f t="shared" si="20"/>
        <v>2109439.3610655474</v>
      </c>
      <c r="F197" s="449">
        <f t="shared" si="21"/>
        <v>1.3835240013058665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8183</v>
      </c>
      <c r="D198" s="456">
        <f>LN_ID11+LN_IE11</f>
        <v>8199</v>
      </c>
      <c r="E198" s="456">
        <f t="shared" si="20"/>
        <v>16</v>
      </c>
      <c r="F198" s="449">
        <f t="shared" si="21"/>
        <v>1.9552731272149577E-3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645</v>
      </c>
      <c r="C199" s="519">
        <f>IF(C198=0,0,C189/C198)</f>
        <v>1546.7992178907491</v>
      </c>
      <c r="D199" s="519">
        <f>IF(LN_IF11=0,0,LN_IF2/LN_IF11)</f>
        <v>1486.5283571167215</v>
      </c>
      <c r="E199" s="519">
        <f t="shared" si="20"/>
        <v>-60.270860774027597</v>
      </c>
      <c r="F199" s="449">
        <f t="shared" si="21"/>
        <v>-3.8964889610051866E-2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646</v>
      </c>
      <c r="C200" s="466">
        <f>IF(C191=0,0,C198/C191)</f>
        <v>3.8763619137849359</v>
      </c>
      <c r="D200" s="466">
        <f>IF(LN_IF4=0,0,LN_IF11/LN_IF4)</f>
        <v>3.7575618698441797</v>
      </c>
      <c r="E200" s="466">
        <f t="shared" si="20"/>
        <v>-0.11880004394075616</v>
      </c>
      <c r="F200" s="449">
        <f t="shared" si="21"/>
        <v>-3.0647304504330473E-2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702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648</v>
      </c>
      <c r="C203" s="448">
        <f>C133+C168</f>
        <v>64876057</v>
      </c>
      <c r="D203" s="448">
        <f>LN_ID14+LN_IE14</f>
        <v>78467175</v>
      </c>
      <c r="E203" s="448">
        <f t="shared" ref="E203:E211" si="22">D203-C203</f>
        <v>13591118</v>
      </c>
      <c r="F203" s="449">
        <f t="shared" ref="F203:F211" si="23">IF(C203=0,0,E203/C203)</f>
        <v>0.20949358867478646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649</v>
      </c>
      <c r="C204" s="448">
        <f>C134+C169</f>
        <v>15757381</v>
      </c>
      <c r="D204" s="448">
        <f>LN_ID15+LN_IE15</f>
        <v>17449662</v>
      </c>
      <c r="E204" s="448">
        <f t="shared" si="22"/>
        <v>1692281</v>
      </c>
      <c r="F204" s="449">
        <f t="shared" si="23"/>
        <v>0.10739608314351223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650</v>
      </c>
      <c r="C205" s="453">
        <f>IF(C203=0,0,C204/C203)</f>
        <v>0.24288438182980202</v>
      </c>
      <c r="D205" s="453">
        <f>IF(LN_IF14=0,0,LN_IF15/LN_IF14)</f>
        <v>0.22238167743390788</v>
      </c>
      <c r="E205" s="454">
        <f t="shared" si="22"/>
        <v>-2.0502704395894134E-2</v>
      </c>
      <c r="F205" s="449">
        <f t="shared" si="23"/>
        <v>-8.4413432602929286E-2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651</v>
      </c>
      <c r="C206" s="453">
        <f>IF(C188=0,0,C203/C188)</f>
        <v>1.7950319416406511</v>
      </c>
      <c r="D206" s="453">
        <f>IF(LN_IF1=0,0,LN_IF14/LN_IF1)</f>
        <v>1.9507585894953225</v>
      </c>
      <c r="E206" s="454">
        <f t="shared" si="22"/>
        <v>0.1557266478546715</v>
      </c>
      <c r="F206" s="449">
        <f t="shared" si="23"/>
        <v>8.6754248903413961E-2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652</v>
      </c>
      <c r="C207" s="463">
        <f>C137+C172</f>
        <v>3789.3124288034142</v>
      </c>
      <c r="D207" s="463">
        <f>LN_ID18+LN_IE18</f>
        <v>4256.5552422787941</v>
      </c>
      <c r="E207" s="463">
        <f t="shared" si="22"/>
        <v>467.24281347537999</v>
      </c>
      <c r="F207" s="449">
        <f t="shared" si="23"/>
        <v>0.12330543396837973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653</v>
      </c>
      <c r="C208" s="465">
        <f>IF(C207=0,0,C204/C207)</f>
        <v>4158.3747173298807</v>
      </c>
      <c r="D208" s="465">
        <f>IF(LN_IF18=0,0,LN_IF15/LN_IF18)</f>
        <v>4099.4797451890063</v>
      </c>
      <c r="E208" s="465">
        <f t="shared" si="22"/>
        <v>-58.894972140874415</v>
      </c>
      <c r="F208" s="449">
        <f t="shared" si="23"/>
        <v>-1.4162978602056156E-2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703</v>
      </c>
      <c r="C209" s="465">
        <f>C61-C208</f>
        <v>8640.0044774092312</v>
      </c>
      <c r="D209" s="465">
        <f>LN_IB18-LN_IF19</f>
        <v>9043.4710214123897</v>
      </c>
      <c r="E209" s="465">
        <f t="shared" si="22"/>
        <v>403.46654400315856</v>
      </c>
      <c r="F209" s="449">
        <f t="shared" si="23"/>
        <v>4.6697492467520224E-2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704</v>
      </c>
      <c r="C210" s="465">
        <f>C32-C208</f>
        <v>3232.5963347578117</v>
      </c>
      <c r="D210" s="465">
        <f>LN_IA16-LN_IF19</f>
        <v>3920.2513894063895</v>
      </c>
      <c r="E210" s="465">
        <f t="shared" si="22"/>
        <v>687.65505464857779</v>
      </c>
      <c r="F210" s="449">
        <f t="shared" si="23"/>
        <v>0.21272530914383325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664</v>
      </c>
      <c r="C211" s="479">
        <f>C141+C176</f>
        <v>12249317.468602138</v>
      </c>
      <c r="D211" s="441">
        <f>LN_IF21*LN_IF18</f>
        <v>16686766.602628494</v>
      </c>
      <c r="E211" s="441">
        <f t="shared" si="22"/>
        <v>4437449.134026356</v>
      </c>
      <c r="F211" s="449">
        <f t="shared" si="23"/>
        <v>0.3622609296722511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705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655</v>
      </c>
      <c r="C214" s="448">
        <f>C188+C203</f>
        <v>101018064</v>
      </c>
      <c r="D214" s="448">
        <f>LN_IF1+LN_IF14</f>
        <v>118691104</v>
      </c>
      <c r="E214" s="448">
        <f>D214-C214</f>
        <v>17673040</v>
      </c>
      <c r="F214" s="449">
        <f>IF(C214=0,0,E214/C214)</f>
        <v>0.174949304116539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656</v>
      </c>
      <c r="C215" s="448">
        <f>C189+C204</f>
        <v>28414839</v>
      </c>
      <c r="D215" s="448">
        <f>LN_IF2+LN_IF15</f>
        <v>29637708</v>
      </c>
      <c r="E215" s="448">
        <f>D215-C215</f>
        <v>1222869</v>
      </c>
      <c r="F215" s="449">
        <f>IF(C215=0,0,E215/C215)</f>
        <v>4.3036281148733591E-2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657</v>
      </c>
      <c r="C216" s="448">
        <f>C214-C215</f>
        <v>72603225</v>
      </c>
      <c r="D216" s="448">
        <f>LN_IF23-LN_IF24</f>
        <v>89053396</v>
      </c>
      <c r="E216" s="448">
        <f>D216-C216</f>
        <v>16450171</v>
      </c>
      <c r="F216" s="449">
        <f>IF(C216=0,0,E216/C216)</f>
        <v>0.22657631255360902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706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707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639</v>
      </c>
      <c r="C221" s="448">
        <v>291509</v>
      </c>
      <c r="D221" s="448">
        <v>106532</v>
      </c>
      <c r="E221" s="448">
        <f t="shared" ref="E221:E230" si="24">D221-C221</f>
        <v>-184977</v>
      </c>
      <c r="F221" s="449">
        <f t="shared" ref="F221:F230" si="25">IF(C221=0,0,E221/C221)</f>
        <v>-0.63454987667619178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640</v>
      </c>
      <c r="C222" s="448">
        <v>60612</v>
      </c>
      <c r="D222" s="448">
        <v>21397</v>
      </c>
      <c r="E222" s="448">
        <f t="shared" si="24"/>
        <v>-39215</v>
      </c>
      <c r="F222" s="449">
        <f t="shared" si="25"/>
        <v>-0.64698409555863523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641</v>
      </c>
      <c r="C223" s="453">
        <f>IF(C221=0,0,C222/C221)</f>
        <v>0.20792496972649216</v>
      </c>
      <c r="D223" s="453">
        <f>IF(LN_IG1=0,0,LN_IG2/LN_IG1)</f>
        <v>0.20085044869147298</v>
      </c>
      <c r="E223" s="454">
        <f t="shared" si="24"/>
        <v>-7.0745210350191823E-3</v>
      </c>
      <c r="F223" s="449">
        <f t="shared" si="25"/>
        <v>-3.4024393723972264E-2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24</v>
      </c>
      <c r="D224" s="456">
        <v>12</v>
      </c>
      <c r="E224" s="456">
        <f t="shared" si="24"/>
        <v>-12</v>
      </c>
      <c r="F224" s="449">
        <f t="shared" si="25"/>
        <v>-0.5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642</v>
      </c>
      <c r="C225" s="459">
        <v>0.72829999999999995</v>
      </c>
      <c r="D225" s="459">
        <v>0.55530000000000002</v>
      </c>
      <c r="E225" s="460">
        <f t="shared" si="24"/>
        <v>-0.17299999999999993</v>
      </c>
      <c r="F225" s="449">
        <f t="shared" si="25"/>
        <v>-0.23753947549086907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643</v>
      </c>
      <c r="C226" s="463">
        <f>C224*C225</f>
        <v>17.479199999999999</v>
      </c>
      <c r="D226" s="463">
        <f>LN_IG3*LN_IG4</f>
        <v>6.6636000000000006</v>
      </c>
      <c r="E226" s="463">
        <f t="shared" si="24"/>
        <v>-10.815599999999998</v>
      </c>
      <c r="F226" s="449">
        <f t="shared" si="25"/>
        <v>-0.61876973774543453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644</v>
      </c>
      <c r="C227" s="465">
        <f>IF(C226=0,0,C222/C226)</f>
        <v>3467.6644240010987</v>
      </c>
      <c r="D227" s="465">
        <f>IF(LN_IG5=0,0,LN_IG2/LN_IG5)</f>
        <v>3211.0270724533284</v>
      </c>
      <c r="E227" s="465">
        <f t="shared" si="24"/>
        <v>-256.63735154777032</v>
      </c>
      <c r="F227" s="449">
        <f t="shared" si="25"/>
        <v>-7.4008704467329683E-2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70</v>
      </c>
      <c r="D228" s="456">
        <v>26</v>
      </c>
      <c r="E228" s="456">
        <f t="shared" si="24"/>
        <v>-44</v>
      </c>
      <c r="F228" s="449">
        <f t="shared" si="25"/>
        <v>-0.62857142857142856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645</v>
      </c>
      <c r="C229" s="465">
        <f>IF(C228=0,0,C222/C228)</f>
        <v>865.88571428571424</v>
      </c>
      <c r="D229" s="465">
        <f>IF(LN_IG6=0,0,LN_IG2/LN_IG6)</f>
        <v>822.96153846153845</v>
      </c>
      <c r="E229" s="465">
        <f t="shared" si="24"/>
        <v>-42.924175824175791</v>
      </c>
      <c r="F229" s="449">
        <f t="shared" si="25"/>
        <v>-4.9572564965556419E-2</v>
      </c>
      <c r="Q229" s="421"/>
      <c r="U229" s="462"/>
    </row>
    <row r="230" spans="1:21" ht="15.75" customHeight="1" x14ac:dyDescent="0.2">
      <c r="A230" s="451">
        <v>10</v>
      </c>
      <c r="B230" s="447" t="s">
        <v>646</v>
      </c>
      <c r="C230" s="466">
        <f>IF(C224=0,0,C228/C224)</f>
        <v>2.9166666666666665</v>
      </c>
      <c r="D230" s="466">
        <f>IF(LN_IG3=0,0,LN_IG6/LN_IG3)</f>
        <v>2.1666666666666665</v>
      </c>
      <c r="E230" s="466">
        <f t="shared" si="24"/>
        <v>-0.75</v>
      </c>
      <c r="F230" s="449">
        <f t="shared" si="25"/>
        <v>-0.25714285714285717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708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648</v>
      </c>
      <c r="C233" s="448">
        <v>894335</v>
      </c>
      <c r="D233" s="448">
        <v>763906</v>
      </c>
      <c r="E233" s="448">
        <f>D233-C233</f>
        <v>-130429</v>
      </c>
      <c r="F233" s="449">
        <f>IF(C233=0,0,E233/C233)</f>
        <v>-0.14583908714296098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649</v>
      </c>
      <c r="C234" s="448">
        <v>185955</v>
      </c>
      <c r="D234" s="448">
        <v>153431</v>
      </c>
      <c r="E234" s="448">
        <f>D234-C234</f>
        <v>-32524</v>
      </c>
      <c r="F234" s="449">
        <f>IF(C234=0,0,E234/C234)</f>
        <v>-0.17490253018203328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709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655</v>
      </c>
      <c r="C237" s="448">
        <f>C221+C233</f>
        <v>1185844</v>
      </c>
      <c r="D237" s="448">
        <f>LN_IG1+LN_IG9</f>
        <v>870438</v>
      </c>
      <c r="E237" s="448">
        <f>D237-C237</f>
        <v>-315406</v>
      </c>
      <c r="F237" s="449">
        <f>IF(C237=0,0,E237/C237)</f>
        <v>-0.2659759631115054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656</v>
      </c>
      <c r="C238" s="448">
        <f>C222+C234</f>
        <v>246567</v>
      </c>
      <c r="D238" s="448">
        <f>LN_IG2+LN_IG10</f>
        <v>174828</v>
      </c>
      <c r="E238" s="448">
        <f>D238-C238</f>
        <v>-71739</v>
      </c>
      <c r="F238" s="449">
        <f>IF(C238=0,0,E238/C238)</f>
        <v>-0.29095134385380039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657</v>
      </c>
      <c r="C239" s="448">
        <f>C237-C238</f>
        <v>939277</v>
      </c>
      <c r="D239" s="448">
        <f>LN_IG13-LN_IG14</f>
        <v>695610</v>
      </c>
      <c r="E239" s="448">
        <f>D239-C239</f>
        <v>-243667</v>
      </c>
      <c r="F239" s="449">
        <f>IF(C239=0,0,E239/C239)</f>
        <v>-0.25941974518698957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710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711</v>
      </c>
      <c r="C243" s="448">
        <v>9116321</v>
      </c>
      <c r="D243" s="448">
        <v>8597041</v>
      </c>
      <c r="E243" s="441">
        <f>D243-C243</f>
        <v>-519280</v>
      </c>
      <c r="F243" s="503">
        <f>IF(C243=0,0,E243/C243)</f>
        <v>-5.6961574740512097E-2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712</v>
      </c>
      <c r="C244" s="448">
        <v>210520148</v>
      </c>
      <c r="D244" s="448">
        <v>208792651</v>
      </c>
      <c r="E244" s="441">
        <f>D244-C244</f>
        <v>-1727497</v>
      </c>
      <c r="F244" s="503">
        <f>IF(C244=0,0,E244/C244)</f>
        <v>-8.2058511568213408E-3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713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714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715</v>
      </c>
      <c r="C248" s="441">
        <v>7131143</v>
      </c>
      <c r="D248" s="441">
        <v>8125010</v>
      </c>
      <c r="E248" s="441">
        <f>D248-C248</f>
        <v>993867</v>
      </c>
      <c r="F248" s="449">
        <f>IF(C248=0,0,E248/C248)</f>
        <v>0.13936994392063096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716</v>
      </c>
      <c r="C249" s="441">
        <v>2265391</v>
      </c>
      <c r="D249" s="441">
        <v>6385283</v>
      </c>
      <c r="E249" s="441">
        <f>D249-C249</f>
        <v>4119892</v>
      </c>
      <c r="F249" s="449">
        <f>IF(C249=0,0,E249/C249)</f>
        <v>1.8186229220474524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717</v>
      </c>
      <c r="C250" s="441">
        <f>C248+C249</f>
        <v>9396534</v>
      </c>
      <c r="D250" s="441">
        <f>LN_IH4+LN_IH5</f>
        <v>14510293</v>
      </c>
      <c r="E250" s="441">
        <f>D250-C250</f>
        <v>5113759</v>
      </c>
      <c r="F250" s="449">
        <f>IF(C250=0,0,E250/C250)</f>
        <v>0.54421758065261083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718</v>
      </c>
      <c r="C251" s="441">
        <f>C250*C313</f>
        <v>4148556.4023058633</v>
      </c>
      <c r="D251" s="441">
        <f>LN_IH6*LN_III10</f>
        <v>6035506.374894592</v>
      </c>
      <c r="E251" s="441">
        <f>D251-C251</f>
        <v>1886949.9725887286</v>
      </c>
      <c r="F251" s="449">
        <f>IF(C251=0,0,E251/C251)</f>
        <v>0.45484496041560829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719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655</v>
      </c>
      <c r="C254" s="441">
        <f>C188+C203</f>
        <v>101018064</v>
      </c>
      <c r="D254" s="441">
        <f>LN_IF23</f>
        <v>118691104</v>
      </c>
      <c r="E254" s="441">
        <f>D254-C254</f>
        <v>17673040</v>
      </c>
      <c r="F254" s="449">
        <f>IF(C254=0,0,E254/C254)</f>
        <v>0.174949304116539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656</v>
      </c>
      <c r="C255" s="441">
        <f>C189+C204</f>
        <v>28414839</v>
      </c>
      <c r="D255" s="441">
        <f>LN_IF24</f>
        <v>29637708</v>
      </c>
      <c r="E255" s="441">
        <f>D255-C255</f>
        <v>1222869</v>
      </c>
      <c r="F255" s="449">
        <f>IF(C255=0,0,E255/C255)</f>
        <v>4.3036281148733591E-2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720</v>
      </c>
      <c r="C256" s="441">
        <f>C254*C313</f>
        <v>44599331.642469816</v>
      </c>
      <c r="D256" s="441">
        <f>LN_IH8*LN_III10</f>
        <v>49369155.732091494</v>
      </c>
      <c r="E256" s="441">
        <f>D256-C256</f>
        <v>4769824.089621678</v>
      </c>
      <c r="F256" s="449">
        <f>IF(C256=0,0,E256/C256)</f>
        <v>0.10694833115121398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721</v>
      </c>
      <c r="C257" s="441">
        <f>C256-C255</f>
        <v>16184492.642469816</v>
      </c>
      <c r="D257" s="441">
        <f>LN_IH10-LN_IH9</f>
        <v>19731447.732091494</v>
      </c>
      <c r="E257" s="441">
        <f>D257-C257</f>
        <v>3546955.089621678</v>
      </c>
      <c r="F257" s="449">
        <f>IF(C257=0,0,E257/C257)</f>
        <v>0.21915763243106515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722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723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219546008</v>
      </c>
      <c r="D261" s="448">
        <f>LN_IA1+LN_IB1+LN_IF1+LN_IG1</f>
        <v>226391995</v>
      </c>
      <c r="E261" s="448">
        <f t="shared" ref="E261:E274" si="26">D261-C261</f>
        <v>6845987</v>
      </c>
      <c r="F261" s="503">
        <f t="shared" ref="F261:F274" si="27">IF(C261=0,0,E261/C261)</f>
        <v>3.1182470874168661E-2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98575406</v>
      </c>
      <c r="D262" s="448">
        <f>+LN_IA2+LN_IB2+LN_IF2+LN_IG2</f>
        <v>97505255</v>
      </c>
      <c r="E262" s="448">
        <f t="shared" si="26"/>
        <v>-1070151</v>
      </c>
      <c r="F262" s="503">
        <f t="shared" si="27"/>
        <v>-1.0856166293649352E-2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724</v>
      </c>
      <c r="C263" s="453">
        <f>IF(C261=0,0,C262/C261)</f>
        <v>0.44899657660821601</v>
      </c>
      <c r="D263" s="453">
        <f>IF(LN_IIA1=0,0,LN_IIA2/LN_IIA1)</f>
        <v>0.43069214969372038</v>
      </c>
      <c r="E263" s="454">
        <f t="shared" si="26"/>
        <v>-1.8304426914495631E-2</v>
      </c>
      <c r="F263" s="458">
        <f t="shared" si="27"/>
        <v>-4.0767408635428527E-2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9847</v>
      </c>
      <c r="D264" s="456">
        <f>LN_IA4+LN_IB4+LN_IF4+LN_IG3</f>
        <v>9284</v>
      </c>
      <c r="E264" s="456">
        <f t="shared" si="26"/>
        <v>-563</v>
      </c>
      <c r="F264" s="503">
        <f t="shared" si="27"/>
        <v>-5.7174774042855689E-2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725</v>
      </c>
      <c r="C265" s="525">
        <f>IF(C264=0,0,C266/C264)</f>
        <v>1.2865042835381333</v>
      </c>
      <c r="D265" s="525">
        <f>IF(LN_IIA4=0,0,LN_IIA6/LN_IIA4)</f>
        <v>1.3266957647565705</v>
      </c>
      <c r="E265" s="525">
        <f t="shared" si="26"/>
        <v>4.0191481218437186E-2</v>
      </c>
      <c r="F265" s="503">
        <f t="shared" si="27"/>
        <v>3.1240845236754994E-2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726</v>
      </c>
      <c r="C266" s="463">
        <f>C20+C47+C193+C226</f>
        <v>12668.20768</v>
      </c>
      <c r="D266" s="463">
        <f>LN_IA6+LN_IB6+LN_IF6+LN_IG5</f>
        <v>12317.04348</v>
      </c>
      <c r="E266" s="463">
        <f t="shared" si="26"/>
        <v>-351.16419999999925</v>
      </c>
      <c r="F266" s="503">
        <f t="shared" si="27"/>
        <v>-2.7720117073420071E-2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285501650</v>
      </c>
      <c r="D267" s="448">
        <f>LN_IA11+LN_IB13+LN_IF14+LN_IG9</f>
        <v>317037529</v>
      </c>
      <c r="E267" s="448">
        <f t="shared" si="26"/>
        <v>31535879</v>
      </c>
      <c r="F267" s="503">
        <f t="shared" si="27"/>
        <v>0.11045778194276636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651</v>
      </c>
      <c r="C268" s="453">
        <f>IF(C261=0,0,C267/C261)</f>
        <v>1.3004183159640963</v>
      </c>
      <c r="D268" s="453">
        <f>IF(LN_IIA1=0,0,LN_IIA7/LN_IIA1)</f>
        <v>1.4003919573216359</v>
      </c>
      <c r="E268" s="454">
        <f t="shared" si="26"/>
        <v>9.9973641357539611E-2</v>
      </c>
      <c r="F268" s="458">
        <f t="shared" si="27"/>
        <v>7.6878063104964617E-2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126244005</v>
      </c>
      <c r="D269" s="448">
        <f>LN_IA12+LN_IB14+LN_IF15+LN_IG10</f>
        <v>130127002</v>
      </c>
      <c r="E269" s="448">
        <f t="shared" si="26"/>
        <v>3882997</v>
      </c>
      <c r="F269" s="503">
        <f t="shared" si="27"/>
        <v>3.0757872423328142E-2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650</v>
      </c>
      <c r="C270" s="453">
        <f>IF(C267=0,0,C269/C267)</f>
        <v>0.44218310121850435</v>
      </c>
      <c r="D270" s="453">
        <f>IF(LN_IIA7=0,0,LN_IIA9/LN_IIA7)</f>
        <v>0.41044668248092486</v>
      </c>
      <c r="E270" s="454">
        <f t="shared" si="26"/>
        <v>-3.1736418737579486E-2</v>
      </c>
      <c r="F270" s="458">
        <f t="shared" si="27"/>
        <v>-7.1772120305196752E-2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727</v>
      </c>
      <c r="C271" s="441">
        <f>C261+C267</f>
        <v>505047658</v>
      </c>
      <c r="D271" s="441">
        <f>LN_IIA1+LN_IIA7</f>
        <v>543429524</v>
      </c>
      <c r="E271" s="441">
        <f t="shared" si="26"/>
        <v>38381866</v>
      </c>
      <c r="F271" s="503">
        <f t="shared" si="27"/>
        <v>7.5996523084560078E-2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728</v>
      </c>
      <c r="C272" s="441">
        <f>C262+C269</f>
        <v>224819411</v>
      </c>
      <c r="D272" s="441">
        <f>LN_IIA2+LN_IIA9</f>
        <v>227632257</v>
      </c>
      <c r="E272" s="441">
        <f t="shared" si="26"/>
        <v>2812846</v>
      </c>
      <c r="F272" s="503">
        <f t="shared" si="27"/>
        <v>1.2511579794148646E-2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729</v>
      </c>
      <c r="C273" s="453">
        <f>IF(C271=0,0,C272/C271)</f>
        <v>0.44514494313326763</v>
      </c>
      <c r="D273" s="453">
        <f>IF(LN_IIA11=0,0,LN_IIA12/LN_IIA11)</f>
        <v>0.41888091637803615</v>
      </c>
      <c r="E273" s="454">
        <f t="shared" si="26"/>
        <v>-2.6264026755231484E-2</v>
      </c>
      <c r="F273" s="458">
        <f t="shared" si="27"/>
        <v>-5.9001067316109108E-2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41898</v>
      </c>
      <c r="D274" s="508">
        <f>LN_IA8+LN_IB10+LN_IF11+LN_IG6</f>
        <v>39492</v>
      </c>
      <c r="E274" s="528">
        <f t="shared" si="26"/>
        <v>-2406</v>
      </c>
      <c r="F274" s="458">
        <f t="shared" si="27"/>
        <v>-5.7425175426034654E-2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730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731</v>
      </c>
      <c r="C277" s="448">
        <f>C15+C188+C221</f>
        <v>166624689</v>
      </c>
      <c r="D277" s="448">
        <f>LN_IA1+LN_IF1+LN_IG1</f>
        <v>173498937</v>
      </c>
      <c r="E277" s="448">
        <f t="shared" ref="E277:E291" si="28">D277-C277</f>
        <v>6874248</v>
      </c>
      <c r="F277" s="503">
        <f t="shared" ref="F277:F291" si="29">IF(C277=0,0,E277/C277)</f>
        <v>4.1255878953208432E-2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732</v>
      </c>
      <c r="C278" s="448">
        <f>C16+C189+C222</f>
        <v>63565352</v>
      </c>
      <c r="D278" s="448">
        <f>LN_IA2+LN_IF2+LN_IG2</f>
        <v>64052426</v>
      </c>
      <c r="E278" s="448">
        <f t="shared" si="28"/>
        <v>487074</v>
      </c>
      <c r="F278" s="503">
        <f t="shared" si="29"/>
        <v>7.6625706406848815E-3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733</v>
      </c>
      <c r="C279" s="453">
        <f>IF(C277=0,0,C278/C277)</f>
        <v>0.38148819590595007</v>
      </c>
      <c r="D279" s="453">
        <f>IF(D277=0,0,LN_IIB2/D277)</f>
        <v>0.36918050973418931</v>
      </c>
      <c r="E279" s="454">
        <f t="shared" si="28"/>
        <v>-1.2307686171760757E-2</v>
      </c>
      <c r="F279" s="458">
        <f t="shared" si="29"/>
        <v>-3.2262298817746442E-2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734</v>
      </c>
      <c r="C280" s="456">
        <f>C18+C191+C224</f>
        <v>7043</v>
      </c>
      <c r="D280" s="456">
        <f>LN_IA4+LN_IF4+LN_IG3</f>
        <v>6677</v>
      </c>
      <c r="E280" s="456">
        <f t="shared" si="28"/>
        <v>-366</v>
      </c>
      <c r="F280" s="503">
        <f t="shared" si="29"/>
        <v>-5.1966491551895498E-2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735</v>
      </c>
      <c r="C281" s="525">
        <f>IF(C280=0,0,C282/C280)</f>
        <v>1.357264887121965</v>
      </c>
      <c r="D281" s="525">
        <f>IF(LN_IIB4=0,0,LN_IIB6/LN_IIB4)</f>
        <v>1.398438345065149</v>
      </c>
      <c r="E281" s="525">
        <f t="shared" si="28"/>
        <v>4.1173457943183944E-2</v>
      </c>
      <c r="F281" s="503">
        <f t="shared" si="29"/>
        <v>3.0335609750054678E-2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736</v>
      </c>
      <c r="C282" s="463">
        <f>C20+C193+C226</f>
        <v>9559.2165999999997</v>
      </c>
      <c r="D282" s="463">
        <f>LN_IA6+LN_IF6+LN_IG5</f>
        <v>9337.3728300000002</v>
      </c>
      <c r="E282" s="463">
        <f t="shared" si="28"/>
        <v>-221.84376999999949</v>
      </c>
      <c r="F282" s="503">
        <f t="shared" si="29"/>
        <v>-2.3207317009638583E-2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737</v>
      </c>
      <c r="C283" s="448">
        <f>C27+C203+C233</f>
        <v>162650092</v>
      </c>
      <c r="D283" s="448">
        <f>LN_IA11+LN_IF14+LN_IG9</f>
        <v>189139803</v>
      </c>
      <c r="E283" s="448">
        <f t="shared" si="28"/>
        <v>26489711</v>
      </c>
      <c r="F283" s="503">
        <f t="shared" si="29"/>
        <v>0.16286317870634834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738</v>
      </c>
      <c r="C284" s="453">
        <f>IF(C277=0,0,C283/C277)</f>
        <v>0.9761464100917242</v>
      </c>
      <c r="D284" s="453">
        <f>IF(D277=0,0,LN_IIB7/D277)</f>
        <v>1.0901496359023801</v>
      </c>
      <c r="E284" s="454">
        <f t="shared" si="28"/>
        <v>0.11400322581065592</v>
      </c>
      <c r="F284" s="458">
        <f t="shared" si="29"/>
        <v>0.11678906425517001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739</v>
      </c>
      <c r="C285" s="448">
        <f>C28+C204+C234</f>
        <v>42936718</v>
      </c>
      <c r="D285" s="448">
        <f>LN_IA12+LN_IF15+LN_IG10</f>
        <v>47275944</v>
      </c>
      <c r="E285" s="448">
        <f t="shared" si="28"/>
        <v>4339226</v>
      </c>
      <c r="F285" s="503">
        <f t="shared" si="29"/>
        <v>0.1010609613897364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740</v>
      </c>
      <c r="C286" s="453">
        <f>IF(C283=0,0,C285/C283)</f>
        <v>0.2639821316547426</v>
      </c>
      <c r="D286" s="453">
        <f>IF(LN_IIB7=0,0,LN_IIB9/LN_IIB7)</f>
        <v>0.24995238046219176</v>
      </c>
      <c r="E286" s="454">
        <f t="shared" si="28"/>
        <v>-1.4029751192550843E-2</v>
      </c>
      <c r="F286" s="458">
        <f t="shared" si="29"/>
        <v>-5.3146594069101986E-2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741</v>
      </c>
      <c r="C287" s="441">
        <f>C277+C283</f>
        <v>329274781</v>
      </c>
      <c r="D287" s="441">
        <f>D277+LN_IIB7</f>
        <v>362638740</v>
      </c>
      <c r="E287" s="441">
        <f t="shared" si="28"/>
        <v>33363959</v>
      </c>
      <c r="F287" s="503">
        <f t="shared" si="29"/>
        <v>0.10132558253831167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742</v>
      </c>
      <c r="C288" s="441">
        <f>C278+C285</f>
        <v>106502070</v>
      </c>
      <c r="D288" s="441">
        <f>LN_IIB2+LN_IIB9</f>
        <v>111328370</v>
      </c>
      <c r="E288" s="441">
        <f t="shared" si="28"/>
        <v>4826300</v>
      </c>
      <c r="F288" s="503">
        <f t="shared" si="29"/>
        <v>4.5316490092633881E-2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743</v>
      </c>
      <c r="C289" s="453">
        <f>IF(C287=0,0,C288/C287)</f>
        <v>0.3234443575561895</v>
      </c>
      <c r="D289" s="453">
        <f>IF(LN_IIB11=0,0,LN_IIB12/LN_IIB11)</f>
        <v>0.3069952482186542</v>
      </c>
      <c r="E289" s="454">
        <f t="shared" si="28"/>
        <v>-1.6449109337535295E-2</v>
      </c>
      <c r="F289" s="458">
        <f t="shared" si="29"/>
        <v>-5.0856071386800178E-2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32510</v>
      </c>
      <c r="D290" s="508">
        <f>LN_IA8+LN_IF11+LN_IG6</f>
        <v>30825</v>
      </c>
      <c r="E290" s="528">
        <f t="shared" si="28"/>
        <v>-1685</v>
      </c>
      <c r="F290" s="458">
        <f t="shared" si="29"/>
        <v>-5.1830206090433713E-2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744</v>
      </c>
      <c r="C291" s="448">
        <f>C287-C288</f>
        <v>222772711</v>
      </c>
      <c r="D291" s="516">
        <f>LN_IIB11-LN_IIB12</f>
        <v>251310370</v>
      </c>
      <c r="E291" s="441">
        <f t="shared" si="28"/>
        <v>28537659</v>
      </c>
      <c r="F291" s="503">
        <f t="shared" si="29"/>
        <v>0.12810213096522402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646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637</v>
      </c>
      <c r="C294" s="466">
        <f>IF(C18=0,0,C22/C18)</f>
        <v>4.9423390383048087</v>
      </c>
      <c r="D294" s="466">
        <f>IF(LN_IA4=0,0,LN_IA8/LN_IA4)</f>
        <v>5.0412670086995313</v>
      </c>
      <c r="E294" s="466">
        <f t="shared" ref="E294:E300" si="30">D294-C294</f>
        <v>9.8927970394722564E-2</v>
      </c>
      <c r="F294" s="503">
        <f t="shared" ref="F294:F300" si="31">IF(C294=0,0,E294/C294)</f>
        <v>2.0016427369307758E-2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658</v>
      </c>
      <c r="C295" s="466">
        <f>IF(C45=0,0,C51/C45)</f>
        <v>3.3480741797432239</v>
      </c>
      <c r="D295" s="466">
        <f>IF(LN_IB4=0,0,(LN_IB10)/(LN_IB4))</f>
        <v>3.324510932105869</v>
      </c>
      <c r="E295" s="466">
        <f t="shared" si="30"/>
        <v>-2.3563247637354845E-2</v>
      </c>
      <c r="F295" s="503">
        <f t="shared" si="31"/>
        <v>-7.0378511264532371E-3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673</v>
      </c>
      <c r="C296" s="466">
        <f>IF(C86=0,0,C93/C86)</f>
        <v>3.6446280991735538</v>
      </c>
      <c r="D296" s="466">
        <f>IF(LN_IC4=0,0,LN_IC11/LN_IC4)</f>
        <v>5.21259842519685</v>
      </c>
      <c r="E296" s="466">
        <f t="shared" si="30"/>
        <v>1.5679703260232962</v>
      </c>
      <c r="F296" s="503">
        <f t="shared" si="31"/>
        <v>0.43021408038280917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3.8763619137849359</v>
      </c>
      <c r="D297" s="466">
        <f>IF(LN_ID4=0,0,LN_ID11/LN_ID4)</f>
        <v>3.7575618698441797</v>
      </c>
      <c r="E297" s="466">
        <f t="shared" si="30"/>
        <v>-0.11880004394075616</v>
      </c>
      <c r="F297" s="503">
        <f t="shared" si="31"/>
        <v>-3.0647304504330473E-2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745</v>
      </c>
      <c r="C298" s="466">
        <f>IF(C156=0,0,C163/C156)</f>
        <v>0</v>
      </c>
      <c r="D298" s="466">
        <f>IF(LN_IE4=0,0,LN_IE11/LN_IE4)</f>
        <v>0</v>
      </c>
      <c r="E298" s="466">
        <f t="shared" si="30"/>
        <v>0</v>
      </c>
      <c r="F298" s="503">
        <f t="shared" si="31"/>
        <v>0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2.9166666666666665</v>
      </c>
      <c r="D299" s="466">
        <f>IF(LN_IG3=0,0,LN_IG6/LN_IG3)</f>
        <v>2.1666666666666665</v>
      </c>
      <c r="E299" s="466">
        <f t="shared" si="30"/>
        <v>-0.75</v>
      </c>
      <c r="F299" s="503">
        <f t="shared" si="31"/>
        <v>-0.25714285714285717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746</v>
      </c>
      <c r="C300" s="466">
        <f>IF(C264=0,0,C274/C264)</f>
        <v>4.2548999695338683</v>
      </c>
      <c r="D300" s="466">
        <f>IF(LN_IIA4=0,0,LN_IIA14/LN_IIA4)</f>
        <v>4.2537699267557088</v>
      </c>
      <c r="E300" s="466">
        <f t="shared" si="30"/>
        <v>-1.1300427781595346E-3</v>
      </c>
      <c r="F300" s="503">
        <f t="shared" si="31"/>
        <v>-2.6558621501114463E-4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747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741</v>
      </c>
      <c r="C304" s="441">
        <f>C35+C66+C214+C221+C233</f>
        <v>505047658</v>
      </c>
      <c r="D304" s="441">
        <f>LN_IIA11</f>
        <v>543429524</v>
      </c>
      <c r="E304" s="441">
        <f t="shared" ref="E304:E316" si="32">D304-C304</f>
        <v>38381866</v>
      </c>
      <c r="F304" s="449">
        <f>IF(C304=0,0,E304/C304)</f>
        <v>7.5996523084560078E-2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744</v>
      </c>
      <c r="C305" s="441">
        <f>C291</f>
        <v>222772711</v>
      </c>
      <c r="D305" s="441">
        <f>LN_IIB14</f>
        <v>251310370</v>
      </c>
      <c r="E305" s="441">
        <f t="shared" si="32"/>
        <v>28537659</v>
      </c>
      <c r="F305" s="449">
        <f>IF(C305=0,0,E305/C305)</f>
        <v>0.12810213096522402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748</v>
      </c>
      <c r="C306" s="441">
        <f>C250</f>
        <v>9396534</v>
      </c>
      <c r="D306" s="441">
        <f>LN_IH6</f>
        <v>14510293</v>
      </c>
      <c r="E306" s="441">
        <f t="shared" si="32"/>
        <v>5113759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749</v>
      </c>
      <c r="C307" s="441">
        <f>C73-C74</f>
        <v>47985709</v>
      </c>
      <c r="D307" s="441">
        <f>LN_IB32-LN_IB33</f>
        <v>49976604</v>
      </c>
      <c r="E307" s="441">
        <f t="shared" si="32"/>
        <v>1990895</v>
      </c>
      <c r="F307" s="449">
        <f t="shared" ref="F307:F316" si="33">IF(C307=0,0,E307/C307)</f>
        <v>4.1489331750834399E-2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750</v>
      </c>
      <c r="C308" s="441">
        <v>1914881</v>
      </c>
      <c r="D308" s="441">
        <v>1594619</v>
      </c>
      <c r="E308" s="441">
        <f t="shared" si="32"/>
        <v>-320262</v>
      </c>
      <c r="F308" s="449">
        <f t="shared" si="33"/>
        <v>-0.16724903531864382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751</v>
      </c>
      <c r="C309" s="441">
        <f>C305+C307+C308+C306</f>
        <v>282069835</v>
      </c>
      <c r="D309" s="441">
        <f>LN_III2+LN_III3+LN_III4+LN_III5</f>
        <v>317391886</v>
      </c>
      <c r="E309" s="441">
        <f t="shared" si="32"/>
        <v>35322051</v>
      </c>
      <c r="F309" s="449">
        <f t="shared" si="33"/>
        <v>0.1252244891765899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752</v>
      </c>
      <c r="C310" s="441">
        <f>C304-C309</f>
        <v>222977823</v>
      </c>
      <c r="D310" s="441">
        <f>LN_III1-LN_III6</f>
        <v>226037638</v>
      </c>
      <c r="E310" s="441">
        <f t="shared" si="32"/>
        <v>3059815</v>
      </c>
      <c r="F310" s="449">
        <f t="shared" si="33"/>
        <v>1.3722508179658746E-2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753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754</v>
      </c>
      <c r="C312" s="441">
        <f>C310+C311</f>
        <v>222977823</v>
      </c>
      <c r="D312" s="441">
        <f>LN_III7+LN_III8</f>
        <v>226037638</v>
      </c>
      <c r="E312" s="441">
        <f t="shared" si="32"/>
        <v>3059815</v>
      </c>
      <c r="F312" s="449">
        <f t="shared" si="33"/>
        <v>1.3722508179658746E-2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755</v>
      </c>
      <c r="C313" s="532">
        <f>IF(C304=0,0,C312/C304)</f>
        <v>0.44149857833812589</v>
      </c>
      <c r="D313" s="532">
        <f>IF(LN_III1=0,0,LN_III9/LN_III1)</f>
        <v>0.41594655427664984</v>
      </c>
      <c r="E313" s="532">
        <f t="shared" si="32"/>
        <v>-2.5552024061476053E-2</v>
      </c>
      <c r="F313" s="449">
        <f t="shared" si="33"/>
        <v>-5.7875665551762642E-2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718</v>
      </c>
      <c r="C314" s="441">
        <f>C306*C313</f>
        <v>4148556.4023058633</v>
      </c>
      <c r="D314" s="441">
        <f>D313*LN_III5</f>
        <v>6035506.374894592</v>
      </c>
      <c r="E314" s="441">
        <f t="shared" si="32"/>
        <v>1886949.9725887286</v>
      </c>
      <c r="F314" s="449">
        <f t="shared" si="33"/>
        <v>0.45484496041560829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721</v>
      </c>
      <c r="C315" s="441">
        <f>(C214*C313)-C215</f>
        <v>16184492.642469816</v>
      </c>
      <c r="D315" s="441">
        <f>D313*LN_IH8-LN_IH9</f>
        <v>19731447.732091494</v>
      </c>
      <c r="E315" s="441">
        <f t="shared" si="32"/>
        <v>3546955.089621678</v>
      </c>
      <c r="F315" s="449">
        <f t="shared" si="33"/>
        <v>0.21915763243106515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756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757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758</v>
      </c>
      <c r="C318" s="441">
        <f>C314+C315+C316</f>
        <v>20333049.04477568</v>
      </c>
      <c r="D318" s="441">
        <f>D314+D315+D316</f>
        <v>25766954.106986087</v>
      </c>
      <c r="E318" s="441">
        <f>D318-C318</f>
        <v>5433905.0622104071</v>
      </c>
      <c r="F318" s="449">
        <f>IF(C318=0,0,E318/C318)</f>
        <v>0.26724496902773076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759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12249317.468602138</v>
      </c>
      <c r="D322" s="441">
        <f>LN_ID22</f>
        <v>16686766.602628494</v>
      </c>
      <c r="E322" s="441">
        <f>LN_IV2-C322</f>
        <v>4437449.134026356</v>
      </c>
      <c r="F322" s="449">
        <f>IF(C322=0,0,E322/C322)</f>
        <v>0.3622609296722511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745</v>
      </c>
      <c r="C323" s="441">
        <f>C162+C176</f>
        <v>0</v>
      </c>
      <c r="D323" s="441">
        <f>LN_IE10+LN_IE22</f>
        <v>0</v>
      </c>
      <c r="E323" s="441">
        <f>LN_IV3-C323</f>
        <v>0</v>
      </c>
      <c r="F323" s="449">
        <f>IF(C323=0,0,E323/C323)</f>
        <v>0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760</v>
      </c>
      <c r="C324" s="441">
        <f>C92+C106</f>
        <v>1686920.6533730882</v>
      </c>
      <c r="D324" s="441">
        <f>LN_IC10+LN_IC22</f>
        <v>977763.71216934721</v>
      </c>
      <c r="E324" s="441">
        <f>LN_IV1-C324</f>
        <v>-709156.94120374101</v>
      </c>
      <c r="F324" s="449">
        <f>IF(C324=0,0,E324/C324)</f>
        <v>-0.42038547562135997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761</v>
      </c>
      <c r="C325" s="516">
        <f>C324+C322+C323</f>
        <v>13936238.121975226</v>
      </c>
      <c r="D325" s="516">
        <f>LN_IV1+LN_IV2+LN_IV3</f>
        <v>17664530.314797841</v>
      </c>
      <c r="E325" s="441">
        <f>LN_IV4-C325</f>
        <v>3728292.1928226147</v>
      </c>
      <c r="F325" s="449">
        <f>IF(C325=0,0,E325/C325)</f>
        <v>0.26752500640353527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762</v>
      </c>
      <c r="B327" s="530" t="s">
        <v>763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764</v>
      </c>
      <c r="C329" s="518">
        <v>3925009</v>
      </c>
      <c r="D329" s="518">
        <v>3925009</v>
      </c>
      <c r="E329" s="518">
        <f t="shared" ref="E329:E335" si="34">D329-C329</f>
        <v>0</v>
      </c>
      <c r="F329" s="542">
        <f t="shared" ref="F329:F335" si="35">IF(C329=0,0,E329/C329)</f>
        <v>0</v>
      </c>
    </row>
    <row r="330" spans="1:22" s="420" customFormat="1" ht="15.75" customHeight="1" x14ac:dyDescent="0.2">
      <c r="A330" s="451">
        <v>2</v>
      </c>
      <c r="B330" s="447" t="s">
        <v>765</v>
      </c>
      <c r="C330" s="516">
        <v>-5231619</v>
      </c>
      <c r="D330" s="516">
        <v>-8500070</v>
      </c>
      <c r="E330" s="518">
        <f t="shared" si="34"/>
        <v>-3268451</v>
      </c>
      <c r="F330" s="543">
        <f t="shared" si="35"/>
        <v>0.62474943225032253</v>
      </c>
    </row>
    <row r="331" spans="1:22" s="420" customFormat="1" ht="15.75" customHeight="1" x14ac:dyDescent="0.2">
      <c r="A331" s="427">
        <v>3</v>
      </c>
      <c r="B331" s="447" t="s">
        <v>766</v>
      </c>
      <c r="C331" s="516">
        <v>217746204</v>
      </c>
      <c r="D331" s="516">
        <v>219132186</v>
      </c>
      <c r="E331" s="518">
        <f t="shared" si="34"/>
        <v>1385982</v>
      </c>
      <c r="F331" s="542">
        <f t="shared" si="35"/>
        <v>6.3651258875677113E-3</v>
      </c>
    </row>
    <row r="332" spans="1:22" s="420" customFormat="1" ht="27" customHeight="1" x14ac:dyDescent="0.2">
      <c r="A332" s="451">
        <v>4</v>
      </c>
      <c r="B332" s="447" t="s">
        <v>767</v>
      </c>
      <c r="C332" s="516">
        <v>0</v>
      </c>
      <c r="D332" s="516">
        <v>0</v>
      </c>
      <c r="E332" s="518">
        <f t="shared" si="34"/>
        <v>0</v>
      </c>
      <c r="F332" s="543">
        <f t="shared" si="35"/>
        <v>0</v>
      </c>
    </row>
    <row r="333" spans="1:22" s="420" customFormat="1" ht="15.75" customHeight="1" x14ac:dyDescent="0.2">
      <c r="A333" s="451">
        <v>5</v>
      </c>
      <c r="B333" s="447" t="s">
        <v>768</v>
      </c>
      <c r="C333" s="516">
        <v>505047658</v>
      </c>
      <c r="D333" s="516">
        <v>543429524</v>
      </c>
      <c r="E333" s="518">
        <f t="shared" si="34"/>
        <v>38381866</v>
      </c>
      <c r="F333" s="542">
        <f t="shared" si="35"/>
        <v>7.5996523084560078E-2</v>
      </c>
    </row>
    <row r="334" spans="1:22" s="420" customFormat="1" ht="15.75" customHeight="1" x14ac:dyDescent="0.2">
      <c r="A334" s="427">
        <v>6</v>
      </c>
      <c r="B334" s="447" t="s">
        <v>769</v>
      </c>
      <c r="C334" s="516">
        <v>0</v>
      </c>
      <c r="D334" s="516">
        <v>0</v>
      </c>
      <c r="E334" s="516">
        <f t="shared" si="34"/>
        <v>0</v>
      </c>
      <c r="F334" s="543">
        <f t="shared" si="35"/>
        <v>0</v>
      </c>
    </row>
    <row r="335" spans="1:22" s="420" customFormat="1" ht="15.75" customHeight="1" x14ac:dyDescent="0.2">
      <c r="A335" s="451">
        <v>7</v>
      </c>
      <c r="B335" s="447" t="s">
        <v>770</v>
      </c>
      <c r="C335" s="516">
        <v>9396534</v>
      </c>
      <c r="D335" s="516">
        <v>14510293</v>
      </c>
      <c r="E335" s="516">
        <f t="shared" si="34"/>
        <v>5113759</v>
      </c>
      <c r="F335" s="542">
        <f t="shared" si="35"/>
        <v>0.54421758065261083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paperSize="9" scale="78" fitToHeight="0" orientation="portrait" horizontalDpi="1200" verticalDpi="1200" r:id="rId1"/>
  <headerFooter>
    <oddHeader>&amp;LOFFICE OF HEALTH CARE ACCESS&amp;CTWELVE MONTHS ACTUAL FILING&amp;RMIDSTATE MEDICAL CENTER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0"/>
  <sheetViews>
    <sheetView zoomScale="75" zoomScaleSheetLayoutView="68" workbookViewId="0">
      <selection activeCell="B16" sqref="B16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9.5703125" style="660" bestFit="1" customWidth="1"/>
    <col min="4" max="4" width="19.5703125" style="569" bestFit="1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631</v>
      </c>
      <c r="B3" s="820"/>
      <c r="C3" s="820"/>
      <c r="D3" s="820"/>
      <c r="E3" s="820"/>
    </row>
    <row r="4" spans="1:5" s="428" customFormat="1" ht="15.75" customHeight="1" x14ac:dyDescent="0.25">
      <c r="A4" s="820" t="s">
        <v>771</v>
      </c>
      <c r="B4" s="820"/>
      <c r="C4" s="820"/>
      <c r="D4" s="820"/>
      <c r="E4" s="820"/>
    </row>
    <row r="5" spans="1:5" s="428" customFormat="1" ht="15.75" customHeight="1" x14ac:dyDescent="0.25">
      <c r="A5" s="820" t="s">
        <v>772</v>
      </c>
      <c r="B5" s="820"/>
      <c r="C5" s="820"/>
      <c r="D5" s="820"/>
      <c r="E5" s="820"/>
    </row>
    <row r="6" spans="1:5" s="428" customFormat="1" ht="15.75" customHeight="1" x14ac:dyDescent="0.25">
      <c r="A6" s="820" t="s">
        <v>773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774</v>
      </c>
      <c r="D9" s="573" t="s">
        <v>775</v>
      </c>
      <c r="E9" s="573" t="s">
        <v>776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777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778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658</v>
      </c>
      <c r="C14" s="589">
        <v>52921319</v>
      </c>
      <c r="D14" s="589">
        <v>52893058</v>
      </c>
      <c r="E14" s="590">
        <f t="shared" ref="E14:E22" si="0">D14-C14</f>
        <v>-28261</v>
      </c>
    </row>
    <row r="15" spans="1:5" s="421" customFormat="1" x14ac:dyDescent="0.2">
      <c r="A15" s="588">
        <v>2</v>
      </c>
      <c r="B15" s="587" t="s">
        <v>637</v>
      </c>
      <c r="C15" s="589">
        <v>130191173</v>
      </c>
      <c r="D15" s="591">
        <v>133168476</v>
      </c>
      <c r="E15" s="590">
        <f t="shared" si="0"/>
        <v>2977303</v>
      </c>
    </row>
    <row r="16" spans="1:5" s="421" customFormat="1" x14ac:dyDescent="0.2">
      <c r="A16" s="588">
        <v>3</v>
      </c>
      <c r="B16" s="587" t="s">
        <v>779</v>
      </c>
      <c r="C16" s="589">
        <v>36142007</v>
      </c>
      <c r="D16" s="591">
        <v>40223929</v>
      </c>
      <c r="E16" s="590">
        <f t="shared" si="0"/>
        <v>4081922</v>
      </c>
    </row>
    <row r="17" spans="1:5" s="421" customFormat="1" x14ac:dyDescent="0.2">
      <c r="A17" s="588">
        <v>4</v>
      </c>
      <c r="B17" s="587" t="s">
        <v>115</v>
      </c>
      <c r="C17" s="589">
        <v>36142007</v>
      </c>
      <c r="D17" s="591">
        <v>40223929</v>
      </c>
      <c r="E17" s="590">
        <f t="shared" si="0"/>
        <v>4081922</v>
      </c>
    </row>
    <row r="18" spans="1:5" s="421" customFormat="1" x14ac:dyDescent="0.2">
      <c r="A18" s="588">
        <v>5</v>
      </c>
      <c r="B18" s="587" t="s">
        <v>745</v>
      </c>
      <c r="C18" s="589">
        <v>0</v>
      </c>
      <c r="D18" s="591">
        <v>0</v>
      </c>
      <c r="E18" s="590">
        <f t="shared" si="0"/>
        <v>0</v>
      </c>
    </row>
    <row r="19" spans="1:5" s="421" customFormat="1" x14ac:dyDescent="0.2">
      <c r="A19" s="588">
        <v>6</v>
      </c>
      <c r="B19" s="587" t="s">
        <v>424</v>
      </c>
      <c r="C19" s="589">
        <v>291509</v>
      </c>
      <c r="D19" s="591">
        <v>106532</v>
      </c>
      <c r="E19" s="590">
        <f t="shared" si="0"/>
        <v>-184977</v>
      </c>
    </row>
    <row r="20" spans="1:5" s="421" customFormat="1" x14ac:dyDescent="0.2">
      <c r="A20" s="588">
        <v>7</v>
      </c>
      <c r="B20" s="587" t="s">
        <v>760</v>
      </c>
      <c r="C20" s="589">
        <v>4451612</v>
      </c>
      <c r="D20" s="591">
        <v>2576251</v>
      </c>
      <c r="E20" s="590">
        <f t="shared" si="0"/>
        <v>-1875361</v>
      </c>
    </row>
    <row r="21" spans="1:5" s="421" customFormat="1" x14ac:dyDescent="0.2">
      <c r="A21" s="588"/>
      <c r="B21" s="592" t="s">
        <v>780</v>
      </c>
      <c r="C21" s="593">
        <f>SUM(C15+C16+C19)</f>
        <v>166624689</v>
      </c>
      <c r="D21" s="593">
        <f>SUM(D15+D16+D19)</f>
        <v>173498937</v>
      </c>
      <c r="E21" s="593">
        <f t="shared" si="0"/>
        <v>6874248</v>
      </c>
    </row>
    <row r="22" spans="1:5" s="421" customFormat="1" x14ac:dyDescent="0.2">
      <c r="A22" s="588"/>
      <c r="B22" s="592" t="s">
        <v>465</v>
      </c>
      <c r="C22" s="593">
        <f>SUM(C14+C21)</f>
        <v>219546008</v>
      </c>
      <c r="D22" s="593">
        <f>SUM(D14+D21)</f>
        <v>226391995</v>
      </c>
      <c r="E22" s="593">
        <f t="shared" si="0"/>
        <v>6845987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781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658</v>
      </c>
      <c r="C25" s="589">
        <v>122851558</v>
      </c>
      <c r="D25" s="589">
        <v>127897726</v>
      </c>
      <c r="E25" s="590">
        <f t="shared" ref="E25:E33" si="1">D25-C25</f>
        <v>5046168</v>
      </c>
    </row>
    <row r="26" spans="1:5" s="421" customFormat="1" x14ac:dyDescent="0.2">
      <c r="A26" s="588">
        <v>2</v>
      </c>
      <c r="B26" s="587" t="s">
        <v>637</v>
      </c>
      <c r="C26" s="589">
        <v>96879700</v>
      </c>
      <c r="D26" s="591">
        <v>109908722</v>
      </c>
      <c r="E26" s="590">
        <f t="shared" si="1"/>
        <v>13029022</v>
      </c>
    </row>
    <row r="27" spans="1:5" s="421" customFormat="1" x14ac:dyDescent="0.2">
      <c r="A27" s="588">
        <v>3</v>
      </c>
      <c r="B27" s="587" t="s">
        <v>779</v>
      </c>
      <c r="C27" s="589">
        <v>64876057</v>
      </c>
      <c r="D27" s="591">
        <v>78467175</v>
      </c>
      <c r="E27" s="590">
        <f t="shared" si="1"/>
        <v>13591118</v>
      </c>
    </row>
    <row r="28" spans="1:5" s="421" customFormat="1" x14ac:dyDescent="0.2">
      <c r="A28" s="588">
        <v>4</v>
      </c>
      <c r="B28" s="587" t="s">
        <v>115</v>
      </c>
      <c r="C28" s="589">
        <v>64876057</v>
      </c>
      <c r="D28" s="591">
        <v>78467175</v>
      </c>
      <c r="E28" s="590">
        <f t="shared" si="1"/>
        <v>13591118</v>
      </c>
    </row>
    <row r="29" spans="1:5" s="421" customFormat="1" x14ac:dyDescent="0.2">
      <c r="A29" s="588">
        <v>5</v>
      </c>
      <c r="B29" s="587" t="s">
        <v>745</v>
      </c>
      <c r="C29" s="589">
        <v>0</v>
      </c>
      <c r="D29" s="591">
        <v>0</v>
      </c>
      <c r="E29" s="590">
        <f t="shared" si="1"/>
        <v>0</v>
      </c>
    </row>
    <row r="30" spans="1:5" s="421" customFormat="1" x14ac:dyDescent="0.2">
      <c r="A30" s="588">
        <v>6</v>
      </c>
      <c r="B30" s="587" t="s">
        <v>424</v>
      </c>
      <c r="C30" s="589">
        <v>894335</v>
      </c>
      <c r="D30" s="591">
        <v>763906</v>
      </c>
      <c r="E30" s="590">
        <f t="shared" si="1"/>
        <v>-130429</v>
      </c>
    </row>
    <row r="31" spans="1:5" s="421" customFormat="1" x14ac:dyDescent="0.2">
      <c r="A31" s="588">
        <v>7</v>
      </c>
      <c r="B31" s="587" t="s">
        <v>760</v>
      </c>
      <c r="C31" s="590">
        <v>8048329</v>
      </c>
      <c r="D31" s="594">
        <v>6834430</v>
      </c>
      <c r="E31" s="590">
        <f t="shared" si="1"/>
        <v>-1213899</v>
      </c>
    </row>
    <row r="32" spans="1:5" s="421" customFormat="1" x14ac:dyDescent="0.2">
      <c r="A32" s="588"/>
      <c r="B32" s="592" t="s">
        <v>782</v>
      </c>
      <c r="C32" s="593">
        <f>SUM(C26+C27+C30)</f>
        <v>162650092</v>
      </c>
      <c r="D32" s="593">
        <f>SUM(D26+D27+D30)</f>
        <v>189139803</v>
      </c>
      <c r="E32" s="593">
        <f t="shared" si="1"/>
        <v>26489711</v>
      </c>
    </row>
    <row r="33" spans="1:5" s="421" customFormat="1" x14ac:dyDescent="0.2">
      <c r="A33" s="588"/>
      <c r="B33" s="592" t="s">
        <v>467</v>
      </c>
      <c r="C33" s="593">
        <f>SUM(C25+C32)</f>
        <v>285501650</v>
      </c>
      <c r="D33" s="593">
        <f>SUM(D25+D32)</f>
        <v>317037529</v>
      </c>
      <c r="E33" s="593">
        <f t="shared" si="1"/>
        <v>31535879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655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783</v>
      </c>
      <c r="C36" s="590">
        <f t="shared" ref="C36:D42" si="2">C14+C25</f>
        <v>175772877</v>
      </c>
      <c r="D36" s="590">
        <f t="shared" si="2"/>
        <v>180790784</v>
      </c>
      <c r="E36" s="590">
        <f t="shared" ref="E36:E44" si="3">D36-C36</f>
        <v>5017907</v>
      </c>
    </row>
    <row r="37" spans="1:5" s="421" customFormat="1" x14ac:dyDescent="0.2">
      <c r="A37" s="588">
        <v>2</v>
      </c>
      <c r="B37" s="587" t="s">
        <v>784</v>
      </c>
      <c r="C37" s="590">
        <f t="shared" si="2"/>
        <v>227070873</v>
      </c>
      <c r="D37" s="590">
        <f t="shared" si="2"/>
        <v>243077198</v>
      </c>
      <c r="E37" s="590">
        <f t="shared" si="3"/>
        <v>16006325</v>
      </c>
    </row>
    <row r="38" spans="1:5" s="421" customFormat="1" x14ac:dyDescent="0.2">
      <c r="A38" s="588">
        <v>3</v>
      </c>
      <c r="B38" s="587" t="s">
        <v>785</v>
      </c>
      <c r="C38" s="590">
        <f t="shared" si="2"/>
        <v>101018064</v>
      </c>
      <c r="D38" s="590">
        <f t="shared" si="2"/>
        <v>118691104</v>
      </c>
      <c r="E38" s="590">
        <f t="shared" si="3"/>
        <v>17673040</v>
      </c>
    </row>
    <row r="39" spans="1:5" s="421" customFormat="1" x14ac:dyDescent="0.2">
      <c r="A39" s="588">
        <v>4</v>
      </c>
      <c r="B39" s="587" t="s">
        <v>786</v>
      </c>
      <c r="C39" s="590">
        <f t="shared" si="2"/>
        <v>101018064</v>
      </c>
      <c r="D39" s="590">
        <f t="shared" si="2"/>
        <v>118691104</v>
      </c>
      <c r="E39" s="590">
        <f t="shared" si="3"/>
        <v>17673040</v>
      </c>
    </row>
    <row r="40" spans="1:5" s="421" customFormat="1" x14ac:dyDescent="0.2">
      <c r="A40" s="588">
        <v>5</v>
      </c>
      <c r="B40" s="587" t="s">
        <v>787</v>
      </c>
      <c r="C40" s="590">
        <f t="shared" si="2"/>
        <v>0</v>
      </c>
      <c r="D40" s="590">
        <f t="shared" si="2"/>
        <v>0</v>
      </c>
      <c r="E40" s="590">
        <f t="shared" si="3"/>
        <v>0</v>
      </c>
    </row>
    <row r="41" spans="1:5" s="421" customFormat="1" x14ac:dyDescent="0.2">
      <c r="A41" s="588">
        <v>6</v>
      </c>
      <c r="B41" s="587" t="s">
        <v>788</v>
      </c>
      <c r="C41" s="590">
        <f t="shared" si="2"/>
        <v>1185844</v>
      </c>
      <c r="D41" s="590">
        <f t="shared" si="2"/>
        <v>870438</v>
      </c>
      <c r="E41" s="590">
        <f t="shared" si="3"/>
        <v>-315406</v>
      </c>
    </row>
    <row r="42" spans="1:5" s="421" customFormat="1" x14ac:dyDescent="0.2">
      <c r="A42" s="588">
        <v>7</v>
      </c>
      <c r="B42" s="587" t="s">
        <v>789</v>
      </c>
      <c r="C42" s="590">
        <f t="shared" si="2"/>
        <v>12499941</v>
      </c>
      <c r="D42" s="590">
        <f t="shared" si="2"/>
        <v>9410681</v>
      </c>
      <c r="E42" s="590">
        <f t="shared" si="3"/>
        <v>-3089260</v>
      </c>
    </row>
    <row r="43" spans="1:5" s="421" customFormat="1" x14ac:dyDescent="0.2">
      <c r="A43" s="588"/>
      <c r="B43" s="592" t="s">
        <v>790</v>
      </c>
      <c r="C43" s="593">
        <f>SUM(C37+C38+C41)</f>
        <v>329274781</v>
      </c>
      <c r="D43" s="593">
        <f>SUM(D37+D38+D41)</f>
        <v>362638740</v>
      </c>
      <c r="E43" s="593">
        <f t="shared" si="3"/>
        <v>33363959</v>
      </c>
    </row>
    <row r="44" spans="1:5" s="421" customFormat="1" x14ac:dyDescent="0.2">
      <c r="A44" s="588"/>
      <c r="B44" s="592" t="s">
        <v>727</v>
      </c>
      <c r="C44" s="593">
        <f>SUM(C36+C43)</f>
        <v>505047658</v>
      </c>
      <c r="D44" s="593">
        <f>SUM(D36+D43)</f>
        <v>543429524</v>
      </c>
      <c r="E44" s="593">
        <f t="shared" si="3"/>
        <v>38381866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791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658</v>
      </c>
      <c r="C47" s="589">
        <v>35010054</v>
      </c>
      <c r="D47" s="589">
        <v>33452829</v>
      </c>
      <c r="E47" s="590">
        <f t="shared" ref="E47:E55" si="4">D47-C47</f>
        <v>-1557225</v>
      </c>
    </row>
    <row r="48" spans="1:5" s="421" customFormat="1" x14ac:dyDescent="0.2">
      <c r="A48" s="588">
        <v>2</v>
      </c>
      <c r="B48" s="587" t="s">
        <v>637</v>
      </c>
      <c r="C48" s="589">
        <v>50847282</v>
      </c>
      <c r="D48" s="591">
        <v>51842983</v>
      </c>
      <c r="E48" s="590">
        <f t="shared" si="4"/>
        <v>995701</v>
      </c>
    </row>
    <row r="49" spans="1:5" s="421" customFormat="1" x14ac:dyDescent="0.2">
      <c r="A49" s="588">
        <v>3</v>
      </c>
      <c r="B49" s="587" t="s">
        <v>779</v>
      </c>
      <c r="C49" s="589">
        <v>12657458</v>
      </c>
      <c r="D49" s="591">
        <v>12188046</v>
      </c>
      <c r="E49" s="590">
        <f t="shared" si="4"/>
        <v>-469412</v>
      </c>
    </row>
    <row r="50" spans="1:5" s="421" customFormat="1" x14ac:dyDescent="0.2">
      <c r="A50" s="588">
        <v>4</v>
      </c>
      <c r="B50" s="587" t="s">
        <v>115</v>
      </c>
      <c r="C50" s="589">
        <v>12657458</v>
      </c>
      <c r="D50" s="591">
        <v>12188046</v>
      </c>
      <c r="E50" s="590">
        <f t="shared" si="4"/>
        <v>-469412</v>
      </c>
    </row>
    <row r="51" spans="1:5" s="421" customFormat="1" x14ac:dyDescent="0.2">
      <c r="A51" s="588">
        <v>5</v>
      </c>
      <c r="B51" s="587" t="s">
        <v>745</v>
      </c>
      <c r="C51" s="589">
        <v>0</v>
      </c>
      <c r="D51" s="591">
        <v>0</v>
      </c>
      <c r="E51" s="590">
        <f t="shared" si="4"/>
        <v>0</v>
      </c>
    </row>
    <row r="52" spans="1:5" s="421" customFormat="1" x14ac:dyDescent="0.2">
      <c r="A52" s="588">
        <v>6</v>
      </c>
      <c r="B52" s="587" t="s">
        <v>424</v>
      </c>
      <c r="C52" s="589">
        <v>60612</v>
      </c>
      <c r="D52" s="591">
        <v>21397</v>
      </c>
      <c r="E52" s="590">
        <f t="shared" si="4"/>
        <v>-39215</v>
      </c>
    </row>
    <row r="53" spans="1:5" s="421" customFormat="1" x14ac:dyDescent="0.2">
      <c r="A53" s="588">
        <v>7</v>
      </c>
      <c r="B53" s="587" t="s">
        <v>760</v>
      </c>
      <c r="C53" s="589">
        <v>943085</v>
      </c>
      <c r="D53" s="591">
        <v>1035766</v>
      </c>
      <c r="E53" s="590">
        <f t="shared" si="4"/>
        <v>92681</v>
      </c>
    </row>
    <row r="54" spans="1:5" s="421" customFormat="1" x14ac:dyDescent="0.2">
      <c r="A54" s="588"/>
      <c r="B54" s="592" t="s">
        <v>792</v>
      </c>
      <c r="C54" s="593">
        <f>SUM(C48+C49+C52)</f>
        <v>63565352</v>
      </c>
      <c r="D54" s="593">
        <f>SUM(D48+D49+D52)</f>
        <v>64052426</v>
      </c>
      <c r="E54" s="593">
        <f t="shared" si="4"/>
        <v>487074</v>
      </c>
    </row>
    <row r="55" spans="1:5" s="421" customFormat="1" x14ac:dyDescent="0.2">
      <c r="A55" s="588"/>
      <c r="B55" s="592" t="s">
        <v>466</v>
      </c>
      <c r="C55" s="593">
        <f>SUM(C47+C54)</f>
        <v>98575406</v>
      </c>
      <c r="D55" s="593">
        <f>SUM(D47+D54)</f>
        <v>97505255</v>
      </c>
      <c r="E55" s="593">
        <f t="shared" si="4"/>
        <v>-1070151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793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658</v>
      </c>
      <c r="C58" s="589">
        <v>83307287</v>
      </c>
      <c r="D58" s="589">
        <v>82851058</v>
      </c>
      <c r="E58" s="590">
        <f t="shared" ref="E58:E66" si="5">D58-C58</f>
        <v>-456229</v>
      </c>
    </row>
    <row r="59" spans="1:5" s="421" customFormat="1" x14ac:dyDescent="0.2">
      <c r="A59" s="588">
        <v>2</v>
      </c>
      <c r="B59" s="587" t="s">
        <v>637</v>
      </c>
      <c r="C59" s="589">
        <v>26993382</v>
      </c>
      <c r="D59" s="591">
        <v>29672851</v>
      </c>
      <c r="E59" s="590">
        <f t="shared" si="5"/>
        <v>2679469</v>
      </c>
    </row>
    <row r="60" spans="1:5" s="421" customFormat="1" x14ac:dyDescent="0.2">
      <c r="A60" s="588">
        <v>3</v>
      </c>
      <c r="B60" s="587" t="s">
        <v>779</v>
      </c>
      <c r="C60" s="589">
        <f>C61+C62</f>
        <v>15757381</v>
      </c>
      <c r="D60" s="591">
        <f>D61+D62</f>
        <v>17449662</v>
      </c>
      <c r="E60" s="590">
        <f t="shared" si="5"/>
        <v>1692281</v>
      </c>
    </row>
    <row r="61" spans="1:5" s="421" customFormat="1" x14ac:dyDescent="0.2">
      <c r="A61" s="588">
        <v>4</v>
      </c>
      <c r="B61" s="587" t="s">
        <v>115</v>
      </c>
      <c r="C61" s="589">
        <v>15757381</v>
      </c>
      <c r="D61" s="591">
        <v>17449662</v>
      </c>
      <c r="E61" s="590">
        <f t="shared" si="5"/>
        <v>1692281</v>
      </c>
    </row>
    <row r="62" spans="1:5" s="421" customFormat="1" x14ac:dyDescent="0.2">
      <c r="A62" s="588">
        <v>5</v>
      </c>
      <c r="B62" s="587" t="s">
        <v>745</v>
      </c>
      <c r="C62" s="589">
        <v>0</v>
      </c>
      <c r="D62" s="591">
        <v>0</v>
      </c>
      <c r="E62" s="590">
        <f t="shared" si="5"/>
        <v>0</v>
      </c>
    </row>
    <row r="63" spans="1:5" s="421" customFormat="1" x14ac:dyDescent="0.2">
      <c r="A63" s="588">
        <v>6</v>
      </c>
      <c r="B63" s="587" t="s">
        <v>424</v>
      </c>
      <c r="C63" s="589">
        <v>185955</v>
      </c>
      <c r="D63" s="591">
        <v>153431</v>
      </c>
      <c r="E63" s="590">
        <f t="shared" si="5"/>
        <v>-32524</v>
      </c>
    </row>
    <row r="64" spans="1:5" s="421" customFormat="1" x14ac:dyDescent="0.2">
      <c r="A64" s="588">
        <v>7</v>
      </c>
      <c r="B64" s="587" t="s">
        <v>760</v>
      </c>
      <c r="C64" s="589">
        <v>2160322</v>
      </c>
      <c r="D64" s="591">
        <v>1001844</v>
      </c>
      <c r="E64" s="590">
        <f t="shared" si="5"/>
        <v>-1158478</v>
      </c>
    </row>
    <row r="65" spans="1:5" s="421" customFormat="1" x14ac:dyDescent="0.2">
      <c r="A65" s="588"/>
      <c r="B65" s="592" t="s">
        <v>794</v>
      </c>
      <c r="C65" s="593">
        <f>SUM(C59+C60+C63)</f>
        <v>42936718</v>
      </c>
      <c r="D65" s="593">
        <f>SUM(D59+D60+D63)</f>
        <v>47275944</v>
      </c>
      <c r="E65" s="593">
        <f t="shared" si="5"/>
        <v>4339226</v>
      </c>
    </row>
    <row r="66" spans="1:5" s="421" customFormat="1" x14ac:dyDescent="0.2">
      <c r="A66" s="588"/>
      <c r="B66" s="592" t="s">
        <v>468</v>
      </c>
      <c r="C66" s="593">
        <f>SUM(C58+C65)</f>
        <v>126244005</v>
      </c>
      <c r="D66" s="593">
        <f>SUM(D58+D65)</f>
        <v>130127002</v>
      </c>
      <c r="E66" s="593">
        <f t="shared" si="5"/>
        <v>3882997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656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783</v>
      </c>
      <c r="C69" s="590">
        <f t="shared" ref="C69:D75" si="6">C47+C58</f>
        <v>118317341</v>
      </c>
      <c r="D69" s="590">
        <f t="shared" si="6"/>
        <v>116303887</v>
      </c>
      <c r="E69" s="590">
        <f t="shared" ref="E69:E77" si="7">D69-C69</f>
        <v>-2013454</v>
      </c>
    </row>
    <row r="70" spans="1:5" s="421" customFormat="1" x14ac:dyDescent="0.2">
      <c r="A70" s="588">
        <v>2</v>
      </c>
      <c r="B70" s="587" t="s">
        <v>784</v>
      </c>
      <c r="C70" s="590">
        <f t="shared" si="6"/>
        <v>77840664</v>
      </c>
      <c r="D70" s="590">
        <f t="shared" si="6"/>
        <v>81515834</v>
      </c>
      <c r="E70" s="590">
        <f t="shared" si="7"/>
        <v>3675170</v>
      </c>
    </row>
    <row r="71" spans="1:5" s="421" customFormat="1" x14ac:dyDescent="0.2">
      <c r="A71" s="588">
        <v>3</v>
      </c>
      <c r="B71" s="587" t="s">
        <v>785</v>
      </c>
      <c r="C71" s="590">
        <f t="shared" si="6"/>
        <v>28414839</v>
      </c>
      <c r="D71" s="590">
        <f t="shared" si="6"/>
        <v>29637708</v>
      </c>
      <c r="E71" s="590">
        <f t="shared" si="7"/>
        <v>1222869</v>
      </c>
    </row>
    <row r="72" spans="1:5" s="421" customFormat="1" x14ac:dyDescent="0.2">
      <c r="A72" s="588">
        <v>4</v>
      </c>
      <c r="B72" s="587" t="s">
        <v>786</v>
      </c>
      <c r="C72" s="590">
        <f t="shared" si="6"/>
        <v>28414839</v>
      </c>
      <c r="D72" s="590">
        <f t="shared" si="6"/>
        <v>29637708</v>
      </c>
      <c r="E72" s="590">
        <f t="shared" si="7"/>
        <v>1222869</v>
      </c>
    </row>
    <row r="73" spans="1:5" s="421" customFormat="1" x14ac:dyDescent="0.2">
      <c r="A73" s="588">
        <v>5</v>
      </c>
      <c r="B73" s="587" t="s">
        <v>787</v>
      </c>
      <c r="C73" s="590">
        <f t="shared" si="6"/>
        <v>0</v>
      </c>
      <c r="D73" s="590">
        <f t="shared" si="6"/>
        <v>0</v>
      </c>
      <c r="E73" s="590">
        <f t="shared" si="7"/>
        <v>0</v>
      </c>
    </row>
    <row r="74" spans="1:5" s="421" customFormat="1" x14ac:dyDescent="0.2">
      <c r="A74" s="588">
        <v>6</v>
      </c>
      <c r="B74" s="587" t="s">
        <v>788</v>
      </c>
      <c r="C74" s="590">
        <f t="shared" si="6"/>
        <v>246567</v>
      </c>
      <c r="D74" s="590">
        <f t="shared" si="6"/>
        <v>174828</v>
      </c>
      <c r="E74" s="590">
        <f t="shared" si="7"/>
        <v>-71739</v>
      </c>
    </row>
    <row r="75" spans="1:5" s="421" customFormat="1" x14ac:dyDescent="0.2">
      <c r="A75" s="588">
        <v>7</v>
      </c>
      <c r="B75" s="587" t="s">
        <v>789</v>
      </c>
      <c r="C75" s="590">
        <f t="shared" si="6"/>
        <v>3103407</v>
      </c>
      <c r="D75" s="590">
        <f t="shared" si="6"/>
        <v>2037610</v>
      </c>
      <c r="E75" s="590">
        <f t="shared" si="7"/>
        <v>-1065797</v>
      </c>
    </row>
    <row r="76" spans="1:5" s="421" customFormat="1" x14ac:dyDescent="0.2">
      <c r="A76" s="588"/>
      <c r="B76" s="592" t="s">
        <v>795</v>
      </c>
      <c r="C76" s="593">
        <f>SUM(C70+C71+C74)</f>
        <v>106502070</v>
      </c>
      <c r="D76" s="593">
        <f>SUM(D70+D71+D74)</f>
        <v>111328370</v>
      </c>
      <c r="E76" s="593">
        <f t="shared" si="7"/>
        <v>4826300</v>
      </c>
    </row>
    <row r="77" spans="1:5" s="421" customFormat="1" x14ac:dyDescent="0.2">
      <c r="A77" s="588"/>
      <c r="B77" s="592" t="s">
        <v>728</v>
      </c>
      <c r="C77" s="593">
        <f>SUM(C69+C76)</f>
        <v>224819411</v>
      </c>
      <c r="D77" s="593">
        <f>SUM(D69+D76)</f>
        <v>227632257</v>
      </c>
      <c r="E77" s="593">
        <f t="shared" si="7"/>
        <v>2812846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796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797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658</v>
      </c>
      <c r="C83" s="599">
        <f t="shared" ref="C83:D89" si="8">IF(C$44=0,0,C14/C$44)</f>
        <v>0.10478480230869618</v>
      </c>
      <c r="D83" s="599">
        <f t="shared" si="8"/>
        <v>9.7331955044827487E-2</v>
      </c>
      <c r="E83" s="599">
        <f t="shared" ref="E83:E91" si="9">D83-C83</f>
        <v>-7.4528472638686893E-3</v>
      </c>
    </row>
    <row r="84" spans="1:5" s="421" customFormat="1" x14ac:dyDescent="0.2">
      <c r="A84" s="588">
        <v>2</v>
      </c>
      <c r="B84" s="587" t="s">
        <v>637</v>
      </c>
      <c r="C84" s="599">
        <f t="shared" si="8"/>
        <v>0.25777997568696775</v>
      </c>
      <c r="D84" s="599">
        <f t="shared" si="8"/>
        <v>0.24505197108135038</v>
      </c>
      <c r="E84" s="599">
        <f t="shared" si="9"/>
        <v>-1.2728004605617377E-2</v>
      </c>
    </row>
    <row r="85" spans="1:5" s="421" customFormat="1" x14ac:dyDescent="0.2">
      <c r="A85" s="588">
        <v>3</v>
      </c>
      <c r="B85" s="587" t="s">
        <v>779</v>
      </c>
      <c r="C85" s="599">
        <f t="shared" si="8"/>
        <v>7.1561577264060885E-2</v>
      </c>
      <c r="D85" s="599">
        <f t="shared" si="8"/>
        <v>7.4018667046143044E-2</v>
      </c>
      <c r="E85" s="599">
        <f t="shared" si="9"/>
        <v>2.4570897820821586E-3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7.1561577264060885E-2</v>
      </c>
      <c r="D86" s="599">
        <f t="shared" si="8"/>
        <v>7.4018667046143044E-2</v>
      </c>
      <c r="E86" s="599">
        <f t="shared" si="9"/>
        <v>2.4570897820821586E-3</v>
      </c>
    </row>
    <row r="87" spans="1:5" s="421" customFormat="1" x14ac:dyDescent="0.2">
      <c r="A87" s="588">
        <v>5</v>
      </c>
      <c r="B87" s="587" t="s">
        <v>745</v>
      </c>
      <c r="C87" s="599">
        <f t="shared" si="8"/>
        <v>0</v>
      </c>
      <c r="D87" s="599">
        <f t="shared" si="8"/>
        <v>0</v>
      </c>
      <c r="E87" s="599">
        <f t="shared" si="9"/>
        <v>0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5.7719107371843317E-4</v>
      </c>
      <c r="D88" s="599">
        <f t="shared" si="8"/>
        <v>1.9603645973419729E-4</v>
      </c>
      <c r="E88" s="599">
        <f t="shared" si="9"/>
        <v>-3.8115461398423588E-4</v>
      </c>
    </row>
    <row r="89" spans="1:5" s="421" customFormat="1" x14ac:dyDescent="0.2">
      <c r="A89" s="588">
        <v>7</v>
      </c>
      <c r="B89" s="587" t="s">
        <v>760</v>
      </c>
      <c r="C89" s="599">
        <f t="shared" si="8"/>
        <v>8.8142414472893171E-3</v>
      </c>
      <c r="D89" s="599">
        <f t="shared" si="8"/>
        <v>4.7407269686731267E-3</v>
      </c>
      <c r="E89" s="599">
        <f t="shared" si="9"/>
        <v>-4.0735144786161904E-3</v>
      </c>
    </row>
    <row r="90" spans="1:5" s="421" customFormat="1" x14ac:dyDescent="0.2">
      <c r="A90" s="588"/>
      <c r="B90" s="592" t="s">
        <v>798</v>
      </c>
      <c r="C90" s="600">
        <f>SUM(C84+C85+C88)</f>
        <v>0.32991874402474708</v>
      </c>
      <c r="D90" s="600">
        <f>SUM(D84+D85+D88)</f>
        <v>0.31926667458722763</v>
      </c>
      <c r="E90" s="601">
        <f t="shared" si="9"/>
        <v>-1.0652069437519451E-2</v>
      </c>
    </row>
    <row r="91" spans="1:5" s="421" customFormat="1" x14ac:dyDescent="0.2">
      <c r="A91" s="588"/>
      <c r="B91" s="592" t="s">
        <v>799</v>
      </c>
      <c r="C91" s="600">
        <f>SUM(C83+C90)</f>
        <v>0.43470354633344327</v>
      </c>
      <c r="D91" s="600">
        <f>SUM(D83+D90)</f>
        <v>0.41659862963205513</v>
      </c>
      <c r="E91" s="601">
        <f t="shared" si="9"/>
        <v>-1.8104916701388141E-2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800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658</v>
      </c>
      <c r="C95" s="599">
        <f t="shared" ref="C95:D101" si="10">IF(C$44=0,0,C25/C$44)</f>
        <v>0.24324745606482942</v>
      </c>
      <c r="D95" s="599">
        <f t="shared" si="10"/>
        <v>0.23535292131091501</v>
      </c>
      <c r="E95" s="599">
        <f t="shared" ref="E95:E103" si="11">D95-C95</f>
        <v>-7.8945347539144117E-3</v>
      </c>
    </row>
    <row r="96" spans="1:5" s="421" customFormat="1" x14ac:dyDescent="0.2">
      <c r="A96" s="588">
        <v>2</v>
      </c>
      <c r="B96" s="587" t="s">
        <v>637</v>
      </c>
      <c r="C96" s="599">
        <f t="shared" si="10"/>
        <v>0.19182288733630759</v>
      </c>
      <c r="D96" s="599">
        <f t="shared" si="10"/>
        <v>0.20225018543526907</v>
      </c>
      <c r="E96" s="599">
        <f t="shared" si="11"/>
        <v>1.0427298098961479E-2</v>
      </c>
    </row>
    <row r="97" spans="1:5" s="421" customFormat="1" x14ac:dyDescent="0.2">
      <c r="A97" s="588">
        <v>3</v>
      </c>
      <c r="B97" s="587" t="s">
        <v>779</v>
      </c>
      <c r="C97" s="599">
        <f t="shared" si="10"/>
        <v>0.12845531698317469</v>
      </c>
      <c r="D97" s="599">
        <f t="shared" si="10"/>
        <v>0.14439255052325792</v>
      </c>
      <c r="E97" s="599">
        <f t="shared" si="11"/>
        <v>1.5937233540083223E-2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0.12845531698317469</v>
      </c>
      <c r="D98" s="599">
        <f t="shared" si="10"/>
        <v>0.14439255052325792</v>
      </c>
      <c r="E98" s="599">
        <f t="shared" si="11"/>
        <v>1.5937233540083223E-2</v>
      </c>
    </row>
    <row r="99" spans="1:5" s="421" customFormat="1" x14ac:dyDescent="0.2">
      <c r="A99" s="588">
        <v>5</v>
      </c>
      <c r="B99" s="587" t="s">
        <v>745</v>
      </c>
      <c r="C99" s="599">
        <f t="shared" si="10"/>
        <v>0</v>
      </c>
      <c r="D99" s="599">
        <f t="shared" si="10"/>
        <v>0</v>
      </c>
      <c r="E99" s="599">
        <f t="shared" si="11"/>
        <v>0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1.770793282245059E-3</v>
      </c>
      <c r="D100" s="599">
        <f t="shared" si="10"/>
        <v>1.4057130985029073E-3</v>
      </c>
      <c r="E100" s="599">
        <f t="shared" si="11"/>
        <v>-3.6508018374215175E-4</v>
      </c>
    </row>
    <row r="101" spans="1:5" s="421" customFormat="1" x14ac:dyDescent="0.2">
      <c r="A101" s="588">
        <v>7</v>
      </c>
      <c r="B101" s="587" t="s">
        <v>760</v>
      </c>
      <c r="C101" s="599">
        <f t="shared" si="10"/>
        <v>1.5935781252548645E-2</v>
      </c>
      <c r="D101" s="599">
        <f t="shared" si="10"/>
        <v>1.2576479006319134E-2</v>
      </c>
      <c r="E101" s="599">
        <f t="shared" si="11"/>
        <v>-3.3593022462295105E-3</v>
      </c>
    </row>
    <row r="102" spans="1:5" s="421" customFormat="1" x14ac:dyDescent="0.2">
      <c r="A102" s="588"/>
      <c r="B102" s="592" t="s">
        <v>801</v>
      </c>
      <c r="C102" s="600">
        <f>SUM(C96+C97+C100)</f>
        <v>0.32204899760172734</v>
      </c>
      <c r="D102" s="600">
        <f>SUM(D96+D97+D100)</f>
        <v>0.34804844905702992</v>
      </c>
      <c r="E102" s="601">
        <f t="shared" si="11"/>
        <v>2.599945145530258E-2</v>
      </c>
    </row>
    <row r="103" spans="1:5" s="421" customFormat="1" x14ac:dyDescent="0.2">
      <c r="A103" s="588"/>
      <c r="B103" s="592" t="s">
        <v>802</v>
      </c>
      <c r="C103" s="600">
        <f>SUM(C95+C102)</f>
        <v>0.56529645366655679</v>
      </c>
      <c r="D103" s="600">
        <f>SUM(D95+D102)</f>
        <v>0.58340137036794493</v>
      </c>
      <c r="E103" s="601">
        <f t="shared" si="11"/>
        <v>1.8104916701388141E-2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803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804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658</v>
      </c>
      <c r="C109" s="599">
        <f t="shared" ref="C109:D115" si="12">IF(C$77=0,0,C47/C$77)</f>
        <v>0.1557252278363099</v>
      </c>
      <c r="D109" s="599">
        <f t="shared" si="12"/>
        <v>0.14695996710167489</v>
      </c>
      <c r="E109" s="599">
        <f t="shared" ref="E109:E117" si="13">D109-C109</f>
        <v>-8.7652607346350164E-3</v>
      </c>
    </row>
    <row r="110" spans="1:5" s="421" customFormat="1" x14ac:dyDescent="0.2">
      <c r="A110" s="588">
        <v>2</v>
      </c>
      <c r="B110" s="587" t="s">
        <v>637</v>
      </c>
      <c r="C110" s="599">
        <f t="shared" si="12"/>
        <v>0.22616944761944954</v>
      </c>
      <c r="D110" s="599">
        <f t="shared" si="12"/>
        <v>0.22774884229171438</v>
      </c>
      <c r="E110" s="599">
        <f t="shared" si="13"/>
        <v>1.5793946722648389E-3</v>
      </c>
    </row>
    <row r="111" spans="1:5" s="421" customFormat="1" x14ac:dyDescent="0.2">
      <c r="A111" s="588">
        <v>3</v>
      </c>
      <c r="B111" s="587" t="s">
        <v>779</v>
      </c>
      <c r="C111" s="599">
        <f t="shared" si="12"/>
        <v>5.6300556716608427E-2</v>
      </c>
      <c r="D111" s="599">
        <f t="shared" si="12"/>
        <v>5.3542701551300788E-2</v>
      </c>
      <c r="E111" s="599">
        <f t="shared" si="13"/>
        <v>-2.7578551653076391E-3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5.6300556716608427E-2</v>
      </c>
      <c r="D112" s="599">
        <f t="shared" si="12"/>
        <v>5.3542701551300788E-2</v>
      </c>
      <c r="E112" s="599">
        <f t="shared" si="13"/>
        <v>-2.7578551653076391E-3</v>
      </c>
    </row>
    <row r="113" spans="1:5" s="421" customFormat="1" x14ac:dyDescent="0.2">
      <c r="A113" s="588">
        <v>5</v>
      </c>
      <c r="B113" s="587" t="s">
        <v>745</v>
      </c>
      <c r="C113" s="599">
        <f t="shared" si="12"/>
        <v>0</v>
      </c>
      <c r="D113" s="599">
        <f t="shared" si="12"/>
        <v>0</v>
      </c>
      <c r="E113" s="599">
        <f t="shared" si="13"/>
        <v>0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2.6960305487144971E-4</v>
      </c>
      <c r="D114" s="599">
        <f t="shared" si="12"/>
        <v>9.399810150808284E-5</v>
      </c>
      <c r="E114" s="599">
        <f t="shared" si="13"/>
        <v>-1.7560495336336687E-4</v>
      </c>
    </row>
    <row r="115" spans="1:5" s="421" customFormat="1" x14ac:dyDescent="0.2">
      <c r="A115" s="588">
        <v>7</v>
      </c>
      <c r="B115" s="587" t="s">
        <v>760</v>
      </c>
      <c r="C115" s="599">
        <f t="shared" si="12"/>
        <v>4.1948557546928186E-3</v>
      </c>
      <c r="D115" s="599">
        <f t="shared" si="12"/>
        <v>4.5501723422265239E-3</v>
      </c>
      <c r="E115" s="599">
        <f t="shared" si="13"/>
        <v>3.5531658753370533E-4</v>
      </c>
    </row>
    <row r="116" spans="1:5" s="421" customFormat="1" x14ac:dyDescent="0.2">
      <c r="A116" s="588"/>
      <c r="B116" s="592" t="s">
        <v>798</v>
      </c>
      <c r="C116" s="600">
        <f>SUM(C110+C111+C114)</f>
        <v>0.2827396073909294</v>
      </c>
      <c r="D116" s="600">
        <f>SUM(D110+D111+D114)</f>
        <v>0.28138554194452325</v>
      </c>
      <c r="E116" s="601">
        <f t="shared" si="13"/>
        <v>-1.3540654464061497E-3</v>
      </c>
    </row>
    <row r="117" spans="1:5" s="421" customFormat="1" x14ac:dyDescent="0.2">
      <c r="A117" s="588"/>
      <c r="B117" s="592" t="s">
        <v>799</v>
      </c>
      <c r="C117" s="600">
        <f>SUM(C109+C116)</f>
        <v>0.43846483522723934</v>
      </c>
      <c r="D117" s="600">
        <f>SUM(D109+D116)</f>
        <v>0.42834550904619817</v>
      </c>
      <c r="E117" s="601">
        <f t="shared" si="13"/>
        <v>-1.0119326181041166E-2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805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658</v>
      </c>
      <c r="C121" s="599">
        <f t="shared" ref="C121:D127" si="14">IF(C$77=0,0,C58/C$77)</f>
        <v>0.37055202052815628</v>
      </c>
      <c r="D121" s="599">
        <f t="shared" si="14"/>
        <v>0.36396888161593022</v>
      </c>
      <c r="E121" s="599">
        <f t="shared" ref="E121:E129" si="15">D121-C121</f>
        <v>-6.5831389122260608E-3</v>
      </c>
    </row>
    <row r="122" spans="1:5" s="421" customFormat="1" x14ac:dyDescent="0.2">
      <c r="A122" s="588">
        <v>2</v>
      </c>
      <c r="B122" s="587" t="s">
        <v>637</v>
      </c>
      <c r="C122" s="599">
        <f t="shared" si="14"/>
        <v>0.12006695453890323</v>
      </c>
      <c r="D122" s="599">
        <f t="shared" si="14"/>
        <v>0.13035433286592593</v>
      </c>
      <c r="E122" s="599">
        <f t="shared" si="15"/>
        <v>1.02873783270227E-2</v>
      </c>
    </row>
    <row r="123" spans="1:5" s="421" customFormat="1" x14ac:dyDescent="0.2">
      <c r="A123" s="588">
        <v>3</v>
      </c>
      <c r="B123" s="587" t="s">
        <v>779</v>
      </c>
      <c r="C123" s="599">
        <f t="shared" si="14"/>
        <v>7.0089059169361492E-2</v>
      </c>
      <c r="D123" s="599">
        <f t="shared" si="14"/>
        <v>7.6657246340970028E-2</v>
      </c>
      <c r="E123" s="599">
        <f t="shared" si="15"/>
        <v>6.568187171608536E-3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7.0089059169361492E-2</v>
      </c>
      <c r="D124" s="599">
        <f t="shared" si="14"/>
        <v>7.6657246340970028E-2</v>
      </c>
      <c r="E124" s="599">
        <f t="shared" si="15"/>
        <v>6.568187171608536E-3</v>
      </c>
    </row>
    <row r="125" spans="1:5" s="421" customFormat="1" x14ac:dyDescent="0.2">
      <c r="A125" s="588">
        <v>5</v>
      </c>
      <c r="B125" s="587" t="s">
        <v>745</v>
      </c>
      <c r="C125" s="599">
        <f t="shared" si="14"/>
        <v>0</v>
      </c>
      <c r="D125" s="599">
        <f t="shared" si="14"/>
        <v>0</v>
      </c>
      <c r="E125" s="599">
        <f t="shared" si="15"/>
        <v>0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8.2713053633967572E-4</v>
      </c>
      <c r="D126" s="599">
        <f t="shared" si="14"/>
        <v>6.7403013097568152E-4</v>
      </c>
      <c r="E126" s="599">
        <f t="shared" si="15"/>
        <v>-1.531004053639942E-4</v>
      </c>
    </row>
    <row r="127" spans="1:5" s="421" customFormat="1" x14ac:dyDescent="0.2">
      <c r="A127" s="588">
        <v>7</v>
      </c>
      <c r="B127" s="587" t="s">
        <v>760</v>
      </c>
      <c r="C127" s="599">
        <f t="shared" si="14"/>
        <v>9.6091435805781018E-3</v>
      </c>
      <c r="D127" s="599">
        <f t="shared" si="14"/>
        <v>4.4011512832295993E-3</v>
      </c>
      <c r="E127" s="599">
        <f t="shared" si="15"/>
        <v>-5.2079922973485024E-3</v>
      </c>
    </row>
    <row r="128" spans="1:5" s="421" customFormat="1" x14ac:dyDescent="0.2">
      <c r="A128" s="588"/>
      <c r="B128" s="592" t="s">
        <v>801</v>
      </c>
      <c r="C128" s="600">
        <f>SUM(C122+C123+C126)</f>
        <v>0.19098314424460441</v>
      </c>
      <c r="D128" s="600">
        <f>SUM(D122+D123+D126)</f>
        <v>0.20768560933787164</v>
      </c>
      <c r="E128" s="601">
        <f t="shared" si="15"/>
        <v>1.6702465093267227E-2</v>
      </c>
    </row>
    <row r="129" spans="1:5" s="421" customFormat="1" x14ac:dyDescent="0.2">
      <c r="A129" s="588"/>
      <c r="B129" s="592" t="s">
        <v>802</v>
      </c>
      <c r="C129" s="600">
        <f>SUM(C121+C128)</f>
        <v>0.56153516477276066</v>
      </c>
      <c r="D129" s="600">
        <f>SUM(D121+D128)</f>
        <v>0.57165449095380183</v>
      </c>
      <c r="E129" s="601">
        <f t="shared" si="15"/>
        <v>1.0119326181041166E-2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806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807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808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658</v>
      </c>
      <c r="C137" s="606">
        <v>2804</v>
      </c>
      <c r="D137" s="606">
        <v>2607</v>
      </c>
      <c r="E137" s="607">
        <f t="shared" ref="E137:E145" si="16">D137-C137</f>
        <v>-197</v>
      </c>
    </row>
    <row r="138" spans="1:5" s="421" customFormat="1" x14ac:dyDescent="0.2">
      <c r="A138" s="588">
        <v>2</v>
      </c>
      <c r="B138" s="587" t="s">
        <v>637</v>
      </c>
      <c r="C138" s="606">
        <v>4908</v>
      </c>
      <c r="D138" s="606">
        <v>4483</v>
      </c>
      <c r="E138" s="607">
        <f t="shared" si="16"/>
        <v>-425</v>
      </c>
    </row>
    <row r="139" spans="1:5" s="421" customFormat="1" x14ac:dyDescent="0.2">
      <c r="A139" s="588">
        <v>3</v>
      </c>
      <c r="B139" s="587" t="s">
        <v>779</v>
      </c>
      <c r="C139" s="606">
        <f>C140+C141</f>
        <v>2111</v>
      </c>
      <c r="D139" s="606">
        <f>D140+D141</f>
        <v>2182</v>
      </c>
      <c r="E139" s="607">
        <f t="shared" si="16"/>
        <v>71</v>
      </c>
    </row>
    <row r="140" spans="1:5" s="421" customFormat="1" x14ac:dyDescent="0.2">
      <c r="A140" s="588">
        <v>4</v>
      </c>
      <c r="B140" s="587" t="s">
        <v>115</v>
      </c>
      <c r="C140" s="606">
        <v>2111</v>
      </c>
      <c r="D140" s="606">
        <v>2182</v>
      </c>
      <c r="E140" s="607">
        <f t="shared" si="16"/>
        <v>71</v>
      </c>
    </row>
    <row r="141" spans="1:5" s="421" customFormat="1" x14ac:dyDescent="0.2">
      <c r="A141" s="588">
        <v>5</v>
      </c>
      <c r="B141" s="587" t="s">
        <v>745</v>
      </c>
      <c r="C141" s="606">
        <v>0</v>
      </c>
      <c r="D141" s="606">
        <v>0</v>
      </c>
      <c r="E141" s="607">
        <f t="shared" si="16"/>
        <v>0</v>
      </c>
    </row>
    <row r="142" spans="1:5" s="421" customFormat="1" x14ac:dyDescent="0.2">
      <c r="A142" s="588">
        <v>6</v>
      </c>
      <c r="B142" s="587" t="s">
        <v>424</v>
      </c>
      <c r="C142" s="606">
        <v>24</v>
      </c>
      <c r="D142" s="606">
        <v>12</v>
      </c>
      <c r="E142" s="607">
        <f t="shared" si="16"/>
        <v>-12</v>
      </c>
    </row>
    <row r="143" spans="1:5" s="421" customFormat="1" x14ac:dyDescent="0.2">
      <c r="A143" s="588">
        <v>7</v>
      </c>
      <c r="B143" s="587" t="s">
        <v>760</v>
      </c>
      <c r="C143" s="606">
        <v>242</v>
      </c>
      <c r="D143" s="606">
        <v>127</v>
      </c>
      <c r="E143" s="607">
        <f t="shared" si="16"/>
        <v>-115</v>
      </c>
    </row>
    <row r="144" spans="1:5" s="421" customFormat="1" x14ac:dyDescent="0.2">
      <c r="A144" s="588"/>
      <c r="B144" s="592" t="s">
        <v>809</v>
      </c>
      <c r="C144" s="608">
        <f>SUM(C138+C139+C142)</f>
        <v>7043</v>
      </c>
      <c r="D144" s="608">
        <f>SUM(D138+D139+D142)</f>
        <v>6677</v>
      </c>
      <c r="E144" s="609">
        <f t="shared" si="16"/>
        <v>-366</v>
      </c>
    </row>
    <row r="145" spans="1:5" s="421" customFormat="1" x14ac:dyDescent="0.2">
      <c r="A145" s="588"/>
      <c r="B145" s="592" t="s">
        <v>138</v>
      </c>
      <c r="C145" s="608">
        <f>SUM(C137+C144)</f>
        <v>9847</v>
      </c>
      <c r="D145" s="608">
        <f>SUM(D137+D144)</f>
        <v>9284</v>
      </c>
      <c r="E145" s="609">
        <f t="shared" si="16"/>
        <v>-563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658</v>
      </c>
      <c r="C149" s="610">
        <v>9388</v>
      </c>
      <c r="D149" s="610">
        <v>8667</v>
      </c>
      <c r="E149" s="607">
        <f t="shared" ref="E149:E157" si="17">D149-C149</f>
        <v>-721</v>
      </c>
    </row>
    <row r="150" spans="1:5" s="421" customFormat="1" x14ac:dyDescent="0.2">
      <c r="A150" s="588">
        <v>2</v>
      </c>
      <c r="B150" s="587" t="s">
        <v>637</v>
      </c>
      <c r="C150" s="610">
        <v>24257</v>
      </c>
      <c r="D150" s="610">
        <v>22600</v>
      </c>
      <c r="E150" s="607">
        <f t="shared" si="17"/>
        <v>-1657</v>
      </c>
    </row>
    <row r="151" spans="1:5" s="421" customFormat="1" x14ac:dyDescent="0.2">
      <c r="A151" s="588">
        <v>3</v>
      </c>
      <c r="B151" s="587" t="s">
        <v>779</v>
      </c>
      <c r="C151" s="610">
        <f>C152+C153</f>
        <v>8183</v>
      </c>
      <c r="D151" s="610">
        <f>D152+D153</f>
        <v>8199</v>
      </c>
      <c r="E151" s="607">
        <f t="shared" si="17"/>
        <v>16</v>
      </c>
    </row>
    <row r="152" spans="1:5" s="421" customFormat="1" x14ac:dyDescent="0.2">
      <c r="A152" s="588">
        <v>4</v>
      </c>
      <c r="B152" s="587" t="s">
        <v>115</v>
      </c>
      <c r="C152" s="610">
        <v>8183</v>
      </c>
      <c r="D152" s="610">
        <v>8199</v>
      </c>
      <c r="E152" s="607">
        <f t="shared" si="17"/>
        <v>16</v>
      </c>
    </row>
    <row r="153" spans="1:5" s="421" customFormat="1" x14ac:dyDescent="0.2">
      <c r="A153" s="588">
        <v>5</v>
      </c>
      <c r="B153" s="587" t="s">
        <v>745</v>
      </c>
      <c r="C153" s="611">
        <v>0</v>
      </c>
      <c r="D153" s="610">
        <v>0</v>
      </c>
      <c r="E153" s="607">
        <f t="shared" si="17"/>
        <v>0</v>
      </c>
    </row>
    <row r="154" spans="1:5" s="421" customFormat="1" x14ac:dyDescent="0.2">
      <c r="A154" s="588">
        <v>6</v>
      </c>
      <c r="B154" s="587" t="s">
        <v>424</v>
      </c>
      <c r="C154" s="610">
        <v>70</v>
      </c>
      <c r="D154" s="610">
        <v>26</v>
      </c>
      <c r="E154" s="607">
        <f t="shared" si="17"/>
        <v>-44</v>
      </c>
    </row>
    <row r="155" spans="1:5" s="421" customFormat="1" x14ac:dyDescent="0.2">
      <c r="A155" s="588">
        <v>7</v>
      </c>
      <c r="B155" s="587" t="s">
        <v>760</v>
      </c>
      <c r="C155" s="610">
        <v>882</v>
      </c>
      <c r="D155" s="610">
        <v>662</v>
      </c>
      <c r="E155" s="607">
        <f t="shared" si="17"/>
        <v>-220</v>
      </c>
    </row>
    <row r="156" spans="1:5" s="421" customFormat="1" x14ac:dyDescent="0.2">
      <c r="A156" s="588"/>
      <c r="B156" s="592" t="s">
        <v>810</v>
      </c>
      <c r="C156" s="608">
        <f>SUM(C150+C151+C154)</f>
        <v>32510</v>
      </c>
      <c r="D156" s="608">
        <f>SUM(D150+D151+D154)</f>
        <v>30825</v>
      </c>
      <c r="E156" s="609">
        <f t="shared" si="17"/>
        <v>-1685</v>
      </c>
    </row>
    <row r="157" spans="1:5" s="421" customFormat="1" x14ac:dyDescent="0.2">
      <c r="A157" s="588"/>
      <c r="B157" s="592" t="s">
        <v>140</v>
      </c>
      <c r="C157" s="608">
        <f>SUM(C149+C156)</f>
        <v>41898</v>
      </c>
      <c r="D157" s="608">
        <f>SUM(D149+D156)</f>
        <v>39492</v>
      </c>
      <c r="E157" s="609">
        <f t="shared" si="17"/>
        <v>-2406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811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658</v>
      </c>
      <c r="C161" s="612">
        <f t="shared" ref="C161:D169" si="18">IF(C137=0,0,C149/C137)</f>
        <v>3.3480741797432239</v>
      </c>
      <c r="D161" s="612">
        <f t="shared" si="18"/>
        <v>3.324510932105869</v>
      </c>
      <c r="E161" s="613">
        <f t="shared" ref="E161:E169" si="19">D161-C161</f>
        <v>-2.3563247637354845E-2</v>
      </c>
    </row>
    <row r="162" spans="1:5" s="421" customFormat="1" x14ac:dyDescent="0.2">
      <c r="A162" s="588">
        <v>2</v>
      </c>
      <c r="B162" s="587" t="s">
        <v>637</v>
      </c>
      <c r="C162" s="612">
        <f t="shared" si="18"/>
        <v>4.9423390383048087</v>
      </c>
      <c r="D162" s="612">
        <f t="shared" si="18"/>
        <v>5.0412670086995313</v>
      </c>
      <c r="E162" s="613">
        <f t="shared" si="19"/>
        <v>9.8927970394722564E-2</v>
      </c>
    </row>
    <row r="163" spans="1:5" s="421" customFormat="1" x14ac:dyDescent="0.2">
      <c r="A163" s="588">
        <v>3</v>
      </c>
      <c r="B163" s="587" t="s">
        <v>779</v>
      </c>
      <c r="C163" s="612">
        <f t="shared" si="18"/>
        <v>3.8763619137849359</v>
      </c>
      <c r="D163" s="612">
        <f t="shared" si="18"/>
        <v>3.7575618698441797</v>
      </c>
      <c r="E163" s="613">
        <f t="shared" si="19"/>
        <v>-0.11880004394075616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3.8763619137849359</v>
      </c>
      <c r="D164" s="612">
        <f t="shared" si="18"/>
        <v>3.7575618698441797</v>
      </c>
      <c r="E164" s="613">
        <f t="shared" si="19"/>
        <v>-0.11880004394075616</v>
      </c>
    </row>
    <row r="165" spans="1:5" s="421" customFormat="1" x14ac:dyDescent="0.2">
      <c r="A165" s="588">
        <v>5</v>
      </c>
      <c r="B165" s="587" t="s">
        <v>745</v>
      </c>
      <c r="C165" s="612">
        <f t="shared" si="18"/>
        <v>0</v>
      </c>
      <c r="D165" s="612">
        <f t="shared" si="18"/>
        <v>0</v>
      </c>
      <c r="E165" s="613">
        <f t="shared" si="19"/>
        <v>0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2.9166666666666665</v>
      </c>
      <c r="D166" s="612">
        <f t="shared" si="18"/>
        <v>2.1666666666666665</v>
      </c>
      <c r="E166" s="613">
        <f t="shared" si="19"/>
        <v>-0.75</v>
      </c>
    </row>
    <row r="167" spans="1:5" s="421" customFormat="1" x14ac:dyDescent="0.2">
      <c r="A167" s="588">
        <v>7</v>
      </c>
      <c r="B167" s="587" t="s">
        <v>760</v>
      </c>
      <c r="C167" s="612">
        <f t="shared" si="18"/>
        <v>3.6446280991735538</v>
      </c>
      <c r="D167" s="612">
        <f t="shared" si="18"/>
        <v>5.21259842519685</v>
      </c>
      <c r="E167" s="613">
        <f t="shared" si="19"/>
        <v>1.5679703260232962</v>
      </c>
    </row>
    <row r="168" spans="1:5" s="421" customFormat="1" x14ac:dyDescent="0.2">
      <c r="A168" s="588"/>
      <c r="B168" s="592" t="s">
        <v>812</v>
      </c>
      <c r="C168" s="614">
        <f t="shared" si="18"/>
        <v>4.6159307113445971</v>
      </c>
      <c r="D168" s="614">
        <f t="shared" si="18"/>
        <v>4.6165942788677548</v>
      </c>
      <c r="E168" s="615">
        <f t="shared" si="19"/>
        <v>6.6356752315765988E-4</v>
      </c>
    </row>
    <row r="169" spans="1:5" s="421" customFormat="1" x14ac:dyDescent="0.2">
      <c r="A169" s="588"/>
      <c r="B169" s="592" t="s">
        <v>746</v>
      </c>
      <c r="C169" s="614">
        <f t="shared" si="18"/>
        <v>4.2548999695338683</v>
      </c>
      <c r="D169" s="614">
        <f t="shared" si="18"/>
        <v>4.2537699267557088</v>
      </c>
      <c r="E169" s="615">
        <f t="shared" si="19"/>
        <v>-1.1300427781595346E-3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813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658</v>
      </c>
      <c r="C173" s="617">
        <f t="shared" ref="C173:D181" si="20">IF(C137=0,0,C203/C137)</f>
        <v>1.10877</v>
      </c>
      <c r="D173" s="617">
        <f t="shared" si="20"/>
        <v>1.1429499999999999</v>
      </c>
      <c r="E173" s="618">
        <f t="shared" ref="E173:E181" si="21">D173-C173</f>
        <v>3.4179999999999877E-2</v>
      </c>
    </row>
    <row r="174" spans="1:5" s="421" customFormat="1" x14ac:dyDescent="0.2">
      <c r="A174" s="588">
        <v>2</v>
      </c>
      <c r="B174" s="587" t="s">
        <v>637</v>
      </c>
      <c r="C174" s="617">
        <f t="shared" si="20"/>
        <v>1.52013</v>
      </c>
      <c r="D174" s="617">
        <f t="shared" si="20"/>
        <v>1.59467</v>
      </c>
      <c r="E174" s="618">
        <f t="shared" si="21"/>
        <v>7.4540000000000051E-2</v>
      </c>
    </row>
    <row r="175" spans="1:5" s="421" customFormat="1" x14ac:dyDescent="0.2">
      <c r="A175" s="588">
        <v>3</v>
      </c>
      <c r="B175" s="587" t="s">
        <v>779</v>
      </c>
      <c r="C175" s="617">
        <f t="shared" si="20"/>
        <v>0.98575999999999997</v>
      </c>
      <c r="D175" s="617">
        <f t="shared" si="20"/>
        <v>0.99991000000000008</v>
      </c>
      <c r="E175" s="618">
        <f t="shared" si="21"/>
        <v>1.4150000000000107E-2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0.98575999999999997</v>
      </c>
      <c r="D176" s="617">
        <f t="shared" si="20"/>
        <v>0.99991000000000008</v>
      </c>
      <c r="E176" s="618">
        <f t="shared" si="21"/>
        <v>1.4150000000000107E-2</v>
      </c>
    </row>
    <row r="177" spans="1:5" s="421" customFormat="1" x14ac:dyDescent="0.2">
      <c r="A177" s="588">
        <v>5</v>
      </c>
      <c r="B177" s="587" t="s">
        <v>745</v>
      </c>
      <c r="C177" s="617">
        <f t="shared" si="20"/>
        <v>0</v>
      </c>
      <c r="D177" s="617">
        <f t="shared" si="20"/>
        <v>0</v>
      </c>
      <c r="E177" s="618">
        <f t="shared" si="21"/>
        <v>0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0.72829999999999995</v>
      </c>
      <c r="D178" s="617">
        <f t="shared" si="20"/>
        <v>0.55530000000000002</v>
      </c>
      <c r="E178" s="618">
        <f t="shared" si="21"/>
        <v>-0.17299999999999993</v>
      </c>
    </row>
    <row r="179" spans="1:5" s="421" customFormat="1" x14ac:dyDescent="0.2">
      <c r="A179" s="588">
        <v>7</v>
      </c>
      <c r="B179" s="587" t="s">
        <v>760</v>
      </c>
      <c r="C179" s="617">
        <f t="shared" si="20"/>
        <v>0.94379000000000002</v>
      </c>
      <c r="D179" s="617">
        <f t="shared" si="20"/>
        <v>0.34031</v>
      </c>
      <c r="E179" s="618">
        <f t="shared" si="21"/>
        <v>-0.60348000000000002</v>
      </c>
    </row>
    <row r="180" spans="1:5" s="421" customFormat="1" x14ac:dyDescent="0.2">
      <c r="A180" s="588"/>
      <c r="B180" s="592" t="s">
        <v>814</v>
      </c>
      <c r="C180" s="619">
        <f t="shared" si="20"/>
        <v>1.357264887121965</v>
      </c>
      <c r="D180" s="619">
        <f t="shared" si="20"/>
        <v>1.398438345065149</v>
      </c>
      <c r="E180" s="620">
        <f t="shared" si="21"/>
        <v>4.1173457943183944E-2</v>
      </c>
    </row>
    <row r="181" spans="1:5" s="421" customFormat="1" x14ac:dyDescent="0.2">
      <c r="A181" s="588"/>
      <c r="B181" s="592" t="s">
        <v>725</v>
      </c>
      <c r="C181" s="619">
        <f t="shared" si="20"/>
        <v>1.2865042835381333</v>
      </c>
      <c r="D181" s="619">
        <f t="shared" si="20"/>
        <v>1.3266957647565705</v>
      </c>
      <c r="E181" s="620">
        <f t="shared" si="21"/>
        <v>4.0191481218437186E-2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815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ht="25.5" x14ac:dyDescent="0.2">
      <c r="A185" s="588">
        <v>1</v>
      </c>
      <c r="B185" s="587" t="s">
        <v>816</v>
      </c>
      <c r="C185" s="589">
        <v>163272936</v>
      </c>
      <c r="D185" s="589">
        <v>180790784</v>
      </c>
      <c r="E185" s="590">
        <f>D185-C185</f>
        <v>17517848</v>
      </c>
    </row>
    <row r="186" spans="1:5" s="421" customFormat="1" ht="25.5" x14ac:dyDescent="0.2">
      <c r="A186" s="588">
        <v>2</v>
      </c>
      <c r="B186" s="587" t="s">
        <v>817</v>
      </c>
      <c r="C186" s="589">
        <v>115287227</v>
      </c>
      <c r="D186" s="589">
        <v>130814180</v>
      </c>
      <c r="E186" s="590">
        <f>D186-C186</f>
        <v>15526953</v>
      </c>
    </row>
    <row r="187" spans="1:5" s="421" customFormat="1" x14ac:dyDescent="0.2">
      <c r="A187" s="588"/>
      <c r="B187" s="587" t="s">
        <v>670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749</v>
      </c>
      <c r="C188" s="622">
        <f>+C185-C186</f>
        <v>47985709</v>
      </c>
      <c r="D188" s="622">
        <f>+D185-D186</f>
        <v>49976604</v>
      </c>
      <c r="E188" s="590">
        <f t="shared" ref="E188:E197" si="22">D188-C188</f>
        <v>1990895</v>
      </c>
    </row>
    <row r="189" spans="1:5" s="421" customFormat="1" x14ac:dyDescent="0.2">
      <c r="A189" s="588">
        <v>4</v>
      </c>
      <c r="B189" s="587" t="s">
        <v>672</v>
      </c>
      <c r="C189" s="623">
        <f>IF(C185=0,0,+C188/C185)</f>
        <v>0.29389873285551749</v>
      </c>
      <c r="D189" s="623">
        <f>IF(D185=0,0,+D188/D185)</f>
        <v>0.27643336067396002</v>
      </c>
      <c r="E189" s="599">
        <f t="shared" si="22"/>
        <v>-1.746537218155747E-2</v>
      </c>
    </row>
    <row r="190" spans="1:5" s="421" customFormat="1" x14ac:dyDescent="0.2">
      <c r="A190" s="588">
        <v>5</v>
      </c>
      <c r="B190" s="587" t="s">
        <v>764</v>
      </c>
      <c r="C190" s="589">
        <v>3925009</v>
      </c>
      <c r="D190" s="589">
        <v>3925009</v>
      </c>
      <c r="E190" s="622">
        <f t="shared" si="22"/>
        <v>0</v>
      </c>
    </row>
    <row r="191" spans="1:5" s="421" customFormat="1" x14ac:dyDescent="0.2">
      <c r="A191" s="588">
        <v>6</v>
      </c>
      <c r="B191" s="587" t="s">
        <v>750</v>
      </c>
      <c r="C191" s="589">
        <v>1914881</v>
      </c>
      <c r="D191" s="589">
        <v>1594619</v>
      </c>
      <c r="E191" s="622">
        <f t="shared" si="22"/>
        <v>-320262</v>
      </c>
    </row>
    <row r="192" spans="1:5" ht="29.25" x14ac:dyDescent="0.2">
      <c r="A192" s="588">
        <v>7</v>
      </c>
      <c r="B192" s="624" t="s">
        <v>818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819</v>
      </c>
      <c r="C193" s="589">
        <v>7131143</v>
      </c>
      <c r="D193" s="589">
        <v>8125010</v>
      </c>
      <c r="E193" s="622">
        <f t="shared" si="22"/>
        <v>993867</v>
      </c>
    </row>
    <row r="194" spans="1:5" s="421" customFormat="1" x14ac:dyDescent="0.2">
      <c r="A194" s="588">
        <v>9</v>
      </c>
      <c r="B194" s="587" t="s">
        <v>820</v>
      </c>
      <c r="C194" s="589">
        <v>2265391</v>
      </c>
      <c r="D194" s="589">
        <v>6385283</v>
      </c>
      <c r="E194" s="622">
        <f t="shared" si="22"/>
        <v>4119892</v>
      </c>
    </row>
    <row r="195" spans="1:5" s="421" customFormat="1" x14ac:dyDescent="0.2">
      <c r="A195" s="588">
        <v>10</v>
      </c>
      <c r="B195" s="587" t="s">
        <v>821</v>
      </c>
      <c r="C195" s="589">
        <f>+C193+C194</f>
        <v>9396534</v>
      </c>
      <c r="D195" s="589">
        <f>+D193+D194</f>
        <v>14510293</v>
      </c>
      <c r="E195" s="625">
        <f t="shared" si="22"/>
        <v>5113759</v>
      </c>
    </row>
    <row r="196" spans="1:5" s="421" customFormat="1" x14ac:dyDescent="0.2">
      <c r="A196" s="588">
        <v>11</v>
      </c>
      <c r="B196" s="587" t="s">
        <v>822</v>
      </c>
      <c r="C196" s="589">
        <v>9116321</v>
      </c>
      <c r="D196" s="589">
        <v>8597041</v>
      </c>
      <c r="E196" s="622">
        <f t="shared" si="22"/>
        <v>-519280</v>
      </c>
    </row>
    <row r="197" spans="1:5" s="421" customFormat="1" x14ac:dyDescent="0.2">
      <c r="A197" s="588">
        <v>12</v>
      </c>
      <c r="B197" s="587" t="s">
        <v>712</v>
      </c>
      <c r="C197" s="589">
        <v>210520148</v>
      </c>
      <c r="D197" s="589">
        <v>208792651</v>
      </c>
      <c r="E197" s="622">
        <f t="shared" si="22"/>
        <v>-1727497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823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824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658</v>
      </c>
      <c r="C203" s="629">
        <v>3108.9910800000002</v>
      </c>
      <c r="D203" s="629">
        <v>2979.6706499999996</v>
      </c>
      <c r="E203" s="630">
        <f t="shared" ref="E203:E211" si="23">D203-C203</f>
        <v>-129.32043000000067</v>
      </c>
    </row>
    <row r="204" spans="1:5" s="421" customFormat="1" x14ac:dyDescent="0.2">
      <c r="A204" s="588">
        <v>2</v>
      </c>
      <c r="B204" s="587" t="s">
        <v>637</v>
      </c>
      <c r="C204" s="629">
        <v>7460.7980399999997</v>
      </c>
      <c r="D204" s="629">
        <v>7148.9056099999998</v>
      </c>
      <c r="E204" s="630">
        <f t="shared" si="23"/>
        <v>-311.89242999999988</v>
      </c>
    </row>
    <row r="205" spans="1:5" s="421" customFormat="1" x14ac:dyDescent="0.2">
      <c r="A205" s="588">
        <v>3</v>
      </c>
      <c r="B205" s="587" t="s">
        <v>779</v>
      </c>
      <c r="C205" s="629">
        <f>C206+C207</f>
        <v>2080.9393599999999</v>
      </c>
      <c r="D205" s="629">
        <f>D206+D207</f>
        <v>2181.8036200000001</v>
      </c>
      <c r="E205" s="630">
        <f t="shared" si="23"/>
        <v>100.86426000000029</v>
      </c>
    </row>
    <row r="206" spans="1:5" s="421" customFormat="1" x14ac:dyDescent="0.2">
      <c r="A206" s="588">
        <v>4</v>
      </c>
      <c r="B206" s="587" t="s">
        <v>115</v>
      </c>
      <c r="C206" s="629">
        <v>2080.9393599999999</v>
      </c>
      <c r="D206" s="629">
        <v>2181.8036200000001</v>
      </c>
      <c r="E206" s="630">
        <f t="shared" si="23"/>
        <v>100.86426000000029</v>
      </c>
    </row>
    <row r="207" spans="1:5" s="421" customFormat="1" x14ac:dyDescent="0.2">
      <c r="A207" s="588">
        <v>5</v>
      </c>
      <c r="B207" s="587" t="s">
        <v>745</v>
      </c>
      <c r="C207" s="629">
        <v>0</v>
      </c>
      <c r="D207" s="629">
        <v>0</v>
      </c>
      <c r="E207" s="630">
        <f t="shared" si="23"/>
        <v>0</v>
      </c>
    </row>
    <row r="208" spans="1:5" s="421" customFormat="1" x14ac:dyDescent="0.2">
      <c r="A208" s="588">
        <v>6</v>
      </c>
      <c r="B208" s="587" t="s">
        <v>424</v>
      </c>
      <c r="C208" s="629">
        <v>17.479199999999999</v>
      </c>
      <c r="D208" s="629">
        <v>6.6636000000000006</v>
      </c>
      <c r="E208" s="630">
        <f t="shared" si="23"/>
        <v>-10.815599999999998</v>
      </c>
    </row>
    <row r="209" spans="1:5" s="421" customFormat="1" x14ac:dyDescent="0.2">
      <c r="A209" s="588">
        <v>7</v>
      </c>
      <c r="B209" s="587" t="s">
        <v>760</v>
      </c>
      <c r="C209" s="629">
        <v>228.39717999999999</v>
      </c>
      <c r="D209" s="629">
        <v>43.219369999999998</v>
      </c>
      <c r="E209" s="630">
        <f t="shared" si="23"/>
        <v>-185.17780999999999</v>
      </c>
    </row>
    <row r="210" spans="1:5" s="421" customFormat="1" x14ac:dyDescent="0.2">
      <c r="A210" s="588"/>
      <c r="B210" s="592" t="s">
        <v>825</v>
      </c>
      <c r="C210" s="631">
        <f>C204+C205+C208</f>
        <v>9559.2165999999997</v>
      </c>
      <c r="D210" s="631">
        <f>D204+D205+D208</f>
        <v>9337.3728300000002</v>
      </c>
      <c r="E210" s="632">
        <f t="shared" si="23"/>
        <v>-221.84376999999949</v>
      </c>
    </row>
    <row r="211" spans="1:5" s="421" customFormat="1" x14ac:dyDescent="0.2">
      <c r="A211" s="588"/>
      <c r="B211" s="592" t="s">
        <v>726</v>
      </c>
      <c r="C211" s="631">
        <f>C210+C203</f>
        <v>12668.20768</v>
      </c>
      <c r="D211" s="631">
        <f>D210+D203</f>
        <v>12317.04348</v>
      </c>
      <c r="E211" s="632">
        <f t="shared" si="23"/>
        <v>-351.16419999999925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826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658</v>
      </c>
      <c r="C215" s="633">
        <f>IF(C14*C137=0,0,C25/C14*C137)</f>
        <v>6509.2060277635937</v>
      </c>
      <c r="D215" s="633">
        <f>IF(D14*D137=0,0,D25/D14*D137)</f>
        <v>6303.8399421338054</v>
      </c>
      <c r="E215" s="633">
        <f t="shared" ref="E215:E223" si="24">D215-C215</f>
        <v>-205.36608562978836</v>
      </c>
    </row>
    <row r="216" spans="1:5" s="421" customFormat="1" x14ac:dyDescent="0.2">
      <c r="A216" s="588">
        <v>2</v>
      </c>
      <c r="B216" s="587" t="s">
        <v>637</v>
      </c>
      <c r="C216" s="633">
        <f>IF(C15*C138=0,0,C26/C15*C138)</f>
        <v>3652.2104889553461</v>
      </c>
      <c r="D216" s="633">
        <f>IF(D15*D138=0,0,D26/D15*D138)</f>
        <v>3699.9807726717545</v>
      </c>
      <c r="E216" s="633">
        <f t="shared" si="24"/>
        <v>47.770283716408358</v>
      </c>
    </row>
    <row r="217" spans="1:5" s="421" customFormat="1" x14ac:dyDescent="0.2">
      <c r="A217" s="588">
        <v>3</v>
      </c>
      <c r="B217" s="587" t="s">
        <v>779</v>
      </c>
      <c r="C217" s="633">
        <f>C218+C219</f>
        <v>3789.3124288034142</v>
      </c>
      <c r="D217" s="633">
        <f>D218+D219</f>
        <v>4256.5552422787941</v>
      </c>
      <c r="E217" s="633">
        <f t="shared" si="24"/>
        <v>467.24281347537999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3789.3124288034142</v>
      </c>
      <c r="D218" s="633">
        <f t="shared" si="25"/>
        <v>4256.5552422787941</v>
      </c>
      <c r="E218" s="633">
        <f t="shared" si="24"/>
        <v>467.24281347537999</v>
      </c>
    </row>
    <row r="219" spans="1:5" s="421" customFormat="1" x14ac:dyDescent="0.2">
      <c r="A219" s="588">
        <v>5</v>
      </c>
      <c r="B219" s="587" t="s">
        <v>745</v>
      </c>
      <c r="C219" s="633">
        <f t="shared" si="25"/>
        <v>0</v>
      </c>
      <c r="D219" s="633">
        <f t="shared" si="25"/>
        <v>0</v>
      </c>
      <c r="E219" s="633">
        <f t="shared" si="24"/>
        <v>0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73.630796990830476</v>
      </c>
      <c r="D220" s="633">
        <f t="shared" si="25"/>
        <v>86.048060676604209</v>
      </c>
      <c r="E220" s="633">
        <f t="shared" si="24"/>
        <v>12.417263685773733</v>
      </c>
    </row>
    <row r="221" spans="1:5" s="421" customFormat="1" x14ac:dyDescent="0.2">
      <c r="A221" s="588">
        <v>7</v>
      </c>
      <c r="B221" s="587" t="s">
        <v>760</v>
      </c>
      <c r="C221" s="633">
        <f t="shared" si="25"/>
        <v>437.5259160052583</v>
      </c>
      <c r="D221" s="633">
        <f t="shared" si="25"/>
        <v>336.91306087799671</v>
      </c>
      <c r="E221" s="633">
        <f t="shared" si="24"/>
        <v>-100.61285512726158</v>
      </c>
    </row>
    <row r="222" spans="1:5" s="421" customFormat="1" x14ac:dyDescent="0.2">
      <c r="A222" s="588"/>
      <c r="B222" s="592" t="s">
        <v>827</v>
      </c>
      <c r="C222" s="634">
        <f>C216+C218+C219+C220</f>
        <v>7515.153714749591</v>
      </c>
      <c r="D222" s="634">
        <f>D216+D218+D219+D220</f>
        <v>8042.5840756271527</v>
      </c>
      <c r="E222" s="634">
        <f t="shared" si="24"/>
        <v>527.43036087756172</v>
      </c>
    </row>
    <row r="223" spans="1:5" s="421" customFormat="1" x14ac:dyDescent="0.2">
      <c r="A223" s="588"/>
      <c r="B223" s="592" t="s">
        <v>828</v>
      </c>
      <c r="C223" s="634">
        <f>C215+C222</f>
        <v>14024.359742513185</v>
      </c>
      <c r="D223" s="634">
        <f>D215+D222</f>
        <v>14346.424017760957</v>
      </c>
      <c r="E223" s="634">
        <f t="shared" si="24"/>
        <v>322.06427524777246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829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658</v>
      </c>
      <c r="C227" s="636">
        <f t="shared" ref="C227:D235" si="26">IF(C203=0,0,C47/C203)</f>
        <v>11260.905258049179</v>
      </c>
      <c r="D227" s="636">
        <f t="shared" si="26"/>
        <v>11227.022355641891</v>
      </c>
      <c r="E227" s="636">
        <f t="shared" ref="E227:E235" si="27">D227-C227</f>
        <v>-33.882902407287474</v>
      </c>
    </row>
    <row r="228" spans="1:5" s="421" customFormat="1" x14ac:dyDescent="0.2">
      <c r="A228" s="588">
        <v>2</v>
      </c>
      <c r="B228" s="587" t="s">
        <v>637</v>
      </c>
      <c r="C228" s="636">
        <f t="shared" si="26"/>
        <v>6815.2604758082962</v>
      </c>
      <c r="D228" s="636">
        <f t="shared" si="26"/>
        <v>7251.8768365721926</v>
      </c>
      <c r="E228" s="636">
        <f t="shared" si="27"/>
        <v>436.61636076389641</v>
      </c>
    </row>
    <row r="229" spans="1:5" s="421" customFormat="1" x14ac:dyDescent="0.2">
      <c r="A229" s="588">
        <v>3</v>
      </c>
      <c r="B229" s="587" t="s">
        <v>779</v>
      </c>
      <c r="C229" s="636">
        <f t="shared" si="26"/>
        <v>6082.5693642509605</v>
      </c>
      <c r="D229" s="636">
        <f t="shared" si="26"/>
        <v>5586.2250333969105</v>
      </c>
      <c r="E229" s="636">
        <f t="shared" si="27"/>
        <v>-496.34433085404999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6082.5693642509605</v>
      </c>
      <c r="D230" s="636">
        <f t="shared" si="26"/>
        <v>5586.2250333969105</v>
      </c>
      <c r="E230" s="636">
        <f t="shared" si="27"/>
        <v>-496.34433085404999</v>
      </c>
    </row>
    <row r="231" spans="1:5" s="421" customFormat="1" x14ac:dyDescent="0.2">
      <c r="A231" s="588">
        <v>5</v>
      </c>
      <c r="B231" s="587" t="s">
        <v>745</v>
      </c>
      <c r="C231" s="636">
        <f t="shared" si="26"/>
        <v>0</v>
      </c>
      <c r="D231" s="636">
        <f t="shared" si="26"/>
        <v>0</v>
      </c>
      <c r="E231" s="636">
        <f t="shared" si="27"/>
        <v>0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3467.6644240010987</v>
      </c>
      <c r="D232" s="636">
        <f t="shared" si="26"/>
        <v>3211.0270724533284</v>
      </c>
      <c r="E232" s="636">
        <f t="shared" si="27"/>
        <v>-256.63735154777032</v>
      </c>
    </row>
    <row r="233" spans="1:5" s="421" customFormat="1" x14ac:dyDescent="0.2">
      <c r="A233" s="588">
        <v>7</v>
      </c>
      <c r="B233" s="587" t="s">
        <v>760</v>
      </c>
      <c r="C233" s="636">
        <f t="shared" si="26"/>
        <v>4129.144676830073</v>
      </c>
      <c r="D233" s="636">
        <f t="shared" si="26"/>
        <v>23965.319253843823</v>
      </c>
      <c r="E233" s="636">
        <f t="shared" si="27"/>
        <v>19836.17457701375</v>
      </c>
    </row>
    <row r="234" spans="1:5" x14ac:dyDescent="0.2">
      <c r="A234" s="588"/>
      <c r="B234" s="592" t="s">
        <v>830</v>
      </c>
      <c r="C234" s="637">
        <f t="shared" si="26"/>
        <v>6649.6403062987401</v>
      </c>
      <c r="D234" s="637">
        <f t="shared" si="26"/>
        <v>6859.7909889820685</v>
      </c>
      <c r="E234" s="637">
        <f t="shared" si="27"/>
        <v>210.15068268332834</v>
      </c>
    </row>
    <row r="235" spans="1:5" s="421" customFormat="1" x14ac:dyDescent="0.2">
      <c r="A235" s="588"/>
      <c r="B235" s="592" t="s">
        <v>831</v>
      </c>
      <c r="C235" s="637">
        <f t="shared" si="26"/>
        <v>7781.3222272655385</v>
      </c>
      <c r="D235" s="637">
        <f t="shared" si="26"/>
        <v>7916.2873102076601</v>
      </c>
      <c r="E235" s="637">
        <f t="shared" si="27"/>
        <v>134.96508294212163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832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658</v>
      </c>
      <c r="C239" s="636">
        <f t="shared" ref="C239:D247" si="28">IF(C215=0,0,C58/C215)</f>
        <v>12798.379194739113</v>
      </c>
      <c r="D239" s="636">
        <f t="shared" si="28"/>
        <v>13142.950766601396</v>
      </c>
      <c r="E239" s="638">
        <f t="shared" ref="E239:E247" si="29">D239-C239</f>
        <v>344.57157186228324</v>
      </c>
    </row>
    <row r="240" spans="1:5" s="421" customFormat="1" x14ac:dyDescent="0.2">
      <c r="A240" s="588">
        <v>2</v>
      </c>
      <c r="B240" s="587" t="s">
        <v>637</v>
      </c>
      <c r="C240" s="636">
        <f t="shared" si="28"/>
        <v>7390.9710520876924</v>
      </c>
      <c r="D240" s="636">
        <f t="shared" si="28"/>
        <v>8019.7311345953958</v>
      </c>
      <c r="E240" s="638">
        <f t="shared" si="29"/>
        <v>628.76008250770337</v>
      </c>
    </row>
    <row r="241" spans="1:5" x14ac:dyDescent="0.2">
      <c r="A241" s="588">
        <v>3</v>
      </c>
      <c r="B241" s="587" t="s">
        <v>779</v>
      </c>
      <c r="C241" s="636">
        <f t="shared" si="28"/>
        <v>4158.3747173298807</v>
      </c>
      <c r="D241" s="636">
        <f t="shared" si="28"/>
        <v>4099.4797451890063</v>
      </c>
      <c r="E241" s="638">
        <f t="shared" si="29"/>
        <v>-58.894972140874415</v>
      </c>
    </row>
    <row r="242" spans="1:5" x14ac:dyDescent="0.2">
      <c r="A242" s="588">
        <v>4</v>
      </c>
      <c r="B242" s="587" t="s">
        <v>115</v>
      </c>
      <c r="C242" s="636">
        <f t="shared" si="28"/>
        <v>4158.3747173298807</v>
      </c>
      <c r="D242" s="636">
        <f t="shared" si="28"/>
        <v>4099.4797451890063</v>
      </c>
      <c r="E242" s="638">
        <f t="shared" si="29"/>
        <v>-58.894972140874415</v>
      </c>
    </row>
    <row r="243" spans="1:5" x14ac:dyDescent="0.2">
      <c r="A243" s="588">
        <v>5</v>
      </c>
      <c r="B243" s="587" t="s">
        <v>745</v>
      </c>
      <c r="C243" s="636">
        <f t="shared" si="28"/>
        <v>0</v>
      </c>
      <c r="D243" s="636">
        <f t="shared" si="28"/>
        <v>0</v>
      </c>
      <c r="E243" s="638">
        <f t="shared" si="29"/>
        <v>0</v>
      </c>
    </row>
    <row r="244" spans="1:5" x14ac:dyDescent="0.2">
      <c r="A244" s="588">
        <v>6</v>
      </c>
      <c r="B244" s="587" t="s">
        <v>424</v>
      </c>
      <c r="C244" s="636">
        <f t="shared" si="28"/>
        <v>2525.505734009068</v>
      </c>
      <c r="D244" s="636">
        <f t="shared" si="28"/>
        <v>1783.0849271158145</v>
      </c>
      <c r="E244" s="638">
        <f t="shared" si="29"/>
        <v>-742.42080689325348</v>
      </c>
    </row>
    <row r="245" spans="1:5" x14ac:dyDescent="0.2">
      <c r="A245" s="588">
        <v>7</v>
      </c>
      <c r="B245" s="587" t="s">
        <v>760</v>
      </c>
      <c r="C245" s="636">
        <f t="shared" si="28"/>
        <v>4937.5863713957388</v>
      </c>
      <c r="D245" s="636">
        <f t="shared" si="28"/>
        <v>2973.5979881254552</v>
      </c>
      <c r="E245" s="638">
        <f t="shared" si="29"/>
        <v>-1963.9883832702835</v>
      </c>
    </row>
    <row r="246" spans="1:5" ht="25.5" x14ac:dyDescent="0.2">
      <c r="A246" s="588"/>
      <c r="B246" s="592" t="s">
        <v>833</v>
      </c>
      <c r="C246" s="637">
        <f t="shared" si="28"/>
        <v>5713.3519326065671</v>
      </c>
      <c r="D246" s="637">
        <f t="shared" si="28"/>
        <v>5878.203268433158</v>
      </c>
      <c r="E246" s="639">
        <f t="shared" si="29"/>
        <v>164.85133582659091</v>
      </c>
    </row>
    <row r="247" spans="1:5" x14ac:dyDescent="0.2">
      <c r="A247" s="588"/>
      <c r="B247" s="592" t="s">
        <v>834</v>
      </c>
      <c r="C247" s="637">
        <f t="shared" si="28"/>
        <v>9001.766021254165</v>
      </c>
      <c r="D247" s="637">
        <f t="shared" si="28"/>
        <v>9070.3440689402469</v>
      </c>
      <c r="E247" s="639">
        <f t="shared" si="29"/>
        <v>68.578047686081845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762</v>
      </c>
      <c r="B249" s="626" t="s">
        <v>759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12249317.468602138</v>
      </c>
      <c r="D251" s="622">
        <f>((IF((IF(D15=0,0,D26/D15)*D138)=0,0,D59/(IF(D15=0,0,D26/D15)*D138)))-(IF((IF(D17=0,0,D28/D17)*D140)=0,0,D61/(IF(D17=0,0,D28/D17)*D140))))*(IF(D17=0,0,D28/D17)*D140)</f>
        <v>16686766.602628494</v>
      </c>
      <c r="E251" s="622">
        <f>D251-C251</f>
        <v>4437449.134026356</v>
      </c>
    </row>
    <row r="252" spans="1:5" x14ac:dyDescent="0.2">
      <c r="A252" s="588">
        <v>2</v>
      </c>
      <c r="B252" s="587" t="s">
        <v>745</v>
      </c>
      <c r="C252" s="622">
        <f>IF(C231=0,0,(C228-C231)*C207)+IF(C243=0,0,(C240-C243)*C219)</f>
        <v>0</v>
      </c>
      <c r="D252" s="622">
        <f>IF(D231=0,0,(D228-D231)*D207)+IF(D243=0,0,(D240-D243)*D219)</f>
        <v>0</v>
      </c>
      <c r="E252" s="622">
        <f>D252-C252</f>
        <v>0</v>
      </c>
    </row>
    <row r="253" spans="1:5" x14ac:dyDescent="0.2">
      <c r="A253" s="588">
        <v>3</v>
      </c>
      <c r="B253" s="587" t="s">
        <v>760</v>
      </c>
      <c r="C253" s="622">
        <f>IF(C233=0,0,(C228-C233)*C209+IF(C221=0,0,(C240-C245)*C221))</f>
        <v>1686920.6533730882</v>
      </c>
      <c r="D253" s="622">
        <f>IF(D233=0,0,(D228-D233)*D209+IF(D221=0,0,(D240-D245)*D221))</f>
        <v>977763.71216934721</v>
      </c>
      <c r="E253" s="622">
        <f>D253-C253</f>
        <v>-709156.94120374101</v>
      </c>
    </row>
    <row r="254" spans="1:5" ht="15" customHeight="1" x14ac:dyDescent="0.2">
      <c r="A254" s="588"/>
      <c r="B254" s="592" t="s">
        <v>761</v>
      </c>
      <c r="C254" s="640">
        <f>+C251+C252+C253</f>
        <v>13936238.121975226</v>
      </c>
      <c r="D254" s="640">
        <f>+D251+D252+D253</f>
        <v>17664530.314797841</v>
      </c>
      <c r="E254" s="640">
        <f>D254-C254</f>
        <v>3728292.1928226147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835</v>
      </c>
      <c r="B256" s="626" t="s">
        <v>836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727</v>
      </c>
      <c r="C258" s="622">
        <f>+C44</f>
        <v>505047658</v>
      </c>
      <c r="D258" s="625">
        <f>+D44</f>
        <v>543429524</v>
      </c>
      <c r="E258" s="622">
        <f t="shared" ref="E258:E271" si="30">D258-C258</f>
        <v>38381866</v>
      </c>
    </row>
    <row r="259" spans="1:5" x14ac:dyDescent="0.2">
      <c r="A259" s="588">
        <v>2</v>
      </c>
      <c r="B259" s="587" t="s">
        <v>744</v>
      </c>
      <c r="C259" s="622">
        <f>+(C43-C76)</f>
        <v>222772711</v>
      </c>
      <c r="D259" s="625">
        <f>+(D43-D76)</f>
        <v>251310370</v>
      </c>
      <c r="E259" s="622">
        <f t="shared" si="30"/>
        <v>28537659</v>
      </c>
    </row>
    <row r="260" spans="1:5" x14ac:dyDescent="0.2">
      <c r="A260" s="588">
        <v>3</v>
      </c>
      <c r="B260" s="587" t="s">
        <v>748</v>
      </c>
      <c r="C260" s="622">
        <f>C195</f>
        <v>9396534</v>
      </c>
      <c r="D260" s="622">
        <f>D195</f>
        <v>14510293</v>
      </c>
      <c r="E260" s="622">
        <f t="shared" si="30"/>
        <v>5113759</v>
      </c>
    </row>
    <row r="261" spans="1:5" x14ac:dyDescent="0.2">
      <c r="A261" s="588">
        <v>4</v>
      </c>
      <c r="B261" s="587" t="s">
        <v>749</v>
      </c>
      <c r="C261" s="622">
        <f>C188</f>
        <v>47985709</v>
      </c>
      <c r="D261" s="622">
        <f>D188</f>
        <v>49976604</v>
      </c>
      <c r="E261" s="622">
        <f t="shared" si="30"/>
        <v>1990895</v>
      </c>
    </row>
    <row r="262" spans="1:5" x14ac:dyDescent="0.2">
      <c r="A262" s="588">
        <v>5</v>
      </c>
      <c r="B262" s="587" t="s">
        <v>750</v>
      </c>
      <c r="C262" s="622">
        <f>C191</f>
        <v>1914881</v>
      </c>
      <c r="D262" s="622">
        <f>D191</f>
        <v>1594619</v>
      </c>
      <c r="E262" s="622">
        <f t="shared" si="30"/>
        <v>-320262</v>
      </c>
    </row>
    <row r="263" spans="1:5" x14ac:dyDescent="0.2">
      <c r="A263" s="588">
        <v>6</v>
      </c>
      <c r="B263" s="587" t="s">
        <v>751</v>
      </c>
      <c r="C263" s="622">
        <f>+C259+C260+C261+C262</f>
        <v>282069835</v>
      </c>
      <c r="D263" s="622">
        <f>+D259+D260+D261+D262</f>
        <v>317391886</v>
      </c>
      <c r="E263" s="622">
        <f t="shared" si="30"/>
        <v>35322051</v>
      </c>
    </row>
    <row r="264" spans="1:5" x14ac:dyDescent="0.2">
      <c r="A264" s="588">
        <v>7</v>
      </c>
      <c r="B264" s="587" t="s">
        <v>656</v>
      </c>
      <c r="C264" s="622">
        <f>+C258-C263</f>
        <v>222977823</v>
      </c>
      <c r="D264" s="622">
        <f>+D258-D263</f>
        <v>226037638</v>
      </c>
      <c r="E264" s="622">
        <f t="shared" si="30"/>
        <v>3059815</v>
      </c>
    </row>
    <row r="265" spans="1:5" x14ac:dyDescent="0.2">
      <c r="A265" s="588">
        <v>8</v>
      </c>
      <c r="B265" s="587" t="s">
        <v>837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838</v>
      </c>
      <c r="C266" s="622">
        <f>+C264+C265</f>
        <v>222977823</v>
      </c>
      <c r="D266" s="622">
        <f>+D264+D265</f>
        <v>226037638</v>
      </c>
      <c r="E266" s="641">
        <f t="shared" si="30"/>
        <v>3059815</v>
      </c>
    </row>
    <row r="267" spans="1:5" x14ac:dyDescent="0.2">
      <c r="A267" s="588">
        <v>10</v>
      </c>
      <c r="B267" s="587" t="s">
        <v>839</v>
      </c>
      <c r="C267" s="642">
        <f>IF(C258=0,0,C266/C258)</f>
        <v>0.44149857833812589</v>
      </c>
      <c r="D267" s="642">
        <f>IF(D258=0,0,D266/D258)</f>
        <v>0.41594655427664984</v>
      </c>
      <c r="E267" s="643">
        <f t="shared" si="30"/>
        <v>-2.5552024061476053E-2</v>
      </c>
    </row>
    <row r="268" spans="1:5" x14ac:dyDescent="0.2">
      <c r="A268" s="588">
        <v>11</v>
      </c>
      <c r="B268" s="587" t="s">
        <v>718</v>
      </c>
      <c r="C268" s="622">
        <f>+C260*C267</f>
        <v>4148556.4023058633</v>
      </c>
      <c r="D268" s="644">
        <f>+D260*D267</f>
        <v>6035506.374894592</v>
      </c>
      <c r="E268" s="622">
        <f t="shared" si="30"/>
        <v>1886949.9725887286</v>
      </c>
    </row>
    <row r="269" spans="1:5" x14ac:dyDescent="0.2">
      <c r="A269" s="588">
        <v>12</v>
      </c>
      <c r="B269" s="587" t="s">
        <v>840</v>
      </c>
      <c r="C269" s="622">
        <f>((C17+C18+C28+C29)*C267)-(C50+C51+C61+C62)</f>
        <v>16184492.642469816</v>
      </c>
      <c r="D269" s="644">
        <f>((D17+D18+D28+D29)*D267)-(D50+D51+D61+D62)</f>
        <v>19731447.732091494</v>
      </c>
      <c r="E269" s="622">
        <f t="shared" si="30"/>
        <v>3546955.089621678</v>
      </c>
    </row>
    <row r="270" spans="1:5" s="648" customFormat="1" x14ac:dyDescent="0.2">
      <c r="A270" s="645">
        <v>13</v>
      </c>
      <c r="B270" s="646" t="s">
        <v>841</v>
      </c>
      <c r="C270" s="647">
        <v>0</v>
      </c>
      <c r="D270" s="647">
        <v>0</v>
      </c>
      <c r="E270" s="622">
        <f t="shared" si="30"/>
        <v>0</v>
      </c>
    </row>
    <row r="271" spans="1:5" ht="25.5" x14ac:dyDescent="0.2">
      <c r="A271" s="588">
        <v>14</v>
      </c>
      <c r="B271" s="587" t="s">
        <v>842</v>
      </c>
      <c r="C271" s="622">
        <f>+C268+C269+C270</f>
        <v>20333049.04477568</v>
      </c>
      <c r="D271" s="622">
        <f>+D268+D269+D270</f>
        <v>25766954.106986087</v>
      </c>
      <c r="E271" s="625">
        <f t="shared" si="30"/>
        <v>5433905.0622104071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843</v>
      </c>
      <c r="B273" s="626" t="s">
        <v>844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845</v>
      </c>
      <c r="C275" s="425"/>
      <c r="D275" s="425"/>
      <c r="E275" s="596"/>
    </row>
    <row r="276" spans="1:5" x14ac:dyDescent="0.2">
      <c r="A276" s="588">
        <v>1</v>
      </c>
      <c r="B276" s="587" t="s">
        <v>658</v>
      </c>
      <c r="C276" s="623">
        <f t="shared" ref="C276:D284" si="31">IF(C14=0,0,+C47/C14)</f>
        <v>0.6615491575332807</v>
      </c>
      <c r="D276" s="623">
        <f t="shared" si="31"/>
        <v>0.63246161717479066</v>
      </c>
      <c r="E276" s="650">
        <f t="shared" ref="E276:E284" si="32">D276-C276</f>
        <v>-2.9087540358490038E-2</v>
      </c>
    </row>
    <row r="277" spans="1:5" x14ac:dyDescent="0.2">
      <c r="A277" s="588">
        <v>2</v>
      </c>
      <c r="B277" s="587" t="s">
        <v>637</v>
      </c>
      <c r="C277" s="623">
        <f t="shared" si="31"/>
        <v>0.39055859800879128</v>
      </c>
      <c r="D277" s="623">
        <f t="shared" si="31"/>
        <v>0.38930371929765117</v>
      </c>
      <c r="E277" s="650">
        <f t="shared" si="32"/>
        <v>-1.2548787111401061E-3</v>
      </c>
    </row>
    <row r="278" spans="1:5" x14ac:dyDescent="0.2">
      <c r="A278" s="588">
        <v>3</v>
      </c>
      <c r="B278" s="587" t="s">
        <v>779</v>
      </c>
      <c r="C278" s="623">
        <f t="shared" si="31"/>
        <v>0.35021458548220635</v>
      </c>
      <c r="D278" s="623">
        <f t="shared" si="31"/>
        <v>0.30300486061418813</v>
      </c>
      <c r="E278" s="650">
        <f t="shared" si="32"/>
        <v>-4.7209724868018221E-2</v>
      </c>
    </row>
    <row r="279" spans="1:5" x14ac:dyDescent="0.2">
      <c r="A279" s="588">
        <v>4</v>
      </c>
      <c r="B279" s="587" t="s">
        <v>115</v>
      </c>
      <c r="C279" s="623">
        <f t="shared" si="31"/>
        <v>0.35021458548220635</v>
      </c>
      <c r="D279" s="623">
        <f t="shared" si="31"/>
        <v>0.30300486061418813</v>
      </c>
      <c r="E279" s="650">
        <f t="shared" si="32"/>
        <v>-4.7209724868018221E-2</v>
      </c>
    </row>
    <row r="280" spans="1:5" x14ac:dyDescent="0.2">
      <c r="A280" s="588">
        <v>5</v>
      </c>
      <c r="B280" s="587" t="s">
        <v>745</v>
      </c>
      <c r="C280" s="623">
        <f t="shared" si="31"/>
        <v>0</v>
      </c>
      <c r="D280" s="623">
        <f t="shared" si="31"/>
        <v>0</v>
      </c>
      <c r="E280" s="650">
        <f t="shared" si="32"/>
        <v>0</v>
      </c>
    </row>
    <row r="281" spans="1:5" x14ac:dyDescent="0.2">
      <c r="A281" s="588">
        <v>6</v>
      </c>
      <c r="B281" s="587" t="s">
        <v>424</v>
      </c>
      <c r="C281" s="623">
        <f t="shared" si="31"/>
        <v>0.20792496972649216</v>
      </c>
      <c r="D281" s="623">
        <f t="shared" si="31"/>
        <v>0.20085044869147298</v>
      </c>
      <c r="E281" s="650">
        <f t="shared" si="32"/>
        <v>-7.0745210350191823E-3</v>
      </c>
    </row>
    <row r="282" spans="1:5" x14ac:dyDescent="0.2">
      <c r="A282" s="588">
        <v>7</v>
      </c>
      <c r="B282" s="587" t="s">
        <v>760</v>
      </c>
      <c r="C282" s="623">
        <f t="shared" si="31"/>
        <v>0.21185247052079112</v>
      </c>
      <c r="D282" s="623">
        <f t="shared" si="31"/>
        <v>0.4020439002255603</v>
      </c>
      <c r="E282" s="650">
        <f t="shared" si="32"/>
        <v>0.19019142970476918</v>
      </c>
    </row>
    <row r="283" spans="1:5" ht="29.25" customHeight="1" x14ac:dyDescent="0.2">
      <c r="A283" s="588"/>
      <c r="B283" s="592" t="s">
        <v>846</v>
      </c>
      <c r="C283" s="651">
        <f t="shared" si="31"/>
        <v>0.38148819590595007</v>
      </c>
      <c r="D283" s="651">
        <f t="shared" si="31"/>
        <v>0.36918050973418931</v>
      </c>
      <c r="E283" s="652">
        <f t="shared" si="32"/>
        <v>-1.2307686171760757E-2</v>
      </c>
    </row>
    <row r="284" spans="1:5" x14ac:dyDescent="0.2">
      <c r="A284" s="588"/>
      <c r="B284" s="592" t="s">
        <v>847</v>
      </c>
      <c r="C284" s="651">
        <f t="shared" si="31"/>
        <v>0.44899657660821601</v>
      </c>
      <c r="D284" s="651">
        <f t="shared" si="31"/>
        <v>0.43069214969372038</v>
      </c>
      <c r="E284" s="652">
        <f t="shared" si="32"/>
        <v>-1.8304426914495631E-2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848</v>
      </c>
      <c r="C286" s="596"/>
      <c r="D286" s="596"/>
      <c r="E286" s="596"/>
    </row>
    <row r="287" spans="1:5" x14ac:dyDescent="0.2">
      <c r="A287" s="588">
        <v>1</v>
      </c>
      <c r="B287" s="587" t="s">
        <v>658</v>
      </c>
      <c r="C287" s="623">
        <f t="shared" ref="C287:D295" si="33">IF(C25=0,0,+C58/C25)</f>
        <v>0.67811339437795326</v>
      </c>
      <c r="D287" s="623">
        <f t="shared" si="33"/>
        <v>0.64779148614417115</v>
      </c>
      <c r="E287" s="650">
        <f t="shared" ref="E287:E295" si="34">D287-C287</f>
        <v>-3.0321908233782113E-2</v>
      </c>
    </row>
    <row r="288" spans="1:5" x14ac:dyDescent="0.2">
      <c r="A288" s="588">
        <v>2</v>
      </c>
      <c r="B288" s="587" t="s">
        <v>637</v>
      </c>
      <c r="C288" s="623">
        <f t="shared" si="33"/>
        <v>0.27862784463618279</v>
      </c>
      <c r="D288" s="623">
        <f t="shared" si="33"/>
        <v>0.26997721800459112</v>
      </c>
      <c r="E288" s="650">
        <f t="shared" si="34"/>
        <v>-8.6506266315916625E-3</v>
      </c>
    </row>
    <row r="289" spans="1:5" x14ac:dyDescent="0.2">
      <c r="A289" s="588">
        <v>3</v>
      </c>
      <c r="B289" s="587" t="s">
        <v>779</v>
      </c>
      <c r="C289" s="623">
        <f t="shared" si="33"/>
        <v>0.24288438182980202</v>
      </c>
      <c r="D289" s="623">
        <f t="shared" si="33"/>
        <v>0.22238167743390788</v>
      </c>
      <c r="E289" s="650">
        <f t="shared" si="34"/>
        <v>-2.0502704395894134E-2</v>
      </c>
    </row>
    <row r="290" spans="1:5" x14ac:dyDescent="0.2">
      <c r="A290" s="588">
        <v>4</v>
      </c>
      <c r="B290" s="587" t="s">
        <v>115</v>
      </c>
      <c r="C290" s="623">
        <f t="shared" si="33"/>
        <v>0.24288438182980202</v>
      </c>
      <c r="D290" s="623">
        <f t="shared" si="33"/>
        <v>0.22238167743390788</v>
      </c>
      <c r="E290" s="650">
        <f t="shared" si="34"/>
        <v>-2.0502704395894134E-2</v>
      </c>
    </row>
    <row r="291" spans="1:5" x14ac:dyDescent="0.2">
      <c r="A291" s="588">
        <v>5</v>
      </c>
      <c r="B291" s="587" t="s">
        <v>745</v>
      </c>
      <c r="C291" s="623">
        <f t="shared" si="33"/>
        <v>0</v>
      </c>
      <c r="D291" s="623">
        <f t="shared" si="33"/>
        <v>0</v>
      </c>
      <c r="E291" s="650">
        <f t="shared" si="34"/>
        <v>0</v>
      </c>
    </row>
    <row r="292" spans="1:5" x14ac:dyDescent="0.2">
      <c r="A292" s="588">
        <v>6</v>
      </c>
      <c r="B292" s="587" t="s">
        <v>424</v>
      </c>
      <c r="C292" s="623">
        <f t="shared" si="33"/>
        <v>0.20792544180871822</v>
      </c>
      <c r="D292" s="623">
        <f t="shared" si="33"/>
        <v>0.20085062821865518</v>
      </c>
      <c r="E292" s="650">
        <f t="shared" si="34"/>
        <v>-7.0748135900630393E-3</v>
      </c>
    </row>
    <row r="293" spans="1:5" x14ac:dyDescent="0.2">
      <c r="A293" s="588">
        <v>7</v>
      </c>
      <c r="B293" s="587" t="s">
        <v>760</v>
      </c>
      <c r="C293" s="623">
        <f t="shared" si="33"/>
        <v>0.26841869908648119</v>
      </c>
      <c r="D293" s="623">
        <f t="shared" si="33"/>
        <v>0.14658779152028772</v>
      </c>
      <c r="E293" s="650">
        <f t="shared" si="34"/>
        <v>-0.12183090756619347</v>
      </c>
    </row>
    <row r="294" spans="1:5" ht="29.25" customHeight="1" x14ac:dyDescent="0.2">
      <c r="A294" s="588"/>
      <c r="B294" s="592" t="s">
        <v>849</v>
      </c>
      <c r="C294" s="651">
        <f t="shared" si="33"/>
        <v>0.2639821316547426</v>
      </c>
      <c r="D294" s="651">
        <f t="shared" si="33"/>
        <v>0.24995238046219176</v>
      </c>
      <c r="E294" s="652">
        <f t="shared" si="34"/>
        <v>-1.4029751192550843E-2</v>
      </c>
    </row>
    <row r="295" spans="1:5" x14ac:dyDescent="0.2">
      <c r="A295" s="588"/>
      <c r="B295" s="592" t="s">
        <v>850</v>
      </c>
      <c r="C295" s="651">
        <f t="shared" si="33"/>
        <v>0.44218310121850435</v>
      </c>
      <c r="D295" s="651">
        <f t="shared" si="33"/>
        <v>0.41044668248092486</v>
      </c>
      <c r="E295" s="652">
        <f t="shared" si="34"/>
        <v>-3.1736418737579486E-2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851</v>
      </c>
      <c r="B297" s="579" t="s">
        <v>852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853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656</v>
      </c>
      <c r="C301" s="590">
        <f>+C48+C47+C50+C51+C52+C59+C58+C61+C62+C63</f>
        <v>224819411</v>
      </c>
      <c r="D301" s="590">
        <f>+D48+D47+D50+D51+D52+D59+D58+D61+D62+D63</f>
        <v>227632257</v>
      </c>
      <c r="E301" s="590">
        <f>D301-C301</f>
        <v>2812846</v>
      </c>
    </row>
    <row r="302" spans="1:5" ht="25.5" x14ac:dyDescent="0.2">
      <c r="A302" s="588">
        <v>2</v>
      </c>
      <c r="B302" s="587" t="s">
        <v>854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855</v>
      </c>
      <c r="C303" s="593">
        <f>+C301+C302</f>
        <v>224819411</v>
      </c>
      <c r="D303" s="593">
        <f>+D301+D302</f>
        <v>227632257</v>
      </c>
      <c r="E303" s="593">
        <f>D303-C303</f>
        <v>2812846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856</v>
      </c>
      <c r="C305" s="589">
        <v>-5231619</v>
      </c>
      <c r="D305" s="654">
        <v>-8500070</v>
      </c>
      <c r="E305" s="655">
        <f>D305-C305</f>
        <v>-3268451</v>
      </c>
    </row>
    <row r="306" spans="1:5" x14ac:dyDescent="0.2">
      <c r="A306" s="588">
        <v>4</v>
      </c>
      <c r="B306" s="592" t="s">
        <v>857</v>
      </c>
      <c r="C306" s="593">
        <f>+C303+C305+C194+C190-C191</f>
        <v>223863311</v>
      </c>
      <c r="D306" s="593">
        <f>+D303+D305</f>
        <v>219132187</v>
      </c>
      <c r="E306" s="656">
        <f>D306-C306</f>
        <v>-4731124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858</v>
      </c>
      <c r="C308" s="589">
        <v>217746204</v>
      </c>
      <c r="D308" s="589">
        <v>219132186</v>
      </c>
      <c r="E308" s="590">
        <f>D308-C308</f>
        <v>1385982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859</v>
      </c>
      <c r="C310" s="657">
        <f>C306-C308</f>
        <v>6117107</v>
      </c>
      <c r="D310" s="658">
        <f>D306-D308</f>
        <v>1</v>
      </c>
      <c r="E310" s="656">
        <f>D310-C310</f>
        <v>-6117106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860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861</v>
      </c>
      <c r="C314" s="590">
        <f>+C14+C15+C16+C19+C25+C26+C27+C30</f>
        <v>505047658</v>
      </c>
      <c r="D314" s="590">
        <f>+D14+D15+D16+D19+D25+D26+D27+D30</f>
        <v>543429524</v>
      </c>
      <c r="E314" s="590">
        <f>D314-C314</f>
        <v>38381866</v>
      </c>
    </row>
    <row r="315" spans="1:5" x14ac:dyDescent="0.2">
      <c r="A315" s="588">
        <v>2</v>
      </c>
      <c r="B315" s="659" t="s">
        <v>862</v>
      </c>
      <c r="C315" s="589">
        <v>0</v>
      </c>
      <c r="D315" s="589">
        <v>0</v>
      </c>
      <c r="E315" s="590">
        <f>D315-C315</f>
        <v>0</v>
      </c>
    </row>
    <row r="316" spans="1:5" x14ac:dyDescent="0.2">
      <c r="A316" s="588"/>
      <c r="B316" s="592" t="s">
        <v>863</v>
      </c>
      <c r="C316" s="657">
        <f>C314+C315</f>
        <v>505047658</v>
      </c>
      <c r="D316" s="657">
        <f>D314+D315</f>
        <v>543429524</v>
      </c>
      <c r="E316" s="593">
        <f>D316-C316</f>
        <v>38381866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864</v>
      </c>
      <c r="C318" s="589">
        <v>505047658</v>
      </c>
      <c r="D318" s="589">
        <v>543429524</v>
      </c>
      <c r="E318" s="590">
        <f>D318-C318</f>
        <v>38381866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859</v>
      </c>
      <c r="C320" s="657">
        <f>C316-C318</f>
        <v>0</v>
      </c>
      <c r="D320" s="657">
        <f>D316-D318</f>
        <v>0</v>
      </c>
      <c r="E320" s="593">
        <f>D320-C320</f>
        <v>0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865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866</v>
      </c>
      <c r="C324" s="589">
        <f>+C193+C194</f>
        <v>9396534</v>
      </c>
      <c r="D324" s="589">
        <f>+D193+D194</f>
        <v>14510293</v>
      </c>
      <c r="E324" s="590">
        <f>D324-C324</f>
        <v>5113759</v>
      </c>
    </row>
    <row r="325" spans="1:5" x14ac:dyDescent="0.2">
      <c r="A325" s="588">
        <v>2</v>
      </c>
      <c r="B325" s="587" t="s">
        <v>867</v>
      </c>
      <c r="C325" s="589">
        <v>0</v>
      </c>
      <c r="D325" s="589">
        <v>0</v>
      </c>
      <c r="E325" s="590">
        <f>D325-C325</f>
        <v>0</v>
      </c>
    </row>
    <row r="326" spans="1:5" x14ac:dyDescent="0.2">
      <c r="A326" s="588"/>
      <c r="B326" s="592" t="s">
        <v>868</v>
      </c>
      <c r="C326" s="657">
        <f>C324+C325</f>
        <v>9396534</v>
      </c>
      <c r="D326" s="657">
        <f>D324+D325</f>
        <v>14510293</v>
      </c>
      <c r="E326" s="593">
        <f>D326-C326</f>
        <v>5113759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869</v>
      </c>
      <c r="C328" s="589">
        <v>9396534</v>
      </c>
      <c r="D328" s="589">
        <v>14510293</v>
      </c>
      <c r="E328" s="590">
        <f>D328-C328</f>
        <v>5113759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870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66" fitToHeight="0" orientation="portrait" horizontalDpi="1200" verticalDpi="1200" r:id="rId1"/>
  <headerFooter>
    <oddHeader>_x000D_
                &amp;LOFFICE OF HEALTH CARE ACCESS&amp;CTWELVE MONTHS ACTUAL FILING&amp;RMIDSTATE MEDICAL CENTER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143"/>
  <sheetViews>
    <sheetView zoomScaleSheetLayoutView="75" workbookViewId="0"/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631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871</v>
      </c>
      <c r="B5" s="824"/>
      <c r="C5" s="825"/>
      <c r="D5" s="661"/>
    </row>
    <row r="6" spans="1:58" s="662" customFormat="1" ht="15.75" customHeight="1" x14ac:dyDescent="0.25">
      <c r="A6" s="823" t="s">
        <v>872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873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874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778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658</v>
      </c>
      <c r="C14" s="589">
        <v>52893058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637</v>
      </c>
      <c r="C15" s="591">
        <v>133168476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779</v>
      </c>
      <c r="C16" s="591">
        <v>40223929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40223929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745</v>
      </c>
      <c r="C18" s="591">
        <v>0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106532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760</v>
      </c>
      <c r="C20" s="591">
        <v>2576251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780</v>
      </c>
      <c r="C21" s="593">
        <f>SUM(C15+C16+C19)</f>
        <v>173498937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226391995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781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658</v>
      </c>
      <c r="C25" s="589">
        <v>127897726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637</v>
      </c>
      <c r="C26" s="591">
        <v>109908722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779</v>
      </c>
      <c r="C27" s="591">
        <v>78467175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78467175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745</v>
      </c>
      <c r="C29" s="591">
        <v>0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763906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760</v>
      </c>
      <c r="C31" s="594">
        <v>6834430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782</v>
      </c>
      <c r="C32" s="593">
        <f>SUM(C26+C27+C30)</f>
        <v>189139803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317037529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655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875</v>
      </c>
      <c r="C36" s="590">
        <f>SUM(C14+C25)</f>
        <v>180790784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876</v>
      </c>
      <c r="C37" s="594">
        <f>SUM(C21+C32)</f>
        <v>362638740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655</v>
      </c>
      <c r="C38" s="593">
        <f>SUM(+C36+C37)</f>
        <v>543429524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791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658</v>
      </c>
      <c r="C41" s="589">
        <v>33452829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637</v>
      </c>
      <c r="C42" s="591">
        <v>51842983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779</v>
      </c>
      <c r="C43" s="591">
        <v>12188046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12188046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745</v>
      </c>
      <c r="C45" s="591">
        <v>0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21397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760</v>
      </c>
      <c r="C47" s="591">
        <v>1035766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792</v>
      </c>
      <c r="C48" s="593">
        <f>SUM(C42+C43+C46)</f>
        <v>64052426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97505255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793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658</v>
      </c>
      <c r="C52" s="589">
        <v>82851058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637</v>
      </c>
      <c r="C53" s="591">
        <v>29672851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779</v>
      </c>
      <c r="C54" s="591">
        <v>17449662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17449662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745</v>
      </c>
      <c r="C56" s="591">
        <v>0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153431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760</v>
      </c>
      <c r="C58" s="591">
        <v>1001844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794</v>
      </c>
      <c r="C59" s="593">
        <f>SUM(C53+C54+C57)</f>
        <v>47275944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130127002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656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877</v>
      </c>
      <c r="C63" s="590">
        <f>SUM(C41+C52)</f>
        <v>116303887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878</v>
      </c>
      <c r="C64" s="594">
        <f>SUM(C48+C59)</f>
        <v>111328370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656</v>
      </c>
      <c r="C65" s="593">
        <f>SUM(+C63+C64)</f>
        <v>227632257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879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880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658</v>
      </c>
      <c r="C70" s="606">
        <v>2607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637</v>
      </c>
      <c r="C71" s="606">
        <v>4483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779</v>
      </c>
      <c r="C72" s="606">
        <v>2182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2182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745</v>
      </c>
      <c r="C74" s="606">
        <v>0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12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760</v>
      </c>
      <c r="C76" s="621">
        <v>127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809</v>
      </c>
      <c r="C77" s="608">
        <f>SUM(C71+C72+C75)</f>
        <v>6677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9284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813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658</v>
      </c>
      <c r="C81" s="617">
        <v>1.1429499999999999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637</v>
      </c>
      <c r="C82" s="617">
        <v>1.59467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779</v>
      </c>
      <c r="C83" s="617">
        <f>((C73*C84)+(C74*C85))/(C73+C74)</f>
        <v>0.99991000000000008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0.99990999999999997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745</v>
      </c>
      <c r="C85" s="617">
        <v>0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0.55530000000000002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760</v>
      </c>
      <c r="C87" s="617">
        <v>0.34031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814</v>
      </c>
      <c r="C88" s="619">
        <f>((C71*C82)+(C73*C84)+(C74*C85)+(C75*C86))/(C71+C73+C74+C75)</f>
        <v>1.398438345065149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725</v>
      </c>
      <c r="C89" s="619">
        <f>((C70*C81)+(C71*C82)+(C73*C84)+(C74*C85)+(C75*C86))/(C70+C71+C73+C74+C75)</f>
        <v>1.3266957647565705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815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816</v>
      </c>
      <c r="C92" s="589">
        <v>180790784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817</v>
      </c>
      <c r="C93" s="622">
        <v>130814180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670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749</v>
      </c>
      <c r="C95" s="589">
        <f>+C92-C93</f>
        <v>49976604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672</v>
      </c>
      <c r="C96" s="681">
        <f>(+C92-C93)/C92</f>
        <v>0.27643336067396002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764</v>
      </c>
      <c r="C98" s="589">
        <v>3925009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750</v>
      </c>
      <c r="C99" s="589">
        <v>1594619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881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819</v>
      </c>
      <c r="C103" s="589">
        <v>8125010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820</v>
      </c>
      <c r="C104" s="589">
        <v>6385283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821</v>
      </c>
      <c r="C105" s="654">
        <f>+C103+C104</f>
        <v>14510293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822</v>
      </c>
      <c r="C107" s="589">
        <v>8597041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712</v>
      </c>
      <c r="C108" s="589">
        <v>208792651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852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853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656</v>
      </c>
      <c r="C114" s="590">
        <f>+C65</f>
        <v>227632257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854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855</v>
      </c>
      <c r="C116" s="593">
        <f>+C114+C115</f>
        <v>227632257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856</v>
      </c>
      <c r="C118" s="654">
        <v>-8500070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857</v>
      </c>
      <c r="C119" s="656">
        <f>+C116+C118</f>
        <v>219132187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858</v>
      </c>
      <c r="C121" s="589">
        <v>219132186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859</v>
      </c>
      <c r="C123" s="658">
        <f>C119-C121</f>
        <v>1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860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861</v>
      </c>
      <c r="C127" s="590">
        <f>C38</f>
        <v>543429524</v>
      </c>
      <c r="D127" s="664"/>
      <c r="AR127" s="485"/>
    </row>
    <row r="128" spans="1:58" s="421" customFormat="1" ht="12.75" x14ac:dyDescent="0.2">
      <c r="A128" s="588">
        <v>2</v>
      </c>
      <c r="B128" s="659" t="s">
        <v>862</v>
      </c>
      <c r="C128" s="589">
        <v>0</v>
      </c>
      <c r="D128" s="664"/>
      <c r="AR128" s="485"/>
    </row>
    <row r="129" spans="1:44" s="421" customFormat="1" ht="12.75" x14ac:dyDescent="0.2">
      <c r="A129" s="588"/>
      <c r="B129" s="671" t="s">
        <v>863</v>
      </c>
      <c r="C129" s="657">
        <f>C127+C128</f>
        <v>543429524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864</v>
      </c>
      <c r="C131" s="589">
        <v>543429524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859</v>
      </c>
      <c r="C133" s="657">
        <f>C129-C131</f>
        <v>0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865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866</v>
      </c>
      <c r="C137" s="589">
        <f>C105</f>
        <v>14510293</v>
      </c>
      <c r="D137" s="664"/>
      <c r="AR137" s="485"/>
    </row>
    <row r="138" spans="1:44" s="421" customFormat="1" ht="12.75" x14ac:dyDescent="0.2">
      <c r="A138" s="588">
        <v>2</v>
      </c>
      <c r="B138" s="669" t="s">
        <v>882</v>
      </c>
      <c r="C138" s="589">
        <v>0</v>
      </c>
      <c r="D138" s="664"/>
      <c r="AR138" s="485"/>
    </row>
    <row r="139" spans="1:44" s="421" customFormat="1" ht="12.75" x14ac:dyDescent="0.2">
      <c r="A139" s="588"/>
      <c r="B139" s="671" t="s">
        <v>868</v>
      </c>
      <c r="C139" s="657">
        <f>C137+C138</f>
        <v>14510293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883</v>
      </c>
      <c r="C141" s="589">
        <v>14510293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870</v>
      </c>
      <c r="C143" s="657">
        <f>C139-C141</f>
        <v>0</v>
      </c>
      <c r="D143" s="664"/>
      <c r="AR143" s="485"/>
    </row>
  </sheetData>
  <mergeCells count="6">
    <mergeCell ref="A2:C2"/>
    <mergeCell ref="A3:C3"/>
    <mergeCell ref="A4:C4"/>
    <mergeCell ref="A5:C5"/>
    <mergeCell ref="A6:C6"/>
    <mergeCell ref="A7:C7"/>
  </mergeCells>
  <printOptions gridLines="1"/>
  <pageMargins left="0.5" right="0.5" top="0.5" bottom="0.5" header="0.25" footer="0.25"/>
  <pageSetup scale="74" fitToHeight="0" orientation="portrait" r:id="rId1"/>
  <headerFooter>
    <oddHeader>&amp;LOFFICE OF HEALTH CARE ACCESS&amp;CTWELVE MONTHS ACTUAL FILING&amp;RMIDSTATE MEDICAL CENTER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SheetLayoutView="90" workbookViewId="0">
      <selection activeCell="B43" sqref="B43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6"/>
      <c r="B1" s="827"/>
      <c r="C1" s="827"/>
      <c r="D1" s="827"/>
      <c r="E1" s="827"/>
      <c r="F1" s="82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631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884</v>
      </c>
      <c r="B5" s="830"/>
      <c r="C5" s="830"/>
      <c r="D5" s="830"/>
      <c r="E5" s="830"/>
      <c r="F5" s="831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634</v>
      </c>
      <c r="D8" s="177" t="s">
        <v>634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885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886</v>
      </c>
      <c r="C12" s="185">
        <v>6890</v>
      </c>
      <c r="D12" s="185">
        <v>7006</v>
      </c>
      <c r="E12" s="185">
        <f>+D12-C12</f>
        <v>116</v>
      </c>
      <c r="F12" s="77">
        <f>IF(C12=0,0,+E12/C12)</f>
        <v>1.6835994194484762E-2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887</v>
      </c>
      <c r="C13" s="185">
        <v>6546</v>
      </c>
      <c r="D13" s="185">
        <v>6656</v>
      </c>
      <c r="E13" s="185">
        <f>+D13-C13</f>
        <v>110</v>
      </c>
      <c r="F13" s="77">
        <f>IF(C13=0,0,+E13/C13)</f>
        <v>1.6804155209288116E-2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888</v>
      </c>
      <c r="C15" s="76">
        <v>7131143</v>
      </c>
      <c r="D15" s="76">
        <v>8125010</v>
      </c>
      <c r="E15" s="76">
        <f>+D15-C15</f>
        <v>993867</v>
      </c>
      <c r="F15" s="77">
        <f>IF(C15=0,0,+E15/C15)</f>
        <v>0.13936994392063096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889</v>
      </c>
      <c r="C16" s="79">
        <f>IF(C13=0,0,+C15/+C13)</f>
        <v>1089.3893981057133</v>
      </c>
      <c r="D16" s="79">
        <f>IF(D13=0,0,+D15/+D13)</f>
        <v>1220.7046274038462</v>
      </c>
      <c r="E16" s="79">
        <f>+D16-C16</f>
        <v>131.31522929813286</v>
      </c>
      <c r="F16" s="80">
        <f>IF(C16=0,0,+E16/C16)</f>
        <v>0.12054021227530815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890</v>
      </c>
      <c r="C18" s="704">
        <v>0.436359</v>
      </c>
      <c r="D18" s="704">
        <v>0.40944199999999997</v>
      </c>
      <c r="E18" s="704">
        <f>+D18-C18</f>
        <v>-2.6917000000000024E-2</v>
      </c>
      <c r="F18" s="77">
        <f>IF(C18=0,0,+E18/C18)</f>
        <v>-6.1685447074541891E-2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891</v>
      </c>
      <c r="C19" s="79">
        <f>+C15*C18</f>
        <v>3111738.4283369998</v>
      </c>
      <c r="D19" s="79">
        <f>+D15*D18</f>
        <v>3326720.34442</v>
      </c>
      <c r="E19" s="79">
        <f>+D19-C19</f>
        <v>214981.91608300013</v>
      </c>
      <c r="F19" s="80">
        <f>IF(C19=0,0,+E19/C19)</f>
        <v>6.9087399546591224E-2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892</v>
      </c>
      <c r="C20" s="79">
        <f>IF(C13=0,0,+C19/C13)</f>
        <v>475.364868368011</v>
      </c>
      <c r="D20" s="79">
        <f>IF(D13=0,0,+D19/D13)</f>
        <v>499.80774405348558</v>
      </c>
      <c r="E20" s="79">
        <f>+D20-C20</f>
        <v>24.442875685474576</v>
      </c>
      <c r="F20" s="80">
        <f>IF(C20=0,0,+E20/C20)</f>
        <v>5.1419188316103641E-2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893</v>
      </c>
      <c r="C22" s="76">
        <v>1787698</v>
      </c>
      <c r="D22" s="76">
        <v>1646964</v>
      </c>
      <c r="E22" s="76">
        <f>+D22-C22</f>
        <v>-140734</v>
      </c>
      <c r="F22" s="77">
        <f>IF(C22=0,0,+E22/C22)</f>
        <v>-7.8723587541072379E-2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894</v>
      </c>
      <c r="C23" s="185">
        <v>1627152</v>
      </c>
      <c r="D23" s="185">
        <v>1688334</v>
      </c>
      <c r="E23" s="185">
        <f>+D23-C23</f>
        <v>61182</v>
      </c>
      <c r="F23" s="77">
        <f>IF(C23=0,0,+E23/C23)</f>
        <v>3.7600666686332933E-2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895</v>
      </c>
      <c r="C24" s="185">
        <v>3716293</v>
      </c>
      <c r="D24" s="185">
        <v>4789712</v>
      </c>
      <c r="E24" s="185">
        <f>+D24-C24</f>
        <v>1073419</v>
      </c>
      <c r="F24" s="77">
        <f>IF(C24=0,0,+E24/C24)</f>
        <v>0.28884132655848183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896</v>
      </c>
      <c r="C25" s="79">
        <f>+C22+C23+C24</f>
        <v>7131143</v>
      </c>
      <c r="D25" s="79">
        <f>+D22+D23+D24</f>
        <v>8125010</v>
      </c>
      <c r="E25" s="79">
        <f>+E22+E23+E24</f>
        <v>993867</v>
      </c>
      <c r="F25" s="80">
        <f>IF(C25=0,0,+E25/C25)</f>
        <v>0.13936994392063096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897</v>
      </c>
      <c r="C27" s="185">
        <v>760</v>
      </c>
      <c r="D27" s="185">
        <v>715</v>
      </c>
      <c r="E27" s="185">
        <f>+D27-C27</f>
        <v>-45</v>
      </c>
      <c r="F27" s="77">
        <f>IF(C27=0,0,+E27/C27)</f>
        <v>-5.921052631578947E-2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898</v>
      </c>
      <c r="C28" s="185">
        <v>483</v>
      </c>
      <c r="D28" s="185">
        <v>500</v>
      </c>
      <c r="E28" s="185">
        <f>+D28-C28</f>
        <v>17</v>
      </c>
      <c r="F28" s="77">
        <f>IF(C28=0,0,+E28/C28)</f>
        <v>3.5196687370600416E-2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899</v>
      </c>
      <c r="C29" s="185">
        <v>6870</v>
      </c>
      <c r="D29" s="185">
        <v>7893</v>
      </c>
      <c r="E29" s="185">
        <f>+D29-C29</f>
        <v>1023</v>
      </c>
      <c r="F29" s="77">
        <f>IF(C29=0,0,+E29/C29)</f>
        <v>0.14890829694323143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900</v>
      </c>
      <c r="C30" s="185">
        <v>2072</v>
      </c>
      <c r="D30" s="185">
        <v>2235</v>
      </c>
      <c r="E30" s="185">
        <f>+D30-C30</f>
        <v>163</v>
      </c>
      <c r="F30" s="77">
        <f>IF(C30=0,0,+E30/C30)</f>
        <v>7.8667953667953663E-2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901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902</v>
      </c>
      <c r="C33" s="76">
        <v>1720829</v>
      </c>
      <c r="D33" s="76">
        <v>3093127</v>
      </c>
      <c r="E33" s="76">
        <f>+D33-C33</f>
        <v>1372298</v>
      </c>
      <c r="F33" s="77">
        <f>IF(C33=0,0,+E33/C33)</f>
        <v>0.79746331564612172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903</v>
      </c>
      <c r="C34" s="185">
        <v>222216</v>
      </c>
      <c r="D34" s="185">
        <v>1217619</v>
      </c>
      <c r="E34" s="185">
        <f>+D34-C34</f>
        <v>995403</v>
      </c>
      <c r="F34" s="77">
        <f>IF(C34=0,0,+E34/C34)</f>
        <v>4.4794389242898802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904</v>
      </c>
      <c r="C35" s="185">
        <v>322346</v>
      </c>
      <c r="D35" s="185">
        <v>2074537</v>
      </c>
      <c r="E35" s="185">
        <f>+D35-C35</f>
        <v>1752191</v>
      </c>
      <c r="F35" s="77">
        <f>IF(C35=0,0,+E35/C35)</f>
        <v>5.4357460616852702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905</v>
      </c>
      <c r="C36" s="79">
        <f>+C33+C34+C35</f>
        <v>2265391</v>
      </c>
      <c r="D36" s="79">
        <f>+D33+D34+D35</f>
        <v>6385283</v>
      </c>
      <c r="E36" s="79">
        <f>+E33+E34+E35</f>
        <v>4119892</v>
      </c>
      <c r="F36" s="80">
        <f>IF(C36=0,0,+E36/C36)</f>
        <v>1.8186229220474524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906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907</v>
      </c>
      <c r="C39" s="76">
        <f>+C25</f>
        <v>7131143</v>
      </c>
      <c r="D39" s="76">
        <f>+D25</f>
        <v>8125010</v>
      </c>
      <c r="E39" s="76">
        <f>+D39-C39</f>
        <v>993867</v>
      </c>
      <c r="F39" s="77">
        <f>IF(C39=0,0,+E39/C39)</f>
        <v>0.13936994392063096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908</v>
      </c>
      <c r="C40" s="185">
        <f>+C36</f>
        <v>2265391</v>
      </c>
      <c r="D40" s="185">
        <f>+D36</f>
        <v>6385283</v>
      </c>
      <c r="E40" s="185">
        <f>+D40-C40</f>
        <v>4119892</v>
      </c>
      <c r="F40" s="77">
        <f>IF(C40=0,0,+E40/C40)</f>
        <v>1.8186229220474524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909</v>
      </c>
      <c r="C41" s="79">
        <f>+C39+C40</f>
        <v>9396534</v>
      </c>
      <c r="D41" s="79">
        <f>+D39+D40</f>
        <v>14510293</v>
      </c>
      <c r="E41" s="79">
        <f>+E39+E40</f>
        <v>5113759</v>
      </c>
      <c r="F41" s="80">
        <f>IF(C41=0,0,+E41/C41)</f>
        <v>0.54421758065261083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910</v>
      </c>
      <c r="C43" s="76">
        <f t="shared" ref="C43:D45" si="0">+C22+C33</f>
        <v>3508527</v>
      </c>
      <c r="D43" s="76">
        <f t="shared" si="0"/>
        <v>4740091</v>
      </c>
      <c r="E43" s="76">
        <f>+D43-C43</f>
        <v>1231564</v>
      </c>
      <c r="F43" s="77">
        <f>IF(C43=0,0,+E43/C43)</f>
        <v>0.35102024296806039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911</v>
      </c>
      <c r="C44" s="185">
        <f t="shared" si="0"/>
        <v>1849368</v>
      </c>
      <c r="D44" s="185">
        <f t="shared" si="0"/>
        <v>2905953</v>
      </c>
      <c r="E44" s="185">
        <f>+D44-C44</f>
        <v>1056585</v>
      </c>
      <c r="F44" s="77">
        <f>IF(C44=0,0,+E44/C44)</f>
        <v>0.57132220304449954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912</v>
      </c>
      <c r="C45" s="185">
        <f t="shared" si="0"/>
        <v>4038639</v>
      </c>
      <c r="D45" s="185">
        <f t="shared" si="0"/>
        <v>6864249</v>
      </c>
      <c r="E45" s="185">
        <f>+D45-C45</f>
        <v>2825610</v>
      </c>
      <c r="F45" s="77">
        <f>IF(C45=0,0,+E45/C45)</f>
        <v>0.69964411278155836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909</v>
      </c>
      <c r="C46" s="79">
        <f>+C43+C44+C45</f>
        <v>9396534</v>
      </c>
      <c r="D46" s="79">
        <f>+D43+D44+D45</f>
        <v>14510293</v>
      </c>
      <c r="E46" s="79">
        <f>+E43+E44+E45</f>
        <v>5113759</v>
      </c>
      <c r="F46" s="80">
        <f>IF(C46=0,0,+E46/C46)</f>
        <v>0.54421758065261083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32" t="s">
        <v>913</v>
      </c>
      <c r="B48" s="833"/>
      <c r="C48" s="833"/>
      <c r="D48" s="833"/>
      <c r="E48" s="833"/>
      <c r="F48" s="834"/>
    </row>
  </sheetData>
  <mergeCells count="6">
    <mergeCell ref="A1:F1"/>
    <mergeCell ref="A2:F2"/>
    <mergeCell ref="A3:F3"/>
    <mergeCell ref="A4:F4"/>
    <mergeCell ref="A5:F5"/>
    <mergeCell ref="A48:F48"/>
  </mergeCells>
  <pageMargins left="0.25" right="0.25" top="0.5" bottom="0.5" header="0.25" footer="0.25"/>
  <pageSetup paperSize="9" scale="73" orientation="portrait" horizontalDpi="1200" verticalDpi="1200" r:id="rId1"/>
  <headerFooter>
    <oddHeader>_x000D_
                  &amp;LOFFICE OF HEALTH CARE ACCESS&amp;CTWELVE MONTHS ACTUAL FILING&amp;RMIDSTATE MEDICAL CENTER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SheetLayoutView="90" workbookViewId="0">
      <selection activeCell="C15" sqref="C15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631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914</v>
      </c>
      <c r="B5" s="830"/>
      <c r="C5" s="830"/>
      <c r="D5" s="830"/>
      <c r="E5" s="830"/>
      <c r="F5" s="831"/>
    </row>
    <row r="6" spans="1:14" ht="15.75" customHeight="1" x14ac:dyDescent="0.25">
      <c r="A6" s="829" t="s">
        <v>915</v>
      </c>
      <c r="B6" s="830"/>
      <c r="C6" s="830"/>
      <c r="D6" s="830"/>
      <c r="E6" s="830"/>
      <c r="F6" s="831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916</v>
      </c>
      <c r="D10" s="177" t="s">
        <v>916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917</v>
      </c>
      <c r="D11" s="693" t="s">
        <v>917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918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163272936</v>
      </c>
      <c r="D15" s="76">
        <v>180790784</v>
      </c>
      <c r="E15" s="76">
        <f>+D15-C15</f>
        <v>17517848</v>
      </c>
      <c r="F15" s="77">
        <f>IF(C15=0,0,E15/C15)</f>
        <v>0.10729180493208011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919</v>
      </c>
      <c r="C17" s="76">
        <v>47985709</v>
      </c>
      <c r="D17" s="76">
        <v>49976604</v>
      </c>
      <c r="E17" s="76">
        <f>+D17-C17</f>
        <v>1990895</v>
      </c>
      <c r="F17" s="77">
        <f>IF(C17=0,0,E17/C17)</f>
        <v>4.1489331750834399E-2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920</v>
      </c>
      <c r="C19" s="79">
        <f>+C15-C17</f>
        <v>115287227</v>
      </c>
      <c r="D19" s="79">
        <f>+D15-D17</f>
        <v>130814180</v>
      </c>
      <c r="E19" s="79">
        <f>+D19-C19</f>
        <v>15526953</v>
      </c>
      <c r="F19" s="80">
        <f>IF(C19=0,0,E19/C19)</f>
        <v>0.134680600826664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921</v>
      </c>
      <c r="C21" s="720">
        <f>IF(C15=0,0,C17/C15)</f>
        <v>0.29389873285551749</v>
      </c>
      <c r="D21" s="720">
        <f>IF(D15=0,0,D17/D15)</f>
        <v>0.27643336067396002</v>
      </c>
      <c r="E21" s="720">
        <f>+D21-C21</f>
        <v>-1.746537218155747E-2</v>
      </c>
      <c r="F21" s="80">
        <f>IF(C21=0,0,E21/C21)</f>
        <v>-5.9426497051770416E-2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922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:F2"/>
    <mergeCell ref="A3:F3"/>
    <mergeCell ref="A4:F4"/>
    <mergeCell ref="A5:F5"/>
    <mergeCell ref="A6:F6"/>
    <mergeCell ref="A26:F26"/>
  </mergeCells>
  <pageMargins left="0.25" right="0.25" top="0.5" bottom="0.5" header="0.25" footer="0.5"/>
  <pageSetup scale="89" orientation="landscape" horizontalDpi="1200" verticalDpi="1200" r:id="rId1"/>
  <headerFooter>
    <oddHeader>&amp;L&amp;12OFFICE OF HEALTH CARE ACCESS&amp;C&amp;12TWELVE MONTHS ACTUAL FILING&amp;R&amp;12MIDSTATE MEDICAL CENTER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zoomScale="75" workbookViewId="0">
      <selection activeCell="A8" sqref="A8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923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924</v>
      </c>
      <c r="B6" s="734" t="s">
        <v>925</v>
      </c>
      <c r="C6" s="734" t="s">
        <v>926</v>
      </c>
      <c r="D6" s="734" t="s">
        <v>927</v>
      </c>
      <c r="E6" s="734" t="s">
        <v>928</v>
      </c>
    </row>
    <row r="7" spans="1:6" ht="37.5" customHeight="1" x14ac:dyDescent="0.25">
      <c r="A7" s="735" t="s">
        <v>8</v>
      </c>
      <c r="B7" s="736" t="s">
        <v>9</v>
      </c>
      <c r="C7" s="737" t="s">
        <v>929</v>
      </c>
      <c r="D7" s="737" t="s">
        <v>930</v>
      </c>
      <c r="E7" s="737" t="s">
        <v>931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932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933</v>
      </c>
      <c r="C10" s="744">
        <v>212045748</v>
      </c>
      <c r="D10" s="744">
        <v>219546008</v>
      </c>
      <c r="E10" s="744">
        <v>226391995</v>
      </c>
    </row>
    <row r="11" spans="1:6" ht="26.1" customHeight="1" x14ac:dyDescent="0.25">
      <c r="A11" s="742">
        <v>2</v>
      </c>
      <c r="B11" s="743" t="s">
        <v>934</v>
      </c>
      <c r="C11" s="744">
        <v>267599887</v>
      </c>
      <c r="D11" s="744">
        <v>285501650</v>
      </c>
      <c r="E11" s="744">
        <v>317037529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479645635</v>
      </c>
      <c r="D12" s="744">
        <f>+D11+D10</f>
        <v>505047658</v>
      </c>
      <c r="E12" s="744">
        <f>+E11+E10</f>
        <v>543429524</v>
      </c>
    </row>
    <row r="13" spans="1:6" ht="26.1" customHeight="1" x14ac:dyDescent="0.25">
      <c r="A13" s="742">
        <v>4</v>
      </c>
      <c r="B13" s="743" t="s">
        <v>507</v>
      </c>
      <c r="C13" s="744">
        <v>218353748</v>
      </c>
      <c r="D13" s="744">
        <v>217746204</v>
      </c>
      <c r="E13" s="744">
        <v>219132186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935</v>
      </c>
      <c r="C16" s="744">
        <v>221306295</v>
      </c>
      <c r="D16" s="744">
        <v>210520148</v>
      </c>
      <c r="E16" s="744">
        <v>208792651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936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42530</v>
      </c>
      <c r="D19" s="747">
        <v>41898</v>
      </c>
      <c r="E19" s="747">
        <v>39492</v>
      </c>
    </row>
    <row r="20" spans="1:5" ht="26.1" customHeight="1" x14ac:dyDescent="0.25">
      <c r="A20" s="742">
        <v>2</v>
      </c>
      <c r="B20" s="743" t="s">
        <v>381</v>
      </c>
      <c r="C20" s="748">
        <v>10330</v>
      </c>
      <c r="D20" s="748">
        <v>9847</v>
      </c>
      <c r="E20" s="748">
        <v>9284</v>
      </c>
    </row>
    <row r="21" spans="1:5" ht="26.1" customHeight="1" x14ac:dyDescent="0.25">
      <c r="A21" s="742">
        <v>3</v>
      </c>
      <c r="B21" s="743" t="s">
        <v>937</v>
      </c>
      <c r="C21" s="749">
        <f>IF(C20=0,0,+C19/C20)</f>
        <v>4.1171345595353337</v>
      </c>
      <c r="D21" s="749">
        <f>IF(D20=0,0,+D19/D20)</f>
        <v>4.2548999695338683</v>
      </c>
      <c r="E21" s="749">
        <f>IF(E20=0,0,+E19/E20)</f>
        <v>4.2537699267557088</v>
      </c>
    </row>
    <row r="22" spans="1:5" ht="26.1" customHeight="1" x14ac:dyDescent="0.25">
      <c r="A22" s="742">
        <v>4</v>
      </c>
      <c r="B22" s="743" t="s">
        <v>938</v>
      </c>
      <c r="C22" s="748">
        <f>IF(C10=0,0,C19*(C12/C10))</f>
        <v>96202.48955216023</v>
      </c>
      <c r="D22" s="748">
        <f>IF(D10=0,0,D19*(D12/D10))</f>
        <v>96382.926602263702</v>
      </c>
      <c r="E22" s="748">
        <f>IF(E10=0,0,E19*(E12/E10))</f>
        <v>94796.279178546043</v>
      </c>
    </row>
    <row r="23" spans="1:5" ht="26.1" customHeight="1" x14ac:dyDescent="0.25">
      <c r="A23" s="742">
        <v>0</v>
      </c>
      <c r="B23" s="743" t="s">
        <v>939</v>
      </c>
      <c r="C23" s="748">
        <f>IF(C10=0,0,C20*(C12/C10))</f>
        <v>23366.370022897136</v>
      </c>
      <c r="D23" s="748">
        <f>IF(D10=0,0,D20*(D12/D10))</f>
        <v>22652.219157298456</v>
      </c>
      <c r="E23" s="748">
        <f>IF(E10=0,0,E20*(E12/E10))</f>
        <v>22285.238931774067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940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1.201266242981607</v>
      </c>
      <c r="D26" s="750">
        <v>1.2865042835381333</v>
      </c>
      <c r="E26" s="750">
        <v>1.3266957647565705</v>
      </c>
    </row>
    <row r="27" spans="1:5" ht="26.1" customHeight="1" x14ac:dyDescent="0.25">
      <c r="A27" s="742">
        <v>2</v>
      </c>
      <c r="B27" s="743" t="s">
        <v>941</v>
      </c>
      <c r="C27" s="748">
        <f>C19*C26</f>
        <v>51089.853314007749</v>
      </c>
      <c r="D27" s="748">
        <f>D19*D26</f>
        <v>53901.956471680707</v>
      </c>
      <c r="E27" s="748">
        <f>E19*E26</f>
        <v>52393.869141766481</v>
      </c>
    </row>
    <row r="28" spans="1:5" ht="26.1" customHeight="1" x14ac:dyDescent="0.25">
      <c r="A28" s="742">
        <v>3</v>
      </c>
      <c r="B28" s="743" t="s">
        <v>942</v>
      </c>
      <c r="C28" s="748">
        <f>C20*C26</f>
        <v>12409.08029</v>
      </c>
      <c r="D28" s="748">
        <f>D20*D26</f>
        <v>12668.207679999998</v>
      </c>
      <c r="E28" s="748">
        <f>E20*E26</f>
        <v>12317.04348</v>
      </c>
    </row>
    <row r="29" spans="1:5" ht="26.1" customHeight="1" x14ac:dyDescent="0.25">
      <c r="A29" s="742">
        <v>4</v>
      </c>
      <c r="B29" s="743" t="s">
        <v>943</v>
      </c>
      <c r="C29" s="748">
        <f>C22*C26</f>
        <v>115564.80318980082</v>
      </c>
      <c r="D29" s="748">
        <f>D22*D26</f>
        <v>123997.04793375375</v>
      </c>
      <c r="E29" s="748">
        <f>E22*E26</f>
        <v>125765.8221008585</v>
      </c>
    </row>
    <row r="30" spans="1:5" ht="26.1" customHeight="1" x14ac:dyDescent="0.25">
      <c r="A30" s="742">
        <v>5</v>
      </c>
      <c r="B30" s="743" t="s">
        <v>944</v>
      </c>
      <c r="C30" s="748">
        <f>C23*C26</f>
        <v>28069.231529523688</v>
      </c>
      <c r="D30" s="748">
        <f>D23*D26</f>
        <v>29142.176977509029</v>
      </c>
      <c r="E30" s="748">
        <f>E23*E26</f>
        <v>29565.732107372893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945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946</v>
      </c>
      <c r="C33" s="744">
        <f>IF(C19=0,0,C12/C19)</f>
        <v>11277.818833764402</v>
      </c>
      <c r="D33" s="744">
        <f>IF(D19=0,0,D12/D19)</f>
        <v>12054.218769392333</v>
      </c>
      <c r="E33" s="744">
        <f>IF(E19=0,0,E12/E19)</f>
        <v>13760.496404335056</v>
      </c>
    </row>
    <row r="34" spans="1:5" ht="26.1" customHeight="1" x14ac:dyDescent="0.25">
      <c r="A34" s="742">
        <v>2</v>
      </c>
      <c r="B34" s="743" t="s">
        <v>947</v>
      </c>
      <c r="C34" s="744">
        <f>IF(C20=0,0,C12/C20)</f>
        <v>46432.297676669892</v>
      </c>
      <c r="D34" s="744">
        <f>IF(D20=0,0,D12/D20)</f>
        <v>51289.495074642022</v>
      </c>
      <c r="E34" s="744">
        <f>IF(E20=0,0,E12/E20)</f>
        <v>58533.985781990523</v>
      </c>
    </row>
    <row r="35" spans="1:5" ht="26.1" customHeight="1" x14ac:dyDescent="0.25">
      <c r="A35" s="742">
        <v>3</v>
      </c>
      <c r="B35" s="743" t="s">
        <v>948</v>
      </c>
      <c r="C35" s="744">
        <f>IF(C22=0,0,C12/C22)</f>
        <v>4985.7923348224776</v>
      </c>
      <c r="D35" s="744">
        <f>IF(D22=0,0,D12/D22)</f>
        <v>5240.0116473340013</v>
      </c>
      <c r="E35" s="744">
        <f>IF(E22=0,0,E12/E22)</f>
        <v>5732.6039451028055</v>
      </c>
    </row>
    <row r="36" spans="1:5" ht="26.1" customHeight="1" x14ac:dyDescent="0.25">
      <c r="A36" s="742">
        <v>4</v>
      </c>
      <c r="B36" s="743" t="s">
        <v>949</v>
      </c>
      <c r="C36" s="744">
        <f>IF(C23=0,0,C12/C23)</f>
        <v>20527.177928363988</v>
      </c>
      <c r="D36" s="744">
        <f>IF(D23=0,0,D12/D23)</f>
        <v>22295.725398598559</v>
      </c>
      <c r="E36" s="744">
        <f>IF(E23=0,0,E12/E23)</f>
        <v>24385.178263679449</v>
      </c>
    </row>
    <row r="37" spans="1:5" ht="26.1" customHeight="1" x14ac:dyDescent="0.25">
      <c r="A37" s="742">
        <v>5</v>
      </c>
      <c r="B37" s="743" t="s">
        <v>950</v>
      </c>
      <c r="C37" s="744">
        <f>IF(C29=0,0,C12/C29)</f>
        <v>4150.4473832940439</v>
      </c>
      <c r="D37" s="744">
        <f>IF(D29=0,0,D12/D29)</f>
        <v>4073.061951199234</v>
      </c>
      <c r="E37" s="744">
        <f>IF(E29=0,0,E12/E29)</f>
        <v>4320.9634773761836</v>
      </c>
    </row>
    <row r="38" spans="1:5" ht="26.1" customHeight="1" x14ac:dyDescent="0.25">
      <c r="A38" s="742">
        <v>6</v>
      </c>
      <c r="B38" s="743" t="s">
        <v>951</v>
      </c>
      <c r="C38" s="744">
        <f>IF(C30=0,0,C12/C30)</f>
        <v>17087.950359292903</v>
      </c>
      <c r="D38" s="744">
        <f>IF(D30=0,0,D12/D30)</f>
        <v>17330.471172067177</v>
      </c>
      <c r="E38" s="744">
        <f>IF(E30=0,0,E12/E30)</f>
        <v>18380.38449467258</v>
      </c>
    </row>
    <row r="39" spans="1:5" ht="26.1" customHeight="1" x14ac:dyDescent="0.25">
      <c r="A39" s="742">
        <v>7</v>
      </c>
      <c r="B39" s="743" t="s">
        <v>952</v>
      </c>
      <c r="C39" s="744">
        <f>IF(C22=0,0,C10/C22)</f>
        <v>2204.1607133776974</v>
      </c>
      <c r="D39" s="744">
        <f>IF(D22=0,0,D10/D22)</f>
        <v>2277.8516459246384</v>
      </c>
      <c r="E39" s="744">
        <f>IF(E22=0,0,E10/E22)</f>
        <v>2388.1949477531416</v>
      </c>
    </row>
    <row r="40" spans="1:5" ht="26.1" customHeight="1" x14ac:dyDescent="0.25">
      <c r="A40" s="742">
        <v>8</v>
      </c>
      <c r="B40" s="743" t="s">
        <v>953</v>
      </c>
      <c r="C40" s="744">
        <f>IF(C23=0,0,C10/C23)</f>
        <v>9074.8262478173747</v>
      </c>
      <c r="D40" s="744">
        <f>IF(D23=0,0,D10/D23)</f>
        <v>9692.0308988474153</v>
      </c>
      <c r="E40" s="744">
        <f>IF(E23=0,0,E10/E23)</f>
        <v>10158.831847982236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954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955</v>
      </c>
      <c r="C43" s="744">
        <f>IF(C19=0,0,C13/C19)</f>
        <v>5134.11116858688</v>
      </c>
      <c r="D43" s="744">
        <f>IF(D19=0,0,D13/D19)</f>
        <v>5197.0548474867537</v>
      </c>
      <c r="E43" s="744">
        <f>IF(E19=0,0,E13/E19)</f>
        <v>5548.7740808264962</v>
      </c>
    </row>
    <row r="44" spans="1:5" ht="26.1" customHeight="1" x14ac:dyDescent="0.25">
      <c r="A44" s="742">
        <v>2</v>
      </c>
      <c r="B44" s="743" t="s">
        <v>956</v>
      </c>
      <c r="C44" s="744">
        <f>IF(C20=0,0,C13/C20)</f>
        <v>21137.826524685381</v>
      </c>
      <c r="D44" s="744">
        <f>IF(D20=0,0,D13/D20)</f>
        <v>22112.948512237228</v>
      </c>
      <c r="E44" s="744">
        <f>IF(E20=0,0,E13/E20)</f>
        <v>23603.2083153813</v>
      </c>
    </row>
    <row r="45" spans="1:5" ht="26.1" customHeight="1" x14ac:dyDescent="0.25">
      <c r="A45" s="742">
        <v>3</v>
      </c>
      <c r="B45" s="743" t="s">
        <v>957</v>
      </c>
      <c r="C45" s="744">
        <f>IF(C22=0,0,C13/C22)</f>
        <v>2269.730742067858</v>
      </c>
      <c r="D45" s="744">
        <f>IF(D22=0,0,D13/D22)</f>
        <v>2259.1781726919039</v>
      </c>
      <c r="E45" s="744">
        <f>IF(E22=0,0,E13/E22)</f>
        <v>2311.6116782101844</v>
      </c>
    </row>
    <row r="46" spans="1:5" ht="26.1" customHeight="1" x14ac:dyDescent="0.25">
      <c r="A46" s="742">
        <v>4</v>
      </c>
      <c r="B46" s="743" t="s">
        <v>958</v>
      </c>
      <c r="C46" s="744">
        <f>IF(C23=0,0,C13/C23)</f>
        <v>9344.7868790073571</v>
      </c>
      <c r="D46" s="744">
        <f>IF(D23=0,0,D13/D23)</f>
        <v>9612.5771381583618</v>
      </c>
      <c r="E46" s="744">
        <f>IF(E23=0,0,E13/E23)</f>
        <v>9833.0642391077781</v>
      </c>
    </row>
    <row r="47" spans="1:5" ht="26.1" customHeight="1" x14ac:dyDescent="0.25">
      <c r="A47" s="742">
        <v>5</v>
      </c>
      <c r="B47" s="743" t="s">
        <v>959</v>
      </c>
      <c r="C47" s="744">
        <f>IF(C29=0,0,C13/C29)</f>
        <v>1889.4485342685275</v>
      </c>
      <c r="D47" s="744">
        <f>IF(D29=0,0,D13/D29)</f>
        <v>1756.0595806791493</v>
      </c>
      <c r="E47" s="744">
        <f>IF(E29=0,0,E13/E29)</f>
        <v>1742.3826468868936</v>
      </c>
    </row>
    <row r="48" spans="1:5" ht="26.1" customHeight="1" x14ac:dyDescent="0.25">
      <c r="A48" s="742">
        <v>6</v>
      </c>
      <c r="B48" s="743" t="s">
        <v>960</v>
      </c>
      <c r="C48" s="744">
        <f>IF(C30=0,0,C13/C30)</f>
        <v>7779.1138589003358</v>
      </c>
      <c r="D48" s="744">
        <f>IF(D30=0,0,D13/D30)</f>
        <v>7471.8578563313695</v>
      </c>
      <c r="E48" s="744">
        <f>IF(E30=0,0,E13/E30)</f>
        <v>7411.6949042284787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961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962</v>
      </c>
      <c r="C51" s="744">
        <f>IF(C19=0,0,C16/C19)</f>
        <v>5203.5338584528572</v>
      </c>
      <c r="D51" s="744">
        <f>IF(D19=0,0,D16/D19)</f>
        <v>5024.587044727672</v>
      </c>
      <c r="E51" s="744">
        <f>IF(E19=0,0,E16/E19)</f>
        <v>5286.9606755798641</v>
      </c>
    </row>
    <row r="52" spans="1:6" ht="26.1" customHeight="1" x14ac:dyDescent="0.25">
      <c r="A52" s="742">
        <v>2</v>
      </c>
      <c r="B52" s="743" t="s">
        <v>963</v>
      </c>
      <c r="C52" s="744">
        <f>IF(C20=0,0,C16/C20)</f>
        <v>21423.649080348499</v>
      </c>
      <c r="D52" s="744">
        <f>IF(D20=0,0,D16/D20)</f>
        <v>21379.11526353204</v>
      </c>
      <c r="E52" s="744">
        <f>IF(E20=0,0,E16/E20)</f>
        <v>22489.514325721673</v>
      </c>
    </row>
    <row r="53" spans="1:6" ht="26.1" customHeight="1" x14ac:dyDescent="0.25">
      <c r="A53" s="742">
        <v>3</v>
      </c>
      <c r="B53" s="743" t="s">
        <v>964</v>
      </c>
      <c r="C53" s="744">
        <f>IF(C22=0,0,C16/C22)</f>
        <v>2300.4217045756336</v>
      </c>
      <c r="D53" s="744">
        <f>IF(D22=0,0,D16/D22)</f>
        <v>2184.2058072041941</v>
      </c>
      <c r="E53" s="744">
        <f>IF(E22=0,0,E16/E22)</f>
        <v>2202.5405723651356</v>
      </c>
    </row>
    <row r="54" spans="1:6" ht="26.1" customHeight="1" x14ac:dyDescent="0.25">
      <c r="A54" s="742">
        <v>4</v>
      </c>
      <c r="B54" s="743" t="s">
        <v>965</v>
      </c>
      <c r="C54" s="744">
        <f>IF(C23=0,0,C16/C23)</f>
        <v>9471.1457014135231</v>
      </c>
      <c r="D54" s="744">
        <f>IF(D23=0,0,D16/D23)</f>
        <v>9293.5772225288238</v>
      </c>
      <c r="E54" s="744">
        <f>IF(E23=0,0,E16/E23)</f>
        <v>9369.1008491861194</v>
      </c>
    </row>
    <row r="55" spans="1:6" ht="26.1" customHeight="1" x14ac:dyDescent="0.25">
      <c r="A55" s="742">
        <v>5</v>
      </c>
      <c r="B55" s="743" t="s">
        <v>966</v>
      </c>
      <c r="C55" s="744">
        <f>IF(C29=0,0,C16/C29)</f>
        <v>1914.997377155845</v>
      </c>
      <c r="D55" s="744">
        <f>IF(D29=0,0,D16/D29)</f>
        <v>1697.7835481411767</v>
      </c>
      <c r="E55" s="744">
        <f>IF(E29=0,0,E16/E29)</f>
        <v>1660.170048684274</v>
      </c>
    </row>
    <row r="56" spans="1:6" ht="26.1" customHeight="1" x14ac:dyDescent="0.25">
      <c r="A56" s="742">
        <v>6</v>
      </c>
      <c r="B56" s="743" t="s">
        <v>967</v>
      </c>
      <c r="C56" s="744">
        <f>IF(C30=0,0,C16/C30)</f>
        <v>7884.3018829078501</v>
      </c>
      <c r="D56" s="744">
        <f>IF(D30=0,0,D16/D30)</f>
        <v>7223.8991672609945</v>
      </c>
      <c r="E56" s="744">
        <f>IF(E30=0,0,E16/E30)</f>
        <v>7061.981426393726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968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969</v>
      </c>
      <c r="C59" s="752">
        <v>28460163</v>
      </c>
      <c r="D59" s="752">
        <v>27207529</v>
      </c>
      <c r="E59" s="752">
        <v>27000116</v>
      </c>
    </row>
    <row r="60" spans="1:6" ht="26.1" customHeight="1" x14ac:dyDescent="0.25">
      <c r="A60" s="742">
        <v>2</v>
      </c>
      <c r="B60" s="743" t="s">
        <v>970</v>
      </c>
      <c r="C60" s="752">
        <v>10526845</v>
      </c>
      <c r="D60" s="752">
        <v>8488460</v>
      </c>
      <c r="E60" s="752">
        <v>7365276</v>
      </c>
    </row>
    <row r="61" spans="1:6" ht="26.1" customHeight="1" x14ac:dyDescent="0.25">
      <c r="A61" s="753">
        <v>3</v>
      </c>
      <c r="B61" s="754" t="s">
        <v>971</v>
      </c>
      <c r="C61" s="755">
        <f>C59+C60</f>
        <v>38987008</v>
      </c>
      <c r="D61" s="755">
        <f>D59+D60</f>
        <v>35695989</v>
      </c>
      <c r="E61" s="755">
        <f>E59+E60</f>
        <v>34365392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972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973</v>
      </c>
      <c r="C64" s="744">
        <v>7503379</v>
      </c>
      <c r="D64" s="744">
        <v>7916881</v>
      </c>
      <c r="E64" s="752">
        <v>8218072</v>
      </c>
      <c r="F64" s="756"/>
    </row>
    <row r="65" spans="1:6" ht="26.1" customHeight="1" x14ac:dyDescent="0.25">
      <c r="A65" s="742">
        <v>2</v>
      </c>
      <c r="B65" s="743" t="s">
        <v>974</v>
      </c>
      <c r="C65" s="752">
        <v>2025011</v>
      </c>
      <c r="D65" s="752">
        <v>1632894</v>
      </c>
      <c r="E65" s="752">
        <v>1416831</v>
      </c>
      <c r="F65" s="756"/>
    </row>
    <row r="66" spans="1:6" ht="26.1" customHeight="1" x14ac:dyDescent="0.25">
      <c r="A66" s="753">
        <v>3</v>
      </c>
      <c r="B66" s="754" t="s">
        <v>975</v>
      </c>
      <c r="C66" s="757">
        <f>C64+C65</f>
        <v>9528390</v>
      </c>
      <c r="D66" s="757">
        <f>D64+D65</f>
        <v>9549775</v>
      </c>
      <c r="E66" s="757">
        <f>E64+E65</f>
        <v>9634903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976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977</v>
      </c>
      <c r="C69" s="752">
        <v>39975318</v>
      </c>
      <c r="D69" s="752">
        <v>40133370</v>
      </c>
      <c r="E69" s="752">
        <v>34527167</v>
      </c>
    </row>
    <row r="70" spans="1:6" ht="26.1" customHeight="1" x14ac:dyDescent="0.25">
      <c r="A70" s="742">
        <v>2</v>
      </c>
      <c r="B70" s="743" t="s">
        <v>978</v>
      </c>
      <c r="C70" s="752">
        <v>15536997</v>
      </c>
      <c r="D70" s="752">
        <v>12528463</v>
      </c>
      <c r="E70" s="752">
        <v>10870710</v>
      </c>
    </row>
    <row r="71" spans="1:6" ht="26.1" customHeight="1" x14ac:dyDescent="0.25">
      <c r="A71" s="753">
        <v>3</v>
      </c>
      <c r="B71" s="754" t="s">
        <v>979</v>
      </c>
      <c r="C71" s="755">
        <f>C69+C70</f>
        <v>55512315</v>
      </c>
      <c r="D71" s="755">
        <f>D69+D70</f>
        <v>52661833</v>
      </c>
      <c r="E71" s="755">
        <f>E69+E70</f>
        <v>45397877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980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981</v>
      </c>
      <c r="C75" s="744">
        <f t="shared" ref="C75:E76" si="0">+C59+C64+C69</f>
        <v>75938860</v>
      </c>
      <c r="D75" s="744">
        <f t="shared" si="0"/>
        <v>75257780</v>
      </c>
      <c r="E75" s="744">
        <f t="shared" si="0"/>
        <v>69745355</v>
      </c>
    </row>
    <row r="76" spans="1:6" ht="26.1" customHeight="1" x14ac:dyDescent="0.25">
      <c r="A76" s="742">
        <v>2</v>
      </c>
      <c r="B76" s="743" t="s">
        <v>982</v>
      </c>
      <c r="C76" s="744">
        <f t="shared" si="0"/>
        <v>28088853</v>
      </c>
      <c r="D76" s="744">
        <f t="shared" si="0"/>
        <v>22649817</v>
      </c>
      <c r="E76" s="744">
        <f t="shared" si="0"/>
        <v>19652817</v>
      </c>
    </row>
    <row r="77" spans="1:6" ht="26.1" customHeight="1" x14ac:dyDescent="0.25">
      <c r="A77" s="753">
        <v>3</v>
      </c>
      <c r="B77" s="754" t="s">
        <v>980</v>
      </c>
      <c r="C77" s="757">
        <f>C75+C76</f>
        <v>104027713</v>
      </c>
      <c r="D77" s="757">
        <f>D75+D76</f>
        <v>97907597</v>
      </c>
      <c r="E77" s="757">
        <f>E75+E76</f>
        <v>89398172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983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332.6</v>
      </c>
      <c r="D80" s="749">
        <v>310.2</v>
      </c>
      <c r="E80" s="749">
        <v>298.39999999999998</v>
      </c>
    </row>
    <row r="81" spans="1:5" ht="26.1" customHeight="1" x14ac:dyDescent="0.25">
      <c r="A81" s="742">
        <v>2</v>
      </c>
      <c r="B81" s="743" t="s">
        <v>617</v>
      </c>
      <c r="C81" s="749">
        <v>43.8</v>
      </c>
      <c r="D81" s="749">
        <v>44.7</v>
      </c>
      <c r="E81" s="749">
        <v>45.6</v>
      </c>
    </row>
    <row r="82" spans="1:5" ht="26.1" customHeight="1" x14ac:dyDescent="0.25">
      <c r="A82" s="742">
        <v>3</v>
      </c>
      <c r="B82" s="743" t="s">
        <v>984</v>
      </c>
      <c r="C82" s="749">
        <v>678.2</v>
      </c>
      <c r="D82" s="749">
        <v>673.2</v>
      </c>
      <c r="E82" s="749">
        <v>619.29999999999995</v>
      </c>
    </row>
    <row r="83" spans="1:5" ht="26.1" customHeight="1" x14ac:dyDescent="0.25">
      <c r="A83" s="753">
        <v>4</v>
      </c>
      <c r="B83" s="754" t="s">
        <v>983</v>
      </c>
      <c r="C83" s="759">
        <f>C80+C81+C82</f>
        <v>1054.6000000000001</v>
      </c>
      <c r="D83" s="759">
        <f>D80+D81+D82</f>
        <v>1028.0999999999999</v>
      </c>
      <c r="E83" s="759">
        <f>E80+E81+E82</f>
        <v>963.3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985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986</v>
      </c>
      <c r="C86" s="752">
        <f>IF(C80=0,0,C59/C80)</f>
        <v>85568.740228502706</v>
      </c>
      <c r="D86" s="752">
        <f>IF(D80=0,0,D59/D80)</f>
        <v>87709.635718891048</v>
      </c>
      <c r="E86" s="752">
        <f>IF(E80=0,0,E59/E80)</f>
        <v>90482.962466487937</v>
      </c>
    </row>
    <row r="87" spans="1:5" ht="26.1" customHeight="1" x14ac:dyDescent="0.25">
      <c r="A87" s="742">
        <v>2</v>
      </c>
      <c r="B87" s="743" t="s">
        <v>987</v>
      </c>
      <c r="C87" s="752">
        <f>IF(C80=0,0,C60/C80)</f>
        <v>31650.165363800359</v>
      </c>
      <c r="D87" s="752">
        <f>IF(D80=0,0,D60/D80)</f>
        <v>27364.474532559641</v>
      </c>
      <c r="E87" s="752">
        <f>IF(E80=0,0,E60/E80)</f>
        <v>24682.56032171582</v>
      </c>
    </row>
    <row r="88" spans="1:5" ht="26.1" customHeight="1" x14ac:dyDescent="0.25">
      <c r="A88" s="753">
        <v>3</v>
      </c>
      <c r="B88" s="754" t="s">
        <v>988</v>
      </c>
      <c r="C88" s="755">
        <f>+C86+C87</f>
        <v>117218.90559230307</v>
      </c>
      <c r="D88" s="755">
        <f>+D86+D87</f>
        <v>115074.11025145069</v>
      </c>
      <c r="E88" s="755">
        <f>+E86+E87</f>
        <v>115165.52278820376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989</v>
      </c>
    </row>
    <row r="91" spans="1:5" ht="26.1" customHeight="1" x14ac:dyDescent="0.25">
      <c r="A91" s="742">
        <v>1</v>
      </c>
      <c r="B91" s="743" t="s">
        <v>990</v>
      </c>
      <c r="C91" s="744">
        <f>IF(C81=0,0,C64/C81)</f>
        <v>171310.02283105024</v>
      </c>
      <c r="D91" s="744">
        <f>IF(D81=0,0,D64/D81)</f>
        <v>177111.43176733781</v>
      </c>
      <c r="E91" s="744">
        <f>IF(E81=0,0,E64/E81)</f>
        <v>180220.87719298244</v>
      </c>
    </row>
    <row r="92" spans="1:5" ht="26.1" customHeight="1" x14ac:dyDescent="0.25">
      <c r="A92" s="742">
        <v>2</v>
      </c>
      <c r="B92" s="743" t="s">
        <v>991</v>
      </c>
      <c r="C92" s="744">
        <f>IF(C81=0,0,C65/C81)</f>
        <v>46233.127853881284</v>
      </c>
      <c r="D92" s="744">
        <f>IF(D81=0,0,D65/D81)</f>
        <v>36530.067114093959</v>
      </c>
      <c r="E92" s="744">
        <f>IF(E81=0,0,E65/E81)</f>
        <v>31070.855263157893</v>
      </c>
    </row>
    <row r="93" spans="1:5" ht="26.1" customHeight="1" x14ac:dyDescent="0.25">
      <c r="A93" s="753">
        <v>3</v>
      </c>
      <c r="B93" s="754" t="s">
        <v>992</v>
      </c>
      <c r="C93" s="757">
        <f>+C91+C92</f>
        <v>217543.15068493152</v>
      </c>
      <c r="D93" s="757">
        <f>+D91+D92</f>
        <v>213641.49888143176</v>
      </c>
      <c r="E93" s="757">
        <f>+E91+E92</f>
        <v>211291.73245614034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993</v>
      </c>
      <c r="B95" s="745" t="s">
        <v>994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995</v>
      </c>
      <c r="C96" s="752">
        <f>IF(C82=0,0,C69/C82)</f>
        <v>58943.258625774106</v>
      </c>
      <c r="D96" s="752">
        <f>IF(D82=0,0,D69/D82)</f>
        <v>59615.819964349372</v>
      </c>
      <c r="E96" s="752">
        <f>IF(E82=0,0,E69/E82)</f>
        <v>55751.92475375424</v>
      </c>
    </row>
    <row r="97" spans="1:5" ht="26.1" customHeight="1" x14ac:dyDescent="0.25">
      <c r="A97" s="742">
        <v>2</v>
      </c>
      <c r="B97" s="743" t="s">
        <v>996</v>
      </c>
      <c r="C97" s="752">
        <f>IF(C82=0,0,C70/C82)</f>
        <v>22909.166912415214</v>
      </c>
      <c r="D97" s="752">
        <f>IF(D82=0,0,D70/D82)</f>
        <v>18610.313428401663</v>
      </c>
      <c r="E97" s="752">
        <f>IF(E82=0,0,E70/E82)</f>
        <v>17553.221378976265</v>
      </c>
    </row>
    <row r="98" spans="1:5" ht="26.1" customHeight="1" x14ac:dyDescent="0.25">
      <c r="A98" s="753">
        <v>3</v>
      </c>
      <c r="B98" s="754" t="s">
        <v>997</v>
      </c>
      <c r="C98" s="757">
        <f>+C96+C97</f>
        <v>81852.425538189316</v>
      </c>
      <c r="D98" s="757">
        <f>+D96+D97</f>
        <v>78226.133392751042</v>
      </c>
      <c r="E98" s="757">
        <f>+E96+E97</f>
        <v>73305.146132730501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998</v>
      </c>
      <c r="B100" s="745" t="s">
        <v>999</v>
      </c>
    </row>
    <row r="101" spans="1:5" ht="26.1" customHeight="1" x14ac:dyDescent="0.25">
      <c r="A101" s="742">
        <v>1</v>
      </c>
      <c r="B101" s="743" t="s">
        <v>1000</v>
      </c>
      <c r="C101" s="744">
        <f>IF(C83=0,0,C75/C83)</f>
        <v>72007.263417409442</v>
      </c>
      <c r="D101" s="744">
        <f>IF(D83=0,0,D75/D83)</f>
        <v>73200.83649450443</v>
      </c>
      <c r="E101" s="744">
        <f>IF(E83=0,0,E75/E83)</f>
        <v>72402.527769126958</v>
      </c>
    </row>
    <row r="102" spans="1:5" ht="26.1" customHeight="1" x14ac:dyDescent="0.25">
      <c r="A102" s="742">
        <v>2</v>
      </c>
      <c r="B102" s="743" t="s">
        <v>1001</v>
      </c>
      <c r="C102" s="761">
        <f>IF(C83=0,0,C76/C83)</f>
        <v>26634.60364119097</v>
      </c>
      <c r="D102" s="761">
        <f>IF(D83=0,0,D76/D83)</f>
        <v>22030.752845053987</v>
      </c>
      <c r="E102" s="761">
        <f>IF(E83=0,0,E76/E83)</f>
        <v>20401.554033011525</v>
      </c>
    </row>
    <row r="103" spans="1:5" ht="26.1" customHeight="1" x14ac:dyDescent="0.25">
      <c r="A103" s="753">
        <v>3</v>
      </c>
      <c r="B103" s="754" t="s">
        <v>999</v>
      </c>
      <c r="C103" s="757">
        <f>+C101+C102</f>
        <v>98641.867058600415</v>
      </c>
      <c r="D103" s="757">
        <f>+D101+D102</f>
        <v>95231.589339558413</v>
      </c>
      <c r="E103" s="757">
        <f>+E101+E102</f>
        <v>92804.081802138477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1002</v>
      </c>
      <c r="B107" s="736" t="s">
        <v>1003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1004</v>
      </c>
      <c r="C108" s="744">
        <f>IF(C19=0,0,C77/C19)</f>
        <v>2445.9843169527394</v>
      </c>
      <c r="D108" s="744">
        <f>IF(D19=0,0,D77/D19)</f>
        <v>2336.8083679411907</v>
      </c>
      <c r="E108" s="744">
        <f>IF(E19=0,0,E77/E19)</f>
        <v>2263.7033323204701</v>
      </c>
    </row>
    <row r="109" spans="1:5" ht="26.1" customHeight="1" x14ac:dyDescent="0.25">
      <c r="A109" s="742">
        <v>2</v>
      </c>
      <c r="B109" s="743" t="s">
        <v>1005</v>
      </c>
      <c r="C109" s="744">
        <f>IF(C20=0,0,C77/C20)</f>
        <v>10070.446563407551</v>
      </c>
      <c r="D109" s="744">
        <f>IF(D20=0,0,D77/D20)</f>
        <v>9942.8858535594591</v>
      </c>
      <c r="E109" s="744">
        <f>IF(E20=0,0,E77/E20)</f>
        <v>9629.2731581214994</v>
      </c>
    </row>
    <row r="110" spans="1:5" ht="26.1" customHeight="1" x14ac:dyDescent="0.25">
      <c r="A110" s="742">
        <v>3</v>
      </c>
      <c r="B110" s="743" t="s">
        <v>1006</v>
      </c>
      <c r="C110" s="744">
        <f>IF(C22=0,0,C77/C22)</f>
        <v>1081.3411740617896</v>
      </c>
      <c r="D110" s="744">
        <f>IF(D22=0,0,D77/D22)</f>
        <v>1015.8188846457012</v>
      </c>
      <c r="E110" s="744">
        <f>IF(E22=0,0,E77/E22)</f>
        <v>943.05570613822442</v>
      </c>
    </row>
    <row r="111" spans="1:5" ht="26.1" customHeight="1" x14ac:dyDescent="0.25">
      <c r="A111" s="742">
        <v>4</v>
      </c>
      <c r="B111" s="743" t="s">
        <v>1007</v>
      </c>
      <c r="C111" s="744">
        <f>IF(C23=0,0,C77/C23)</f>
        <v>4452.027118378307</v>
      </c>
      <c r="D111" s="744">
        <f>IF(D23=0,0,D77/D23)</f>
        <v>4322.2077413309216</v>
      </c>
      <c r="E111" s="744">
        <f>IF(E23=0,0,E77/E23)</f>
        <v>4011.5420020261481</v>
      </c>
    </row>
    <row r="112" spans="1:5" ht="26.1" customHeight="1" x14ac:dyDescent="0.25">
      <c r="A112" s="742">
        <v>5</v>
      </c>
      <c r="B112" s="743" t="s">
        <v>1008</v>
      </c>
      <c r="C112" s="744">
        <f>IF(C29=0,0,C77/C29)</f>
        <v>900.16778576732759</v>
      </c>
      <c r="D112" s="744">
        <f>IF(D29=0,0,D77/D29)</f>
        <v>789.59619306669128</v>
      </c>
      <c r="E112" s="744">
        <f>IF(E29=0,0,E77/E29)</f>
        <v>710.83041884230454</v>
      </c>
    </row>
    <row r="113" spans="1:7" ht="25.5" customHeight="1" x14ac:dyDescent="0.25">
      <c r="A113" s="742">
        <v>6</v>
      </c>
      <c r="B113" s="743" t="s">
        <v>1009</v>
      </c>
      <c r="C113" s="744">
        <f>IF(C30=0,0,C77/C30)</f>
        <v>3706.1119001630632</v>
      </c>
      <c r="D113" s="744">
        <f>IF(D30=0,0,D77/D30)</f>
        <v>3359.6528178235226</v>
      </c>
      <c r="E113" s="744">
        <f>IF(E30=0,0,E77/E30)</f>
        <v>3023.7090586945592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paperSize="9" scale="65" fitToHeight="5" orientation="portrait" horizontalDpi="1200" verticalDpi="1200" r:id="rId1"/>
  <headerFooter>
    <oddHeader>&amp;L&amp;"Arial,Bold"&amp;12OFFICE OF HEALTH CARE ACCESS&amp;C&amp;"Arial,Bold"&amp;12TWELVE MONTHS ACTUAL FILING&amp;R&amp;"Arial,Bold"&amp;12MIDSTATE MEDICAL CENTER</oddHeader>
    <oddFooter>&amp;L&amp;"Arial,Bold"&amp;12REPORT 700&amp;C&amp;"Arial,Bold"&amp;12PAGE &amp;P of &amp;N&amp;R&amp;"Arial,Bold"&amp;12&amp;D,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505047658</v>
      </c>
      <c r="D12" s="76">
        <v>543429524</v>
      </c>
      <c r="E12" s="76">
        <f t="shared" ref="E12:E21" si="0">D12-C12</f>
        <v>38381866</v>
      </c>
      <c r="F12" s="77">
        <f t="shared" ref="F12:F21" si="1">IF(C12=0,0,E12/C12)</f>
        <v>7.5996523084560078E-2</v>
      </c>
    </row>
    <row r="13" spans="1:8" ht="23.1" customHeight="1" x14ac:dyDescent="0.2">
      <c r="A13" s="74">
        <v>2</v>
      </c>
      <c r="B13" s="75" t="s">
        <v>72</v>
      </c>
      <c r="C13" s="76">
        <v>277904920</v>
      </c>
      <c r="D13" s="76">
        <v>309787045</v>
      </c>
      <c r="E13" s="76">
        <f t="shared" si="0"/>
        <v>31882125</v>
      </c>
      <c r="F13" s="77">
        <f t="shared" si="1"/>
        <v>0.11472313984221653</v>
      </c>
    </row>
    <row r="14" spans="1:8" ht="23.1" customHeight="1" x14ac:dyDescent="0.2">
      <c r="A14" s="74">
        <v>3</v>
      </c>
      <c r="B14" s="75" t="s">
        <v>73</v>
      </c>
      <c r="C14" s="76">
        <v>7131143</v>
      </c>
      <c r="D14" s="76">
        <v>8125010</v>
      </c>
      <c r="E14" s="76">
        <f t="shared" si="0"/>
        <v>993867</v>
      </c>
      <c r="F14" s="77">
        <f t="shared" si="1"/>
        <v>0.13936994392063096</v>
      </c>
    </row>
    <row r="15" spans="1:8" ht="23.1" customHeight="1" x14ac:dyDescent="0.2">
      <c r="A15" s="74">
        <v>4</v>
      </c>
      <c r="B15" s="75" t="s">
        <v>74</v>
      </c>
      <c r="C15" s="76">
        <v>0</v>
      </c>
      <c r="D15" s="76">
        <v>0</v>
      </c>
      <c r="E15" s="76">
        <f t="shared" si="0"/>
        <v>0</v>
      </c>
      <c r="F15" s="77">
        <f t="shared" si="1"/>
        <v>0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220011595</v>
      </c>
      <c r="D16" s="79">
        <f>D12-D13-D14-D15</f>
        <v>225517469</v>
      </c>
      <c r="E16" s="79">
        <f t="shared" si="0"/>
        <v>5505874</v>
      </c>
      <c r="F16" s="80">
        <f t="shared" si="1"/>
        <v>2.5025381048667004E-2</v>
      </c>
    </row>
    <row r="17" spans="1:7" ht="23.1" customHeight="1" x14ac:dyDescent="0.2">
      <c r="A17" s="74">
        <v>5</v>
      </c>
      <c r="B17" s="75" t="s">
        <v>76</v>
      </c>
      <c r="C17" s="76">
        <v>2265391</v>
      </c>
      <c r="D17" s="76">
        <v>6385283</v>
      </c>
      <c r="E17" s="76">
        <f t="shared" si="0"/>
        <v>4119892</v>
      </c>
      <c r="F17" s="77">
        <f t="shared" si="1"/>
        <v>1.8186229220474524</v>
      </c>
      <c r="G17" s="65"/>
    </row>
    <row r="18" spans="1:7" ht="31.5" customHeight="1" x14ac:dyDescent="0.25">
      <c r="A18" s="71"/>
      <c r="B18" s="81" t="s">
        <v>77</v>
      </c>
      <c r="C18" s="79">
        <f>C16-C17</f>
        <v>217746204</v>
      </c>
      <c r="D18" s="79">
        <f>D16-D17</f>
        <v>219132186</v>
      </c>
      <c r="E18" s="79">
        <f t="shared" si="0"/>
        <v>1385982</v>
      </c>
      <c r="F18" s="80">
        <f t="shared" si="1"/>
        <v>6.3651258875677113E-3</v>
      </c>
    </row>
    <row r="19" spans="1:7" ht="23.1" customHeight="1" x14ac:dyDescent="0.2">
      <c r="A19" s="74">
        <v>6</v>
      </c>
      <c r="B19" s="75" t="s">
        <v>78</v>
      </c>
      <c r="C19" s="76">
        <v>8871000</v>
      </c>
      <c r="D19" s="76">
        <v>8274793</v>
      </c>
      <c r="E19" s="76">
        <f t="shared" si="0"/>
        <v>-596207</v>
      </c>
      <c r="F19" s="77">
        <f t="shared" si="1"/>
        <v>-6.7208544696201106E-2</v>
      </c>
      <c r="G19" s="65"/>
    </row>
    <row r="20" spans="1:7" ht="33" customHeight="1" x14ac:dyDescent="0.2">
      <c r="A20" s="74">
        <v>7</v>
      </c>
      <c r="B20" s="82" t="s">
        <v>79</v>
      </c>
      <c r="C20" s="76">
        <v>245321</v>
      </c>
      <c r="D20" s="76">
        <v>322248</v>
      </c>
      <c r="E20" s="76">
        <f t="shared" si="0"/>
        <v>76927</v>
      </c>
      <c r="F20" s="77">
        <f t="shared" si="1"/>
        <v>0.31357690536073146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226862525</v>
      </c>
      <c r="D21" s="79">
        <f>SUM(D18:D20)</f>
        <v>227729227</v>
      </c>
      <c r="E21" s="79">
        <f t="shared" si="0"/>
        <v>866702</v>
      </c>
      <c r="F21" s="80">
        <f t="shared" si="1"/>
        <v>3.8203841731903497E-3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75257780</v>
      </c>
      <c r="D24" s="76">
        <v>69745355</v>
      </c>
      <c r="E24" s="76">
        <f t="shared" ref="E24:E33" si="2">D24-C24</f>
        <v>-5512425</v>
      </c>
      <c r="F24" s="77">
        <f t="shared" ref="F24:F33" si="3">IF(C24=0,0,E24/C24)</f>
        <v>-7.3247244338060458E-2</v>
      </c>
    </row>
    <row r="25" spans="1:7" ht="23.1" customHeight="1" x14ac:dyDescent="0.2">
      <c r="A25" s="74">
        <v>2</v>
      </c>
      <c r="B25" s="75" t="s">
        <v>83</v>
      </c>
      <c r="C25" s="76">
        <v>22649817</v>
      </c>
      <c r="D25" s="76">
        <v>19652817</v>
      </c>
      <c r="E25" s="76">
        <f t="shared" si="2"/>
        <v>-2997000</v>
      </c>
      <c r="F25" s="77">
        <f t="shared" si="3"/>
        <v>-0.13231894986171411</v>
      </c>
    </row>
    <row r="26" spans="1:7" ht="23.1" customHeight="1" x14ac:dyDescent="0.2">
      <c r="A26" s="74">
        <v>3</v>
      </c>
      <c r="B26" s="75" t="s">
        <v>84</v>
      </c>
      <c r="C26" s="76">
        <v>3631661</v>
      </c>
      <c r="D26" s="76">
        <v>3834533</v>
      </c>
      <c r="E26" s="76">
        <f t="shared" si="2"/>
        <v>202872</v>
      </c>
      <c r="F26" s="77">
        <f t="shared" si="3"/>
        <v>5.5862042189510533E-2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31535293</v>
      </c>
      <c r="D27" s="76">
        <v>32858794</v>
      </c>
      <c r="E27" s="76">
        <f t="shared" si="2"/>
        <v>1323501</v>
      </c>
      <c r="F27" s="77">
        <f t="shared" si="3"/>
        <v>4.1968882293245219E-2</v>
      </c>
    </row>
    <row r="28" spans="1:7" ht="23.1" customHeight="1" x14ac:dyDescent="0.2">
      <c r="A28" s="74">
        <v>5</v>
      </c>
      <c r="B28" s="75" t="s">
        <v>86</v>
      </c>
      <c r="C28" s="76">
        <v>13104256</v>
      </c>
      <c r="D28" s="76">
        <v>12906996</v>
      </c>
      <c r="E28" s="76">
        <f t="shared" si="2"/>
        <v>-197260</v>
      </c>
      <c r="F28" s="77">
        <f t="shared" si="3"/>
        <v>-1.5053124725280092E-2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3987276</v>
      </c>
      <c r="D30" s="76">
        <v>3992280</v>
      </c>
      <c r="E30" s="76">
        <f t="shared" si="2"/>
        <v>5004</v>
      </c>
      <c r="F30" s="77">
        <f t="shared" si="3"/>
        <v>1.2549921299654201E-3</v>
      </c>
    </row>
    <row r="31" spans="1:7" ht="23.1" customHeight="1" x14ac:dyDescent="0.2">
      <c r="A31" s="74">
        <v>8</v>
      </c>
      <c r="B31" s="75" t="s">
        <v>89</v>
      </c>
      <c r="C31" s="76">
        <v>2356019</v>
      </c>
      <c r="D31" s="76">
        <v>2753277</v>
      </c>
      <c r="E31" s="76">
        <f t="shared" si="2"/>
        <v>397258</v>
      </c>
      <c r="F31" s="77">
        <f t="shared" si="3"/>
        <v>0.16861409012406098</v>
      </c>
    </row>
    <row r="32" spans="1:7" ht="23.1" customHeight="1" x14ac:dyDescent="0.2">
      <c r="A32" s="74">
        <v>9</v>
      </c>
      <c r="B32" s="75" t="s">
        <v>90</v>
      </c>
      <c r="C32" s="76">
        <v>57998046</v>
      </c>
      <c r="D32" s="76">
        <v>63048599</v>
      </c>
      <c r="E32" s="76">
        <f t="shared" si="2"/>
        <v>5050553</v>
      </c>
      <c r="F32" s="77">
        <f t="shared" si="3"/>
        <v>8.708143374347474E-2</v>
      </c>
    </row>
    <row r="33" spans="1:6" ht="23.1" customHeight="1" x14ac:dyDescent="0.25">
      <c r="A33" s="71"/>
      <c r="B33" s="78" t="s">
        <v>91</v>
      </c>
      <c r="C33" s="79">
        <f>SUM(C24:C32)</f>
        <v>210520148</v>
      </c>
      <c r="D33" s="79">
        <f>SUM(D24:D32)</f>
        <v>208792651</v>
      </c>
      <c r="E33" s="79">
        <f t="shared" si="2"/>
        <v>-1727497</v>
      </c>
      <c r="F33" s="80">
        <f t="shared" si="3"/>
        <v>-8.2058511568213408E-3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16342377</v>
      </c>
      <c r="D35" s="79">
        <f>+D21-D33</f>
        <v>18936576</v>
      </c>
      <c r="E35" s="79">
        <f>D35-C35</f>
        <v>2594199</v>
      </c>
      <c r="F35" s="80">
        <f>IF(C35=0,0,E35/C35)</f>
        <v>0.15874061649660878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51290</v>
      </c>
      <c r="D38" s="76">
        <v>17066</v>
      </c>
      <c r="E38" s="76">
        <f>D38-C38</f>
        <v>-34224</v>
      </c>
      <c r="F38" s="77">
        <f>IF(C38=0,0,E38/C38)</f>
        <v>-0.66726457399103134</v>
      </c>
    </row>
    <row r="39" spans="1:6" ht="23.1" customHeight="1" x14ac:dyDescent="0.2">
      <c r="A39" s="85">
        <v>2</v>
      </c>
      <c r="B39" s="75" t="s">
        <v>95</v>
      </c>
      <c r="C39" s="76">
        <v>0</v>
      </c>
      <c r="D39" s="76">
        <v>0</v>
      </c>
      <c r="E39" s="76">
        <f>D39-C39</f>
        <v>0</v>
      </c>
      <c r="F39" s="77">
        <f>IF(C39=0,0,E39/C39)</f>
        <v>0</v>
      </c>
    </row>
    <row r="40" spans="1:6" ht="23.1" customHeight="1" x14ac:dyDescent="0.2">
      <c r="A40" s="85">
        <v>3</v>
      </c>
      <c r="B40" s="75" t="s">
        <v>96</v>
      </c>
      <c r="C40" s="76">
        <v>4886057</v>
      </c>
      <c r="D40" s="76">
        <v>3854108</v>
      </c>
      <c r="E40" s="76">
        <f>D40-C40</f>
        <v>-1031949</v>
      </c>
      <c r="F40" s="77">
        <f>IF(C40=0,0,E40/C40)</f>
        <v>-0.21120281650418732</v>
      </c>
    </row>
    <row r="41" spans="1:6" ht="23.1" customHeight="1" x14ac:dyDescent="0.25">
      <c r="A41" s="83"/>
      <c r="B41" s="78" t="s">
        <v>97</v>
      </c>
      <c r="C41" s="79">
        <f>SUM(C38:C40)</f>
        <v>4937347</v>
      </c>
      <c r="D41" s="79">
        <f>SUM(D38:D40)</f>
        <v>3871174</v>
      </c>
      <c r="E41" s="79">
        <f>D41-C41</f>
        <v>-1066173</v>
      </c>
      <c r="F41" s="80">
        <f>IF(C41=0,0,E41/C41)</f>
        <v>-0.21594046357284591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21279724</v>
      </c>
      <c r="D43" s="79">
        <f>D35+D41</f>
        <v>22807750</v>
      </c>
      <c r="E43" s="79">
        <f>D43-C43</f>
        <v>1528026</v>
      </c>
      <c r="F43" s="80">
        <f>IF(C43=0,0,E43/C43)</f>
        <v>7.1806664409745161E-2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-1295573</v>
      </c>
      <c r="D46" s="76">
        <v>0</v>
      </c>
      <c r="E46" s="76">
        <f>D46-C46</f>
        <v>1295573</v>
      </c>
      <c r="F46" s="77">
        <f>IF(C46=0,0,E46/C46)</f>
        <v>-1</v>
      </c>
    </row>
    <row r="47" spans="1:6" ht="23.1" customHeight="1" x14ac:dyDescent="0.2">
      <c r="A47" s="85"/>
      <c r="B47" s="75" t="s">
        <v>101</v>
      </c>
      <c r="C47" s="76">
        <v>586303</v>
      </c>
      <c r="D47" s="76">
        <v>-723879</v>
      </c>
      <c r="E47" s="76">
        <f>D47-C47</f>
        <v>-1310182</v>
      </c>
      <c r="F47" s="77">
        <f>IF(C47=0,0,E47/C47)</f>
        <v>-2.2346500017908828</v>
      </c>
    </row>
    <row r="48" spans="1:6" ht="23.1" customHeight="1" x14ac:dyDescent="0.25">
      <c r="A48" s="83"/>
      <c r="B48" s="78" t="s">
        <v>102</v>
      </c>
      <c r="C48" s="79">
        <f>SUM(C46:C47)</f>
        <v>-709270</v>
      </c>
      <c r="D48" s="79">
        <f>SUM(D46:D47)</f>
        <v>-723879</v>
      </c>
      <c r="E48" s="79">
        <f>D48-C48</f>
        <v>-14609</v>
      </c>
      <c r="F48" s="80">
        <f>IF(C48=0,0,E48/C48)</f>
        <v>2.0597233775572068E-2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20570454</v>
      </c>
      <c r="D50" s="79">
        <f>D43+D48</f>
        <v>22083871</v>
      </c>
      <c r="E50" s="79">
        <f>D50-C50</f>
        <v>1513417</v>
      </c>
      <c r="F50" s="80">
        <f>IF(C50=0,0,E50/C50)</f>
        <v>7.3572367435351699E-2</v>
      </c>
    </row>
    <row r="51" spans="1:6" ht="23.1" customHeight="1" x14ac:dyDescent="0.2">
      <c r="A51" s="85"/>
      <c r="B51" s="75" t="s">
        <v>104</v>
      </c>
      <c r="C51" s="76">
        <v>255545</v>
      </c>
      <c r="D51" s="76">
        <v>955854</v>
      </c>
      <c r="E51" s="76">
        <f>D51-C51</f>
        <v>700309</v>
      </c>
      <c r="F51" s="77">
        <f>IF(C51=0,0,E51/C51)</f>
        <v>2.7404527578313016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72" fitToHeight="0" orientation="portrait" horizontalDpi="1200" verticalDpi="1200" r:id="rId1"/>
  <headerFooter>
    <oddHeader>&amp;LOFFICE OF HEALTH CARE ACCESS&amp;CTWELVE MONTHS ACTUAL FILING&amp;RMIDSTATE MEDICAL CENTER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zoomScale="75" workbookViewId="0">
      <selection activeCell="D93" sqref="D93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79" t="s">
        <v>0</v>
      </c>
      <c r="B2" s="779"/>
      <c r="C2" s="779"/>
      <c r="D2" s="779"/>
      <c r="E2" s="779"/>
      <c r="F2" s="779"/>
    </row>
    <row r="3" spans="1:6" ht="15.75" customHeight="1" x14ac:dyDescent="0.25">
      <c r="A3" s="779" t="s">
        <v>1</v>
      </c>
      <c r="B3" s="779"/>
      <c r="C3" s="779"/>
      <c r="D3" s="779"/>
      <c r="E3" s="779"/>
      <c r="F3" s="779"/>
    </row>
    <row r="4" spans="1:6" ht="15.75" customHeight="1" x14ac:dyDescent="0.25">
      <c r="A4" s="779" t="s">
        <v>2</v>
      </c>
      <c r="B4" s="779"/>
      <c r="C4" s="779"/>
      <c r="D4" s="779"/>
      <c r="E4" s="779"/>
      <c r="F4" s="779"/>
    </row>
    <row r="5" spans="1:6" ht="15.75" customHeight="1" x14ac:dyDescent="0.25">
      <c r="A5" s="779" t="s">
        <v>105</v>
      </c>
      <c r="B5" s="779"/>
      <c r="C5" s="779"/>
      <c r="D5" s="779"/>
      <c r="E5" s="779"/>
      <c r="F5" s="77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80"/>
      <c r="D9" s="781"/>
      <c r="E9" s="781"/>
      <c r="F9" s="782"/>
    </row>
    <row r="10" spans="1:6" x14ac:dyDescent="0.2">
      <c r="A10" s="769" t="s">
        <v>12</v>
      </c>
      <c r="B10" s="771" t="s">
        <v>111</v>
      </c>
      <c r="C10" s="773"/>
      <c r="D10" s="774"/>
      <c r="E10" s="774"/>
      <c r="F10" s="775"/>
    </row>
    <row r="11" spans="1:6" x14ac:dyDescent="0.2">
      <c r="A11" s="770"/>
      <c r="B11" s="772"/>
      <c r="C11" s="776"/>
      <c r="D11" s="777"/>
      <c r="E11" s="777"/>
      <c r="F11" s="778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100322769</v>
      </c>
      <c r="D14" s="113">
        <v>99307055</v>
      </c>
      <c r="E14" s="113">
        <f t="shared" ref="E14:E25" si="0">D14-C14</f>
        <v>-1015714</v>
      </c>
      <c r="F14" s="114">
        <f t="shared" ref="F14:F25" si="1">IF(C14=0,0,E14/C14)</f>
        <v>-1.0124461377257241E-2</v>
      </c>
    </row>
    <row r="15" spans="1:6" x14ac:dyDescent="0.2">
      <c r="A15" s="115">
        <v>2</v>
      </c>
      <c r="B15" s="116" t="s">
        <v>114</v>
      </c>
      <c r="C15" s="113">
        <v>29868404</v>
      </c>
      <c r="D15" s="113">
        <v>33861421</v>
      </c>
      <c r="E15" s="113">
        <f t="shared" si="0"/>
        <v>3993017</v>
      </c>
      <c r="F15" s="114">
        <f t="shared" si="1"/>
        <v>0.13368698910058938</v>
      </c>
    </row>
    <row r="16" spans="1:6" x14ac:dyDescent="0.2">
      <c r="A16" s="115">
        <v>3</v>
      </c>
      <c r="B16" s="116" t="s">
        <v>115</v>
      </c>
      <c r="C16" s="113">
        <v>36142007</v>
      </c>
      <c r="D16" s="113">
        <v>40223929</v>
      </c>
      <c r="E16" s="113">
        <f t="shared" si="0"/>
        <v>4081922</v>
      </c>
      <c r="F16" s="114">
        <f t="shared" si="1"/>
        <v>0.11294120993336092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291509</v>
      </c>
      <c r="D18" s="113">
        <v>106532</v>
      </c>
      <c r="E18" s="113">
        <f t="shared" si="0"/>
        <v>-184977</v>
      </c>
      <c r="F18" s="114">
        <f t="shared" si="1"/>
        <v>-0.63454987667619178</v>
      </c>
    </row>
    <row r="19" spans="1:6" x14ac:dyDescent="0.2">
      <c r="A19" s="115">
        <v>6</v>
      </c>
      <c r="B19" s="116" t="s">
        <v>118</v>
      </c>
      <c r="C19" s="113">
        <v>2625959</v>
      </c>
      <c r="D19" s="113">
        <v>2033161</v>
      </c>
      <c r="E19" s="113">
        <f t="shared" si="0"/>
        <v>-592798</v>
      </c>
      <c r="F19" s="114">
        <f t="shared" si="1"/>
        <v>-0.22574533722727583</v>
      </c>
    </row>
    <row r="20" spans="1:6" x14ac:dyDescent="0.2">
      <c r="A20" s="115">
        <v>7</v>
      </c>
      <c r="B20" s="116" t="s">
        <v>119</v>
      </c>
      <c r="C20" s="113">
        <v>44753224</v>
      </c>
      <c r="D20" s="113">
        <v>47276274</v>
      </c>
      <c r="E20" s="113">
        <f t="shared" si="0"/>
        <v>2523050</v>
      </c>
      <c r="F20" s="114">
        <f t="shared" si="1"/>
        <v>5.6376943926989484E-2</v>
      </c>
    </row>
    <row r="21" spans="1:6" x14ac:dyDescent="0.2">
      <c r="A21" s="115">
        <v>8</v>
      </c>
      <c r="B21" s="116" t="s">
        <v>120</v>
      </c>
      <c r="C21" s="113">
        <v>1090524</v>
      </c>
      <c r="D21" s="113">
        <v>1007372</v>
      </c>
      <c r="E21" s="113">
        <f t="shared" si="0"/>
        <v>-83152</v>
      </c>
      <c r="F21" s="114">
        <f t="shared" si="1"/>
        <v>-7.6249582769384261E-2</v>
      </c>
    </row>
    <row r="22" spans="1:6" x14ac:dyDescent="0.2">
      <c r="A22" s="115">
        <v>9</v>
      </c>
      <c r="B22" s="116" t="s">
        <v>121</v>
      </c>
      <c r="C22" s="113">
        <v>4451612</v>
      </c>
      <c r="D22" s="113">
        <v>2576251</v>
      </c>
      <c r="E22" s="113">
        <f t="shared" si="0"/>
        <v>-1875361</v>
      </c>
      <c r="F22" s="114">
        <f t="shared" si="1"/>
        <v>-0.42127683185327025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0</v>
      </c>
      <c r="D24" s="113">
        <v>0</v>
      </c>
      <c r="E24" s="113">
        <f t="shared" si="0"/>
        <v>0</v>
      </c>
      <c r="F24" s="114">
        <f t="shared" si="1"/>
        <v>0</v>
      </c>
    </row>
    <row r="25" spans="1:6" ht="15.75" x14ac:dyDescent="0.25">
      <c r="A25" s="117"/>
      <c r="B25" s="118" t="s">
        <v>124</v>
      </c>
      <c r="C25" s="119">
        <f>SUM(C14:C24)</f>
        <v>219546008</v>
      </c>
      <c r="D25" s="119">
        <f>SUM(D14:D24)</f>
        <v>226391995</v>
      </c>
      <c r="E25" s="119">
        <f t="shared" si="0"/>
        <v>6845987</v>
      </c>
      <c r="F25" s="120">
        <f t="shared" si="1"/>
        <v>3.1182470874168661E-2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70829456</v>
      </c>
      <c r="D27" s="113">
        <v>77323593</v>
      </c>
      <c r="E27" s="113">
        <f t="shared" ref="E27:E38" si="2">D27-C27</f>
        <v>6494137</v>
      </c>
      <c r="F27" s="114">
        <f t="shared" ref="F27:F38" si="3">IF(C27=0,0,E27/C27)</f>
        <v>9.1686952953584741E-2</v>
      </c>
    </row>
    <row r="28" spans="1:6" x14ac:dyDescent="0.2">
      <c r="A28" s="115">
        <v>2</v>
      </c>
      <c r="B28" s="116" t="s">
        <v>114</v>
      </c>
      <c r="C28" s="113">
        <v>26050244</v>
      </c>
      <c r="D28" s="113">
        <v>32585129</v>
      </c>
      <c r="E28" s="113">
        <f t="shared" si="2"/>
        <v>6534885</v>
      </c>
      <c r="F28" s="114">
        <f t="shared" si="3"/>
        <v>0.25085695934364377</v>
      </c>
    </row>
    <row r="29" spans="1:6" x14ac:dyDescent="0.2">
      <c r="A29" s="115">
        <v>3</v>
      </c>
      <c r="B29" s="116" t="s">
        <v>115</v>
      </c>
      <c r="C29" s="113">
        <v>64876057</v>
      </c>
      <c r="D29" s="113">
        <v>78467175</v>
      </c>
      <c r="E29" s="113">
        <f t="shared" si="2"/>
        <v>13591118</v>
      </c>
      <c r="F29" s="114">
        <f t="shared" si="3"/>
        <v>0.20949358867478646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894335</v>
      </c>
      <c r="D31" s="113">
        <v>763906</v>
      </c>
      <c r="E31" s="113">
        <f t="shared" si="2"/>
        <v>-130429</v>
      </c>
      <c r="F31" s="114">
        <f t="shared" si="3"/>
        <v>-0.14583908714296098</v>
      </c>
    </row>
    <row r="32" spans="1:6" x14ac:dyDescent="0.2">
      <c r="A32" s="115">
        <v>6</v>
      </c>
      <c r="B32" s="116" t="s">
        <v>118</v>
      </c>
      <c r="C32" s="113">
        <v>3725589</v>
      </c>
      <c r="D32" s="113">
        <v>5437931</v>
      </c>
      <c r="E32" s="113">
        <f t="shared" si="2"/>
        <v>1712342</v>
      </c>
      <c r="F32" s="114">
        <f t="shared" si="3"/>
        <v>0.45961645259313361</v>
      </c>
    </row>
    <row r="33" spans="1:6" x14ac:dyDescent="0.2">
      <c r="A33" s="115">
        <v>7</v>
      </c>
      <c r="B33" s="116" t="s">
        <v>119</v>
      </c>
      <c r="C33" s="113">
        <v>107453867</v>
      </c>
      <c r="D33" s="113">
        <v>111555273</v>
      </c>
      <c r="E33" s="113">
        <f t="shared" si="2"/>
        <v>4101406</v>
      </c>
      <c r="F33" s="114">
        <f t="shared" si="3"/>
        <v>3.8168993955331548E-2</v>
      </c>
    </row>
    <row r="34" spans="1:6" x14ac:dyDescent="0.2">
      <c r="A34" s="115">
        <v>8</v>
      </c>
      <c r="B34" s="116" t="s">
        <v>120</v>
      </c>
      <c r="C34" s="113">
        <v>3623773</v>
      </c>
      <c r="D34" s="113">
        <v>4070092</v>
      </c>
      <c r="E34" s="113">
        <f t="shared" si="2"/>
        <v>446319</v>
      </c>
      <c r="F34" s="114">
        <f t="shared" si="3"/>
        <v>0.12316417170722338</v>
      </c>
    </row>
    <row r="35" spans="1:6" x14ac:dyDescent="0.2">
      <c r="A35" s="115">
        <v>9</v>
      </c>
      <c r="B35" s="116" t="s">
        <v>121</v>
      </c>
      <c r="C35" s="113">
        <v>8048329</v>
      </c>
      <c r="D35" s="113">
        <v>6834430</v>
      </c>
      <c r="E35" s="113">
        <f t="shared" si="2"/>
        <v>-1213899</v>
      </c>
      <c r="F35" s="114">
        <f t="shared" si="3"/>
        <v>-0.15082621498201676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0</v>
      </c>
      <c r="D37" s="113">
        <v>0</v>
      </c>
      <c r="E37" s="113">
        <f t="shared" si="2"/>
        <v>0</v>
      </c>
      <c r="F37" s="114">
        <f t="shared" si="3"/>
        <v>0</v>
      </c>
    </row>
    <row r="38" spans="1:6" ht="15.75" x14ac:dyDescent="0.25">
      <c r="A38" s="117"/>
      <c r="B38" s="118" t="s">
        <v>126</v>
      </c>
      <c r="C38" s="119">
        <f>SUM(C27:C37)</f>
        <v>285501650</v>
      </c>
      <c r="D38" s="119">
        <f>SUM(D27:D37)</f>
        <v>317037529</v>
      </c>
      <c r="E38" s="119">
        <f t="shared" si="2"/>
        <v>31535879</v>
      </c>
      <c r="F38" s="120">
        <f t="shared" si="3"/>
        <v>0.11045778194276636</v>
      </c>
    </row>
    <row r="39" spans="1:6" ht="15" customHeight="1" x14ac:dyDescent="0.2">
      <c r="A39" s="769" t="s">
        <v>127</v>
      </c>
      <c r="B39" s="771" t="s">
        <v>128</v>
      </c>
      <c r="C39" s="773"/>
      <c r="D39" s="774"/>
      <c r="E39" s="774"/>
      <c r="F39" s="775"/>
    </row>
    <row r="40" spans="1:6" ht="15" customHeight="1" x14ac:dyDescent="0.2">
      <c r="A40" s="770"/>
      <c r="B40" s="772"/>
      <c r="C40" s="776"/>
      <c r="D40" s="777"/>
      <c r="E40" s="777"/>
      <c r="F40" s="778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171152225</v>
      </c>
      <c r="D41" s="119">
        <f t="shared" si="4"/>
        <v>176630648</v>
      </c>
      <c r="E41" s="123">
        <f t="shared" ref="E41:E52" si="5">D41-C41</f>
        <v>5478423</v>
      </c>
      <c r="F41" s="124">
        <f t="shared" ref="F41:F52" si="6">IF(C41=0,0,E41/C41)</f>
        <v>3.2009066782508963E-2</v>
      </c>
    </row>
    <row r="42" spans="1:6" ht="15.75" x14ac:dyDescent="0.25">
      <c r="A42" s="121">
        <v>2</v>
      </c>
      <c r="B42" s="122" t="s">
        <v>114</v>
      </c>
      <c r="C42" s="119">
        <f t="shared" si="4"/>
        <v>55918648</v>
      </c>
      <c r="D42" s="119">
        <f t="shared" si="4"/>
        <v>66446550</v>
      </c>
      <c r="E42" s="123">
        <f t="shared" si="5"/>
        <v>10527902</v>
      </c>
      <c r="F42" s="124">
        <f t="shared" si="6"/>
        <v>0.18827175506818405</v>
      </c>
    </row>
    <row r="43" spans="1:6" ht="15.75" x14ac:dyDescent="0.25">
      <c r="A43" s="121">
        <v>3</v>
      </c>
      <c r="B43" s="122" t="s">
        <v>115</v>
      </c>
      <c r="C43" s="119">
        <f t="shared" si="4"/>
        <v>101018064</v>
      </c>
      <c r="D43" s="119">
        <f t="shared" si="4"/>
        <v>118691104</v>
      </c>
      <c r="E43" s="123">
        <f t="shared" si="5"/>
        <v>17673040</v>
      </c>
      <c r="F43" s="124">
        <f t="shared" si="6"/>
        <v>0.174949304116539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1185844</v>
      </c>
      <c r="D45" s="119">
        <f t="shared" si="4"/>
        <v>870438</v>
      </c>
      <c r="E45" s="123">
        <f t="shared" si="5"/>
        <v>-315406</v>
      </c>
      <c r="F45" s="124">
        <f t="shared" si="6"/>
        <v>-0.2659759631115054</v>
      </c>
    </row>
    <row r="46" spans="1:6" ht="15.75" x14ac:dyDescent="0.25">
      <c r="A46" s="121">
        <v>6</v>
      </c>
      <c r="B46" s="122" t="s">
        <v>118</v>
      </c>
      <c r="C46" s="119">
        <f t="shared" si="4"/>
        <v>6351548</v>
      </c>
      <c r="D46" s="119">
        <f t="shared" si="4"/>
        <v>7471092</v>
      </c>
      <c r="E46" s="123">
        <f t="shared" si="5"/>
        <v>1119544</v>
      </c>
      <c r="F46" s="124">
        <f t="shared" si="6"/>
        <v>0.17626317237939476</v>
      </c>
    </row>
    <row r="47" spans="1:6" ht="15.75" x14ac:dyDescent="0.25">
      <c r="A47" s="121">
        <v>7</v>
      </c>
      <c r="B47" s="122" t="s">
        <v>119</v>
      </c>
      <c r="C47" s="119">
        <f t="shared" si="4"/>
        <v>152207091</v>
      </c>
      <c r="D47" s="119">
        <f t="shared" si="4"/>
        <v>158831547</v>
      </c>
      <c r="E47" s="123">
        <f t="shared" si="5"/>
        <v>6624456</v>
      </c>
      <c r="F47" s="124">
        <f t="shared" si="6"/>
        <v>4.3522650334339545E-2</v>
      </c>
    </row>
    <row r="48" spans="1:6" ht="15.75" x14ac:dyDescent="0.25">
      <c r="A48" s="121">
        <v>8</v>
      </c>
      <c r="B48" s="122" t="s">
        <v>120</v>
      </c>
      <c r="C48" s="119">
        <f t="shared" si="4"/>
        <v>4714297</v>
      </c>
      <c r="D48" s="119">
        <f t="shared" si="4"/>
        <v>5077464</v>
      </c>
      <c r="E48" s="123">
        <f t="shared" si="5"/>
        <v>363167</v>
      </c>
      <c r="F48" s="124">
        <f t="shared" si="6"/>
        <v>7.7035239824728902E-2</v>
      </c>
    </row>
    <row r="49" spans="1:6" ht="15.75" x14ac:dyDescent="0.25">
      <c r="A49" s="121">
        <v>9</v>
      </c>
      <c r="B49" s="122" t="s">
        <v>121</v>
      </c>
      <c r="C49" s="119">
        <f t="shared" si="4"/>
        <v>12499941</v>
      </c>
      <c r="D49" s="119">
        <f t="shared" si="4"/>
        <v>9410681</v>
      </c>
      <c r="E49" s="123">
        <f t="shared" si="5"/>
        <v>-3089260</v>
      </c>
      <c r="F49" s="124">
        <f t="shared" si="6"/>
        <v>-0.24714196651008194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0</v>
      </c>
      <c r="D51" s="119">
        <f t="shared" si="4"/>
        <v>0</v>
      </c>
      <c r="E51" s="123">
        <f t="shared" si="5"/>
        <v>0</v>
      </c>
      <c r="F51" s="124">
        <f t="shared" si="6"/>
        <v>0</v>
      </c>
    </row>
    <row r="52" spans="1:6" ht="18.75" customHeight="1" thickBot="1" x14ac:dyDescent="0.3">
      <c r="A52" s="125"/>
      <c r="B52" s="126" t="s">
        <v>128</v>
      </c>
      <c r="C52" s="127">
        <f>SUM(C41:C51)</f>
        <v>505047658</v>
      </c>
      <c r="D52" s="128">
        <f>SUM(D41:D51)</f>
        <v>543429524</v>
      </c>
      <c r="E52" s="127">
        <f t="shared" si="5"/>
        <v>38381866</v>
      </c>
      <c r="F52" s="129">
        <f t="shared" si="6"/>
        <v>7.5996523084560078E-2</v>
      </c>
    </row>
    <row r="53" spans="1:6" x14ac:dyDescent="0.2">
      <c r="A53" s="769" t="s">
        <v>44</v>
      </c>
      <c r="B53" s="771" t="s">
        <v>129</v>
      </c>
      <c r="C53" s="773"/>
      <c r="D53" s="774"/>
      <c r="E53" s="774"/>
      <c r="F53" s="775"/>
    </row>
    <row r="54" spans="1:6" ht="15" customHeight="1" x14ac:dyDescent="0.2">
      <c r="A54" s="770"/>
      <c r="B54" s="772"/>
      <c r="C54" s="776"/>
      <c r="D54" s="777"/>
      <c r="E54" s="777"/>
      <c r="F54" s="778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39218991</v>
      </c>
      <c r="D57" s="113">
        <v>37721640</v>
      </c>
      <c r="E57" s="113">
        <f t="shared" ref="E57:E68" si="7">D57-C57</f>
        <v>-1497351</v>
      </c>
      <c r="F57" s="114">
        <f t="shared" ref="F57:F68" si="8">IF(C57=0,0,E57/C57)</f>
        <v>-3.8179233116935621E-2</v>
      </c>
    </row>
    <row r="58" spans="1:6" x14ac:dyDescent="0.2">
      <c r="A58" s="115">
        <v>2</v>
      </c>
      <c r="B58" s="116" t="s">
        <v>114</v>
      </c>
      <c r="C58" s="113">
        <v>11628291</v>
      </c>
      <c r="D58" s="113">
        <v>14121343</v>
      </c>
      <c r="E58" s="113">
        <f t="shared" si="7"/>
        <v>2493052</v>
      </c>
      <c r="F58" s="114">
        <f t="shared" si="8"/>
        <v>0.21439539137780436</v>
      </c>
    </row>
    <row r="59" spans="1:6" x14ac:dyDescent="0.2">
      <c r="A59" s="115">
        <v>3</v>
      </c>
      <c r="B59" s="116" t="s">
        <v>115</v>
      </c>
      <c r="C59" s="113">
        <v>12657458</v>
      </c>
      <c r="D59" s="113">
        <v>12188046</v>
      </c>
      <c r="E59" s="113">
        <f t="shared" si="7"/>
        <v>-469412</v>
      </c>
      <c r="F59" s="114">
        <f t="shared" si="8"/>
        <v>-3.7085803484396315E-2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60612</v>
      </c>
      <c r="D61" s="113">
        <v>21397</v>
      </c>
      <c r="E61" s="113">
        <f t="shared" si="7"/>
        <v>-39215</v>
      </c>
      <c r="F61" s="114">
        <f t="shared" si="8"/>
        <v>-0.64698409555863523</v>
      </c>
    </row>
    <row r="62" spans="1:6" x14ac:dyDescent="0.2">
      <c r="A62" s="115">
        <v>6</v>
      </c>
      <c r="B62" s="116" t="s">
        <v>118</v>
      </c>
      <c r="C62" s="113">
        <v>1988185</v>
      </c>
      <c r="D62" s="113">
        <v>2192183</v>
      </c>
      <c r="E62" s="113">
        <f t="shared" si="7"/>
        <v>203998</v>
      </c>
      <c r="F62" s="114">
        <f t="shared" si="8"/>
        <v>0.10260513986374507</v>
      </c>
    </row>
    <row r="63" spans="1:6" x14ac:dyDescent="0.2">
      <c r="A63" s="115">
        <v>7</v>
      </c>
      <c r="B63" s="116" t="s">
        <v>119</v>
      </c>
      <c r="C63" s="113">
        <v>31085059</v>
      </c>
      <c r="D63" s="113">
        <v>29217508</v>
      </c>
      <c r="E63" s="113">
        <f t="shared" si="7"/>
        <v>-1867551</v>
      </c>
      <c r="F63" s="114">
        <f t="shared" si="8"/>
        <v>-6.0078734288392374E-2</v>
      </c>
    </row>
    <row r="64" spans="1:6" x14ac:dyDescent="0.2">
      <c r="A64" s="115">
        <v>8</v>
      </c>
      <c r="B64" s="116" t="s">
        <v>120</v>
      </c>
      <c r="C64" s="113">
        <v>993725</v>
      </c>
      <c r="D64" s="113">
        <v>1007372</v>
      </c>
      <c r="E64" s="113">
        <f t="shared" si="7"/>
        <v>13647</v>
      </c>
      <c r="F64" s="114">
        <f t="shared" si="8"/>
        <v>1.3733175677375531E-2</v>
      </c>
    </row>
    <row r="65" spans="1:6" x14ac:dyDescent="0.2">
      <c r="A65" s="115">
        <v>9</v>
      </c>
      <c r="B65" s="116" t="s">
        <v>121</v>
      </c>
      <c r="C65" s="113">
        <v>943085</v>
      </c>
      <c r="D65" s="113">
        <v>1035766</v>
      </c>
      <c r="E65" s="113">
        <f t="shared" si="7"/>
        <v>92681</v>
      </c>
      <c r="F65" s="114">
        <f t="shared" si="8"/>
        <v>9.8274280685198043E-2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0</v>
      </c>
      <c r="D67" s="113">
        <v>0</v>
      </c>
      <c r="E67" s="113">
        <f t="shared" si="7"/>
        <v>0</v>
      </c>
      <c r="F67" s="114">
        <f t="shared" si="8"/>
        <v>0</v>
      </c>
    </row>
    <row r="68" spans="1:6" ht="15.75" x14ac:dyDescent="0.25">
      <c r="A68" s="117"/>
      <c r="B68" s="118" t="s">
        <v>131</v>
      </c>
      <c r="C68" s="119">
        <f>SUM(C57:C67)</f>
        <v>98575406</v>
      </c>
      <c r="D68" s="119">
        <f>SUM(D57:D67)</f>
        <v>97505255</v>
      </c>
      <c r="E68" s="119">
        <f t="shared" si="7"/>
        <v>-1070151</v>
      </c>
      <c r="F68" s="120">
        <f t="shared" si="8"/>
        <v>-1.0856166293649352E-2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20129801</v>
      </c>
      <c r="D70" s="113">
        <v>21320301</v>
      </c>
      <c r="E70" s="113">
        <f t="shared" ref="E70:E81" si="9">D70-C70</f>
        <v>1190500</v>
      </c>
      <c r="F70" s="114">
        <f t="shared" ref="F70:F81" si="10">IF(C70=0,0,E70/C70)</f>
        <v>5.9141170844162844E-2</v>
      </c>
    </row>
    <row r="71" spans="1:6" x14ac:dyDescent="0.2">
      <c r="A71" s="115">
        <v>2</v>
      </c>
      <c r="B71" s="116" t="s">
        <v>114</v>
      </c>
      <c r="C71" s="113">
        <v>6863581</v>
      </c>
      <c r="D71" s="113">
        <v>8352550</v>
      </c>
      <c r="E71" s="113">
        <f t="shared" si="9"/>
        <v>1488969</v>
      </c>
      <c r="F71" s="114">
        <f t="shared" si="10"/>
        <v>0.21693763066247779</v>
      </c>
    </row>
    <row r="72" spans="1:6" x14ac:dyDescent="0.2">
      <c r="A72" s="115">
        <v>3</v>
      </c>
      <c r="B72" s="116" t="s">
        <v>115</v>
      </c>
      <c r="C72" s="113">
        <v>15757381</v>
      </c>
      <c r="D72" s="113">
        <v>17449662</v>
      </c>
      <c r="E72" s="113">
        <f t="shared" si="9"/>
        <v>1692281</v>
      </c>
      <c r="F72" s="114">
        <f t="shared" si="10"/>
        <v>0.10739608314351223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185955</v>
      </c>
      <c r="D74" s="113">
        <v>153431</v>
      </c>
      <c r="E74" s="113">
        <f t="shared" si="9"/>
        <v>-32524</v>
      </c>
      <c r="F74" s="114">
        <f t="shared" si="10"/>
        <v>-0.17490253018203328</v>
      </c>
    </row>
    <row r="75" spans="1:6" x14ac:dyDescent="0.2">
      <c r="A75" s="115">
        <v>6</v>
      </c>
      <c r="B75" s="116" t="s">
        <v>118</v>
      </c>
      <c r="C75" s="113">
        <v>2820180</v>
      </c>
      <c r="D75" s="113">
        <v>5790564</v>
      </c>
      <c r="E75" s="113">
        <f t="shared" si="9"/>
        <v>2970384</v>
      </c>
      <c r="F75" s="114">
        <f t="shared" si="10"/>
        <v>1.0532604301853072</v>
      </c>
    </row>
    <row r="76" spans="1:6" x14ac:dyDescent="0.2">
      <c r="A76" s="115">
        <v>7</v>
      </c>
      <c r="B76" s="116" t="s">
        <v>119</v>
      </c>
      <c r="C76" s="113">
        <v>75024670</v>
      </c>
      <c r="D76" s="113">
        <v>71988557</v>
      </c>
      <c r="E76" s="113">
        <f t="shared" si="9"/>
        <v>-3036113</v>
      </c>
      <c r="F76" s="114">
        <f t="shared" si="10"/>
        <v>-4.046819532828335E-2</v>
      </c>
    </row>
    <row r="77" spans="1:6" x14ac:dyDescent="0.2">
      <c r="A77" s="115">
        <v>8</v>
      </c>
      <c r="B77" s="116" t="s">
        <v>120</v>
      </c>
      <c r="C77" s="113">
        <v>3302115</v>
      </c>
      <c r="D77" s="113">
        <v>4070093</v>
      </c>
      <c r="E77" s="113">
        <f t="shared" si="9"/>
        <v>767978</v>
      </c>
      <c r="F77" s="114">
        <f t="shared" si="10"/>
        <v>0.23257154884066727</v>
      </c>
    </row>
    <row r="78" spans="1:6" x14ac:dyDescent="0.2">
      <c r="A78" s="115">
        <v>9</v>
      </c>
      <c r="B78" s="116" t="s">
        <v>121</v>
      </c>
      <c r="C78" s="113">
        <v>2160322</v>
      </c>
      <c r="D78" s="113">
        <v>1001844</v>
      </c>
      <c r="E78" s="113">
        <f t="shared" si="9"/>
        <v>-1158478</v>
      </c>
      <c r="F78" s="114">
        <f t="shared" si="10"/>
        <v>-0.5362524660675585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0</v>
      </c>
      <c r="D80" s="113">
        <v>0</v>
      </c>
      <c r="E80" s="113">
        <f t="shared" si="9"/>
        <v>0</v>
      </c>
      <c r="F80" s="114">
        <f t="shared" si="10"/>
        <v>0</v>
      </c>
    </row>
    <row r="81" spans="1:6" ht="15.75" x14ac:dyDescent="0.25">
      <c r="A81" s="117"/>
      <c r="B81" s="118" t="s">
        <v>133</v>
      </c>
      <c r="C81" s="119">
        <f>SUM(C70:C80)</f>
        <v>126244005</v>
      </c>
      <c r="D81" s="119">
        <f>SUM(D70:D80)</f>
        <v>130127002</v>
      </c>
      <c r="E81" s="119">
        <f t="shared" si="9"/>
        <v>3882997</v>
      </c>
      <c r="F81" s="120">
        <f t="shared" si="10"/>
        <v>3.0757872423328142E-2</v>
      </c>
    </row>
    <row r="82" spans="1:6" ht="15" customHeight="1" x14ac:dyDescent="0.2">
      <c r="A82" s="769" t="s">
        <v>127</v>
      </c>
      <c r="B82" s="771" t="s">
        <v>134</v>
      </c>
      <c r="C82" s="773"/>
      <c r="D82" s="774"/>
      <c r="E82" s="774"/>
      <c r="F82" s="775"/>
    </row>
    <row r="83" spans="1:6" ht="15" customHeight="1" x14ac:dyDescent="0.2">
      <c r="A83" s="770"/>
      <c r="B83" s="772"/>
      <c r="C83" s="776"/>
      <c r="D83" s="777"/>
      <c r="E83" s="777"/>
      <c r="F83" s="778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59348792</v>
      </c>
      <c r="D84" s="119">
        <f t="shared" si="11"/>
        <v>59041941</v>
      </c>
      <c r="E84" s="119">
        <f t="shared" ref="E84:E95" si="12">D84-C84</f>
        <v>-306851</v>
      </c>
      <c r="F84" s="120">
        <f t="shared" ref="F84:F95" si="13">IF(C84=0,0,E84/C84)</f>
        <v>-5.1702990011995523E-3</v>
      </c>
    </row>
    <row r="85" spans="1:6" ht="15.75" x14ac:dyDescent="0.25">
      <c r="A85" s="130">
        <v>2</v>
      </c>
      <c r="B85" s="122" t="s">
        <v>114</v>
      </c>
      <c r="C85" s="119">
        <f t="shared" si="11"/>
        <v>18491872</v>
      </c>
      <c r="D85" s="119">
        <f t="shared" si="11"/>
        <v>22473893</v>
      </c>
      <c r="E85" s="119">
        <f t="shared" si="12"/>
        <v>3982021</v>
      </c>
      <c r="F85" s="120">
        <f t="shared" si="13"/>
        <v>0.21533898785369052</v>
      </c>
    </row>
    <row r="86" spans="1:6" ht="15.75" x14ac:dyDescent="0.25">
      <c r="A86" s="130">
        <v>3</v>
      </c>
      <c r="B86" s="122" t="s">
        <v>115</v>
      </c>
      <c r="C86" s="119">
        <f t="shared" si="11"/>
        <v>28414839</v>
      </c>
      <c r="D86" s="119">
        <f t="shared" si="11"/>
        <v>29637708</v>
      </c>
      <c r="E86" s="119">
        <f t="shared" si="12"/>
        <v>1222869</v>
      </c>
      <c r="F86" s="120">
        <f t="shared" si="13"/>
        <v>4.3036281148733591E-2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246567</v>
      </c>
      <c r="D88" s="119">
        <f t="shared" si="11"/>
        <v>174828</v>
      </c>
      <c r="E88" s="119">
        <f t="shared" si="12"/>
        <v>-71739</v>
      </c>
      <c r="F88" s="120">
        <f t="shared" si="13"/>
        <v>-0.29095134385380039</v>
      </c>
    </row>
    <row r="89" spans="1:6" ht="15.75" x14ac:dyDescent="0.25">
      <c r="A89" s="130">
        <v>6</v>
      </c>
      <c r="B89" s="122" t="s">
        <v>118</v>
      </c>
      <c r="C89" s="119">
        <f t="shared" si="11"/>
        <v>4808365</v>
      </c>
      <c r="D89" s="119">
        <f t="shared" si="11"/>
        <v>7982747</v>
      </c>
      <c r="E89" s="119">
        <f t="shared" si="12"/>
        <v>3174382</v>
      </c>
      <c r="F89" s="120">
        <f t="shared" si="13"/>
        <v>0.6601790837426027</v>
      </c>
    </row>
    <row r="90" spans="1:6" ht="15.75" x14ac:dyDescent="0.25">
      <c r="A90" s="130">
        <v>7</v>
      </c>
      <c r="B90" s="122" t="s">
        <v>119</v>
      </c>
      <c r="C90" s="119">
        <f t="shared" si="11"/>
        <v>106109729</v>
      </c>
      <c r="D90" s="119">
        <f t="shared" si="11"/>
        <v>101206065</v>
      </c>
      <c r="E90" s="119">
        <f t="shared" si="12"/>
        <v>-4903664</v>
      </c>
      <c r="F90" s="120">
        <f t="shared" si="13"/>
        <v>-4.6213142246362728E-2</v>
      </c>
    </row>
    <row r="91" spans="1:6" ht="15.75" x14ac:dyDescent="0.25">
      <c r="A91" s="130">
        <v>8</v>
      </c>
      <c r="B91" s="122" t="s">
        <v>120</v>
      </c>
      <c r="C91" s="119">
        <f t="shared" si="11"/>
        <v>4295840</v>
      </c>
      <c r="D91" s="119">
        <f t="shared" si="11"/>
        <v>5077465</v>
      </c>
      <c r="E91" s="119">
        <f t="shared" si="12"/>
        <v>781625</v>
      </c>
      <c r="F91" s="120">
        <f t="shared" si="13"/>
        <v>0.18194928116503409</v>
      </c>
    </row>
    <row r="92" spans="1:6" ht="15.75" x14ac:dyDescent="0.25">
      <c r="A92" s="130">
        <v>9</v>
      </c>
      <c r="B92" s="122" t="s">
        <v>121</v>
      </c>
      <c r="C92" s="119">
        <f t="shared" si="11"/>
        <v>3103407</v>
      </c>
      <c r="D92" s="119">
        <f t="shared" si="11"/>
        <v>2037610</v>
      </c>
      <c r="E92" s="119">
        <f t="shared" si="12"/>
        <v>-1065797</v>
      </c>
      <c r="F92" s="120">
        <f t="shared" si="13"/>
        <v>-0.3434280453707812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0</v>
      </c>
      <c r="D94" s="119">
        <f t="shared" si="11"/>
        <v>0</v>
      </c>
      <c r="E94" s="119">
        <f t="shared" si="12"/>
        <v>0</v>
      </c>
      <c r="F94" s="120">
        <f t="shared" si="13"/>
        <v>0</v>
      </c>
    </row>
    <row r="95" spans="1:6" ht="18.75" customHeight="1" thickBot="1" x14ac:dyDescent="0.3">
      <c r="A95" s="131"/>
      <c r="B95" s="132" t="s">
        <v>134</v>
      </c>
      <c r="C95" s="128">
        <f>SUM(C84:C94)</f>
        <v>224819411</v>
      </c>
      <c r="D95" s="128">
        <f>SUM(D84:D94)</f>
        <v>227632257</v>
      </c>
      <c r="E95" s="128">
        <f t="shared" si="12"/>
        <v>2812846</v>
      </c>
      <c r="F95" s="129">
        <f t="shared" si="13"/>
        <v>1.2511579794148646E-2</v>
      </c>
    </row>
    <row r="96" spans="1:6" x14ac:dyDescent="0.2">
      <c r="A96" s="769" t="s">
        <v>135</v>
      </c>
      <c r="B96" s="771" t="s">
        <v>136</v>
      </c>
      <c r="C96" s="773"/>
      <c r="D96" s="774"/>
      <c r="E96" s="774"/>
      <c r="F96" s="775"/>
    </row>
    <row r="97" spans="1:6" ht="15" customHeight="1" x14ac:dyDescent="0.2">
      <c r="A97" s="770"/>
      <c r="B97" s="772"/>
      <c r="C97" s="776"/>
      <c r="D97" s="777"/>
      <c r="E97" s="777"/>
      <c r="F97" s="778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3799</v>
      </c>
      <c r="D100" s="133">
        <v>3388</v>
      </c>
      <c r="E100" s="133">
        <f t="shared" ref="E100:E111" si="14">D100-C100</f>
        <v>-411</v>
      </c>
      <c r="F100" s="114">
        <f t="shared" ref="F100:F111" si="15">IF(C100=0,0,E100/C100)</f>
        <v>-0.10818636483285075</v>
      </c>
    </row>
    <row r="101" spans="1:6" x14ac:dyDescent="0.2">
      <c r="A101" s="115">
        <v>2</v>
      </c>
      <c r="B101" s="116" t="s">
        <v>114</v>
      </c>
      <c r="C101" s="133">
        <v>1109</v>
      </c>
      <c r="D101" s="133">
        <v>1095</v>
      </c>
      <c r="E101" s="133">
        <f t="shared" si="14"/>
        <v>-14</v>
      </c>
      <c r="F101" s="114">
        <f t="shared" si="15"/>
        <v>-1.2623985572587917E-2</v>
      </c>
    </row>
    <row r="102" spans="1:6" x14ac:dyDescent="0.2">
      <c r="A102" s="115">
        <v>3</v>
      </c>
      <c r="B102" s="116" t="s">
        <v>115</v>
      </c>
      <c r="C102" s="133">
        <v>2111</v>
      </c>
      <c r="D102" s="133">
        <v>2182</v>
      </c>
      <c r="E102" s="133">
        <f t="shared" si="14"/>
        <v>71</v>
      </c>
      <c r="F102" s="114">
        <f t="shared" si="15"/>
        <v>3.3633349123638086E-2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24</v>
      </c>
      <c r="D104" s="133">
        <v>12</v>
      </c>
      <c r="E104" s="133">
        <f t="shared" si="14"/>
        <v>-12</v>
      </c>
      <c r="F104" s="114">
        <f t="shared" si="15"/>
        <v>-0.5</v>
      </c>
    </row>
    <row r="105" spans="1:6" x14ac:dyDescent="0.2">
      <c r="A105" s="115">
        <v>6</v>
      </c>
      <c r="B105" s="116" t="s">
        <v>118</v>
      </c>
      <c r="C105" s="133">
        <v>113</v>
      </c>
      <c r="D105" s="133">
        <v>107</v>
      </c>
      <c r="E105" s="133">
        <f t="shared" si="14"/>
        <v>-6</v>
      </c>
      <c r="F105" s="114">
        <f t="shared" si="15"/>
        <v>-5.3097345132743362E-2</v>
      </c>
    </row>
    <row r="106" spans="1:6" x14ac:dyDescent="0.2">
      <c r="A106" s="115">
        <v>7</v>
      </c>
      <c r="B106" s="116" t="s">
        <v>119</v>
      </c>
      <c r="C106" s="133">
        <v>2418</v>
      </c>
      <c r="D106" s="133">
        <v>2346</v>
      </c>
      <c r="E106" s="133">
        <f t="shared" si="14"/>
        <v>-72</v>
      </c>
      <c r="F106" s="114">
        <f t="shared" si="15"/>
        <v>-2.9776674937965261E-2</v>
      </c>
    </row>
    <row r="107" spans="1:6" x14ac:dyDescent="0.2">
      <c r="A107" s="115">
        <v>8</v>
      </c>
      <c r="B107" s="116" t="s">
        <v>120</v>
      </c>
      <c r="C107" s="133">
        <v>31</v>
      </c>
      <c r="D107" s="133">
        <v>27</v>
      </c>
      <c r="E107" s="133">
        <f t="shared" si="14"/>
        <v>-4</v>
      </c>
      <c r="F107" s="114">
        <f t="shared" si="15"/>
        <v>-0.12903225806451613</v>
      </c>
    </row>
    <row r="108" spans="1:6" x14ac:dyDescent="0.2">
      <c r="A108" s="115">
        <v>9</v>
      </c>
      <c r="B108" s="116" t="s">
        <v>121</v>
      </c>
      <c r="C108" s="133">
        <v>242</v>
      </c>
      <c r="D108" s="133">
        <v>127</v>
      </c>
      <c r="E108" s="133">
        <f t="shared" si="14"/>
        <v>-115</v>
      </c>
      <c r="F108" s="114">
        <f t="shared" si="15"/>
        <v>-0.47520661157024796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0</v>
      </c>
      <c r="D110" s="133">
        <v>0</v>
      </c>
      <c r="E110" s="133">
        <f t="shared" si="14"/>
        <v>0</v>
      </c>
      <c r="F110" s="114">
        <f t="shared" si="15"/>
        <v>0</v>
      </c>
    </row>
    <row r="111" spans="1:6" ht="15.75" x14ac:dyDescent="0.25">
      <c r="A111" s="117"/>
      <c r="B111" s="118" t="s">
        <v>138</v>
      </c>
      <c r="C111" s="134">
        <f>SUM(C100:C110)</f>
        <v>9847</v>
      </c>
      <c r="D111" s="134">
        <f>SUM(D100:D110)</f>
        <v>9284</v>
      </c>
      <c r="E111" s="134">
        <f t="shared" si="14"/>
        <v>-563</v>
      </c>
      <c r="F111" s="120">
        <f t="shared" si="15"/>
        <v>-5.7174774042855689E-2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18756</v>
      </c>
      <c r="D113" s="133">
        <v>17151</v>
      </c>
      <c r="E113" s="133">
        <f t="shared" ref="E113:E124" si="16">D113-C113</f>
        <v>-1605</v>
      </c>
      <c r="F113" s="114">
        <f t="shared" ref="F113:F124" si="17">IF(C113=0,0,E113/C113)</f>
        <v>-8.5572616762635959E-2</v>
      </c>
    </row>
    <row r="114" spans="1:6" x14ac:dyDescent="0.2">
      <c r="A114" s="115">
        <v>2</v>
      </c>
      <c r="B114" s="116" t="s">
        <v>114</v>
      </c>
      <c r="C114" s="133">
        <v>5501</v>
      </c>
      <c r="D114" s="133">
        <v>5449</v>
      </c>
      <c r="E114" s="133">
        <f t="shared" si="16"/>
        <v>-52</v>
      </c>
      <c r="F114" s="114">
        <f t="shared" si="17"/>
        <v>-9.452826758771132E-3</v>
      </c>
    </row>
    <row r="115" spans="1:6" x14ac:dyDescent="0.2">
      <c r="A115" s="115">
        <v>3</v>
      </c>
      <c r="B115" s="116" t="s">
        <v>115</v>
      </c>
      <c r="C115" s="133">
        <v>8183</v>
      </c>
      <c r="D115" s="133">
        <v>8199</v>
      </c>
      <c r="E115" s="133">
        <f t="shared" si="16"/>
        <v>16</v>
      </c>
      <c r="F115" s="114">
        <f t="shared" si="17"/>
        <v>1.9552731272149577E-3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70</v>
      </c>
      <c r="D117" s="133">
        <v>26</v>
      </c>
      <c r="E117" s="133">
        <f t="shared" si="16"/>
        <v>-44</v>
      </c>
      <c r="F117" s="114">
        <f t="shared" si="17"/>
        <v>-0.62857142857142856</v>
      </c>
    </row>
    <row r="118" spans="1:6" x14ac:dyDescent="0.2">
      <c r="A118" s="115">
        <v>6</v>
      </c>
      <c r="B118" s="116" t="s">
        <v>118</v>
      </c>
      <c r="C118" s="133">
        <v>421</v>
      </c>
      <c r="D118" s="133">
        <v>337</v>
      </c>
      <c r="E118" s="133">
        <f t="shared" si="16"/>
        <v>-84</v>
      </c>
      <c r="F118" s="114">
        <f t="shared" si="17"/>
        <v>-0.1995249406175772</v>
      </c>
    </row>
    <row r="119" spans="1:6" x14ac:dyDescent="0.2">
      <c r="A119" s="115">
        <v>7</v>
      </c>
      <c r="B119" s="116" t="s">
        <v>119</v>
      </c>
      <c r="C119" s="133">
        <v>8001</v>
      </c>
      <c r="D119" s="133">
        <v>7571</v>
      </c>
      <c r="E119" s="133">
        <f t="shared" si="16"/>
        <v>-430</v>
      </c>
      <c r="F119" s="114">
        <f t="shared" si="17"/>
        <v>-5.3743282089738782E-2</v>
      </c>
    </row>
    <row r="120" spans="1:6" x14ac:dyDescent="0.2">
      <c r="A120" s="115">
        <v>8</v>
      </c>
      <c r="B120" s="116" t="s">
        <v>120</v>
      </c>
      <c r="C120" s="133">
        <v>84</v>
      </c>
      <c r="D120" s="133">
        <v>97</v>
      </c>
      <c r="E120" s="133">
        <f t="shared" si="16"/>
        <v>13</v>
      </c>
      <c r="F120" s="114">
        <f t="shared" si="17"/>
        <v>0.15476190476190477</v>
      </c>
    </row>
    <row r="121" spans="1:6" x14ac:dyDescent="0.2">
      <c r="A121" s="115">
        <v>9</v>
      </c>
      <c r="B121" s="116" t="s">
        <v>121</v>
      </c>
      <c r="C121" s="133">
        <v>882</v>
      </c>
      <c r="D121" s="133">
        <v>662</v>
      </c>
      <c r="E121" s="133">
        <f t="shared" si="16"/>
        <v>-220</v>
      </c>
      <c r="F121" s="114">
        <f t="shared" si="17"/>
        <v>-0.24943310657596371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0</v>
      </c>
      <c r="D123" s="133">
        <v>0</v>
      </c>
      <c r="E123" s="133">
        <f t="shared" si="16"/>
        <v>0</v>
      </c>
      <c r="F123" s="114">
        <f t="shared" si="17"/>
        <v>0</v>
      </c>
    </row>
    <row r="124" spans="1:6" ht="15.75" x14ac:dyDescent="0.25">
      <c r="A124" s="117"/>
      <c r="B124" s="118" t="s">
        <v>140</v>
      </c>
      <c r="C124" s="134">
        <f>SUM(C113:C123)</f>
        <v>41898</v>
      </c>
      <c r="D124" s="134">
        <f>SUM(D113:D123)</f>
        <v>39492</v>
      </c>
      <c r="E124" s="134">
        <f t="shared" si="16"/>
        <v>-2406</v>
      </c>
      <c r="F124" s="120">
        <f t="shared" si="17"/>
        <v>-5.7425175426034654E-2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32754</v>
      </c>
      <c r="D126" s="133">
        <v>31790</v>
      </c>
      <c r="E126" s="133">
        <f t="shared" ref="E126:E137" si="18">D126-C126</f>
        <v>-964</v>
      </c>
      <c r="F126" s="114">
        <f t="shared" ref="F126:F137" si="19">IF(C126=0,0,E126/C126)</f>
        <v>-2.9431519814373818E-2</v>
      </c>
    </row>
    <row r="127" spans="1:6" x14ac:dyDescent="0.2">
      <c r="A127" s="115">
        <v>2</v>
      </c>
      <c r="B127" s="116" t="s">
        <v>114</v>
      </c>
      <c r="C127" s="133">
        <v>11447</v>
      </c>
      <c r="D127" s="133">
        <v>12539</v>
      </c>
      <c r="E127" s="133">
        <f t="shared" si="18"/>
        <v>1092</v>
      </c>
      <c r="F127" s="114">
        <f t="shared" si="19"/>
        <v>9.5396173669957188E-2</v>
      </c>
    </row>
    <row r="128" spans="1:6" x14ac:dyDescent="0.2">
      <c r="A128" s="115">
        <v>3</v>
      </c>
      <c r="B128" s="116" t="s">
        <v>115</v>
      </c>
      <c r="C128" s="133">
        <v>48221</v>
      </c>
      <c r="D128" s="133">
        <v>52128</v>
      </c>
      <c r="E128" s="133">
        <f t="shared" si="18"/>
        <v>3907</v>
      </c>
      <c r="F128" s="114">
        <f t="shared" si="19"/>
        <v>8.1022790900230193E-2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539</v>
      </c>
      <c r="D130" s="133">
        <v>505</v>
      </c>
      <c r="E130" s="133">
        <f t="shared" si="18"/>
        <v>-34</v>
      </c>
      <c r="F130" s="114">
        <f t="shared" si="19"/>
        <v>-6.3079777365491654E-2</v>
      </c>
    </row>
    <row r="131" spans="1:6" x14ac:dyDescent="0.2">
      <c r="A131" s="115">
        <v>6</v>
      </c>
      <c r="B131" s="116" t="s">
        <v>118</v>
      </c>
      <c r="C131" s="133">
        <v>2377</v>
      </c>
      <c r="D131" s="133">
        <v>2207</v>
      </c>
      <c r="E131" s="133">
        <f t="shared" si="18"/>
        <v>-170</v>
      </c>
      <c r="F131" s="114">
        <f t="shared" si="19"/>
        <v>-7.1518721076987798E-2</v>
      </c>
    </row>
    <row r="132" spans="1:6" x14ac:dyDescent="0.2">
      <c r="A132" s="115">
        <v>7</v>
      </c>
      <c r="B132" s="116" t="s">
        <v>119</v>
      </c>
      <c r="C132" s="133">
        <v>65015</v>
      </c>
      <c r="D132" s="133">
        <v>61518</v>
      </c>
      <c r="E132" s="133">
        <f t="shared" si="18"/>
        <v>-3497</v>
      </c>
      <c r="F132" s="114">
        <f t="shared" si="19"/>
        <v>-5.3787587479812354E-2</v>
      </c>
    </row>
    <row r="133" spans="1:6" x14ac:dyDescent="0.2">
      <c r="A133" s="115">
        <v>8</v>
      </c>
      <c r="B133" s="116" t="s">
        <v>120</v>
      </c>
      <c r="C133" s="133">
        <v>2391</v>
      </c>
      <c r="D133" s="133">
        <v>1828</v>
      </c>
      <c r="E133" s="133">
        <f t="shared" si="18"/>
        <v>-563</v>
      </c>
      <c r="F133" s="114">
        <f t="shared" si="19"/>
        <v>-0.23546633207862819</v>
      </c>
    </row>
    <row r="134" spans="1:6" x14ac:dyDescent="0.2">
      <c r="A134" s="115">
        <v>9</v>
      </c>
      <c r="B134" s="116" t="s">
        <v>121</v>
      </c>
      <c r="C134" s="133">
        <v>7718</v>
      </c>
      <c r="D134" s="133">
        <v>5556</v>
      </c>
      <c r="E134" s="133">
        <f t="shared" si="18"/>
        <v>-2162</v>
      </c>
      <c r="F134" s="114">
        <f t="shared" si="19"/>
        <v>-0.28012438455558436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0</v>
      </c>
      <c r="D136" s="133">
        <v>0</v>
      </c>
      <c r="E136" s="133">
        <f t="shared" si="18"/>
        <v>0</v>
      </c>
      <c r="F136" s="114">
        <f t="shared" si="19"/>
        <v>0</v>
      </c>
    </row>
    <row r="137" spans="1:6" ht="15.75" x14ac:dyDescent="0.25">
      <c r="A137" s="117"/>
      <c r="B137" s="118" t="s">
        <v>142</v>
      </c>
      <c r="C137" s="134">
        <f>SUM(C126:C136)</f>
        <v>170462</v>
      </c>
      <c r="D137" s="134">
        <f>SUM(D126:D136)</f>
        <v>168071</v>
      </c>
      <c r="E137" s="134">
        <f t="shared" si="18"/>
        <v>-2391</v>
      </c>
      <c r="F137" s="120">
        <f t="shared" si="19"/>
        <v>-1.4026586570613979E-2</v>
      </c>
    </row>
    <row r="138" spans="1:6" x14ac:dyDescent="0.2">
      <c r="A138" s="769" t="s">
        <v>143</v>
      </c>
      <c r="B138" s="771" t="s">
        <v>144</v>
      </c>
      <c r="C138" s="773"/>
      <c r="D138" s="774"/>
      <c r="E138" s="774"/>
      <c r="F138" s="775"/>
    </row>
    <row r="139" spans="1:6" ht="15" customHeight="1" x14ac:dyDescent="0.2">
      <c r="A139" s="770"/>
      <c r="B139" s="772"/>
      <c r="C139" s="776"/>
      <c r="D139" s="777"/>
      <c r="E139" s="777"/>
      <c r="F139" s="778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17000000</v>
      </c>
      <c r="D142" s="113">
        <v>22709728</v>
      </c>
      <c r="E142" s="113">
        <f t="shared" ref="E142:E153" si="20">D142-C142</f>
        <v>5709728</v>
      </c>
      <c r="F142" s="114">
        <f t="shared" ref="F142:F153" si="21">IF(C142=0,0,E142/C142)</f>
        <v>0.33586635294117645</v>
      </c>
    </row>
    <row r="143" spans="1:6" x14ac:dyDescent="0.2">
      <c r="A143" s="115">
        <v>2</v>
      </c>
      <c r="B143" s="116" t="s">
        <v>114</v>
      </c>
      <c r="C143" s="113">
        <v>5500000</v>
      </c>
      <c r="D143" s="113">
        <v>8015275</v>
      </c>
      <c r="E143" s="113">
        <f t="shared" si="20"/>
        <v>2515275</v>
      </c>
      <c r="F143" s="114">
        <f t="shared" si="21"/>
        <v>0.45732272727272727</v>
      </c>
    </row>
    <row r="144" spans="1:6" x14ac:dyDescent="0.2">
      <c r="A144" s="115">
        <v>3</v>
      </c>
      <c r="B144" s="116" t="s">
        <v>115</v>
      </c>
      <c r="C144" s="113">
        <v>35500000</v>
      </c>
      <c r="D144" s="113">
        <v>42555224</v>
      </c>
      <c r="E144" s="113">
        <f t="shared" si="20"/>
        <v>7055224</v>
      </c>
      <c r="F144" s="114">
        <f t="shared" si="21"/>
        <v>0.19873870422535211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280000</v>
      </c>
      <c r="D146" s="113">
        <v>307105</v>
      </c>
      <c r="E146" s="113">
        <f t="shared" si="20"/>
        <v>27105</v>
      </c>
      <c r="F146" s="114">
        <f t="shared" si="21"/>
        <v>9.6803571428571433E-2</v>
      </c>
    </row>
    <row r="147" spans="1:6" x14ac:dyDescent="0.2">
      <c r="A147" s="115">
        <v>6</v>
      </c>
      <c r="B147" s="116" t="s">
        <v>118</v>
      </c>
      <c r="C147" s="113">
        <v>1200000</v>
      </c>
      <c r="D147" s="113">
        <v>1061296</v>
      </c>
      <c r="E147" s="113">
        <f t="shared" si="20"/>
        <v>-138704</v>
      </c>
      <c r="F147" s="114">
        <f t="shared" si="21"/>
        <v>-0.11558666666666667</v>
      </c>
    </row>
    <row r="148" spans="1:6" x14ac:dyDescent="0.2">
      <c r="A148" s="115">
        <v>7</v>
      </c>
      <c r="B148" s="116" t="s">
        <v>119</v>
      </c>
      <c r="C148" s="113">
        <v>25370000</v>
      </c>
      <c r="D148" s="113">
        <v>28482162</v>
      </c>
      <c r="E148" s="113">
        <f t="shared" si="20"/>
        <v>3112162</v>
      </c>
      <c r="F148" s="114">
        <f t="shared" si="21"/>
        <v>0.12267094994087505</v>
      </c>
    </row>
    <row r="149" spans="1:6" x14ac:dyDescent="0.2">
      <c r="A149" s="115">
        <v>8</v>
      </c>
      <c r="B149" s="116" t="s">
        <v>120</v>
      </c>
      <c r="C149" s="113">
        <v>900000</v>
      </c>
      <c r="D149" s="113">
        <v>974263</v>
      </c>
      <c r="E149" s="113">
        <f t="shared" si="20"/>
        <v>74263</v>
      </c>
      <c r="F149" s="114">
        <f t="shared" si="21"/>
        <v>8.2514444444444446E-2</v>
      </c>
    </row>
    <row r="150" spans="1:6" x14ac:dyDescent="0.2">
      <c r="A150" s="115">
        <v>9</v>
      </c>
      <c r="B150" s="116" t="s">
        <v>121</v>
      </c>
      <c r="C150" s="113">
        <v>6250000</v>
      </c>
      <c r="D150" s="113">
        <v>5186682</v>
      </c>
      <c r="E150" s="113">
        <f t="shared" si="20"/>
        <v>-1063318</v>
      </c>
      <c r="F150" s="114">
        <f t="shared" si="21"/>
        <v>-0.17013088000000001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0</v>
      </c>
      <c r="D152" s="113">
        <v>0</v>
      </c>
      <c r="E152" s="113">
        <f t="shared" si="20"/>
        <v>0</v>
      </c>
      <c r="F152" s="114">
        <f t="shared" si="21"/>
        <v>0</v>
      </c>
    </row>
    <row r="153" spans="1:6" ht="33.75" customHeight="1" x14ac:dyDescent="0.25">
      <c r="A153" s="117"/>
      <c r="B153" s="118" t="s">
        <v>146</v>
      </c>
      <c r="C153" s="119">
        <f>SUM(C142:C152)</f>
        <v>92000000</v>
      </c>
      <c r="D153" s="119">
        <f>SUM(D142:D152)</f>
        <v>109291735</v>
      </c>
      <c r="E153" s="119">
        <f t="shared" si="20"/>
        <v>17291735</v>
      </c>
      <c r="F153" s="120">
        <f t="shared" si="21"/>
        <v>0.18795364130434783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3450000</v>
      </c>
      <c r="D155" s="113">
        <v>4545010</v>
      </c>
      <c r="E155" s="113">
        <f t="shared" ref="E155:E166" si="22">D155-C155</f>
        <v>1095010</v>
      </c>
      <c r="F155" s="114">
        <f t="shared" ref="F155:F166" si="23">IF(C155=0,0,E155/C155)</f>
        <v>0.31739420289855075</v>
      </c>
    </row>
    <row r="156" spans="1:6" x14ac:dyDescent="0.2">
      <c r="A156" s="115">
        <v>2</v>
      </c>
      <c r="B156" s="116" t="s">
        <v>114</v>
      </c>
      <c r="C156" s="113">
        <v>1150000</v>
      </c>
      <c r="D156" s="113">
        <v>1602904</v>
      </c>
      <c r="E156" s="113">
        <f t="shared" si="22"/>
        <v>452904</v>
      </c>
      <c r="F156" s="114">
        <f t="shared" si="23"/>
        <v>0.39382956521739132</v>
      </c>
    </row>
    <row r="157" spans="1:6" x14ac:dyDescent="0.2">
      <c r="A157" s="115">
        <v>3</v>
      </c>
      <c r="B157" s="116" t="s">
        <v>115</v>
      </c>
      <c r="C157" s="113">
        <v>6500000</v>
      </c>
      <c r="D157" s="113">
        <v>8397392</v>
      </c>
      <c r="E157" s="113">
        <f t="shared" si="22"/>
        <v>1897392</v>
      </c>
      <c r="F157" s="114">
        <f t="shared" si="23"/>
        <v>0.29190646153846156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55000</v>
      </c>
      <c r="D159" s="113">
        <v>56545</v>
      </c>
      <c r="E159" s="113">
        <f t="shared" si="22"/>
        <v>1545</v>
      </c>
      <c r="F159" s="114">
        <f t="shared" si="23"/>
        <v>2.809090909090909E-2</v>
      </c>
    </row>
    <row r="160" spans="1:6" x14ac:dyDescent="0.2">
      <c r="A160" s="115">
        <v>6</v>
      </c>
      <c r="B160" s="116" t="s">
        <v>118</v>
      </c>
      <c r="C160" s="113">
        <v>600000</v>
      </c>
      <c r="D160" s="113">
        <v>551986</v>
      </c>
      <c r="E160" s="113">
        <f t="shared" si="22"/>
        <v>-48014</v>
      </c>
      <c r="F160" s="114">
        <f t="shared" si="23"/>
        <v>-8.0023333333333335E-2</v>
      </c>
    </row>
    <row r="161" spans="1:6" x14ac:dyDescent="0.2">
      <c r="A161" s="115">
        <v>7</v>
      </c>
      <c r="B161" s="116" t="s">
        <v>119</v>
      </c>
      <c r="C161" s="113">
        <v>15500000</v>
      </c>
      <c r="D161" s="113">
        <v>17344209</v>
      </c>
      <c r="E161" s="113">
        <f t="shared" si="22"/>
        <v>1844209</v>
      </c>
      <c r="F161" s="114">
        <f t="shared" si="23"/>
        <v>0.11898122580645161</v>
      </c>
    </row>
    <row r="162" spans="1:6" x14ac:dyDescent="0.2">
      <c r="A162" s="115">
        <v>8</v>
      </c>
      <c r="B162" s="116" t="s">
        <v>120</v>
      </c>
      <c r="C162" s="113">
        <v>750000</v>
      </c>
      <c r="D162" s="113">
        <v>610221</v>
      </c>
      <c r="E162" s="113">
        <f t="shared" si="22"/>
        <v>-139779</v>
      </c>
      <c r="F162" s="114">
        <f t="shared" si="23"/>
        <v>-0.18637200000000001</v>
      </c>
    </row>
    <row r="163" spans="1:6" x14ac:dyDescent="0.2">
      <c r="A163" s="115">
        <v>9</v>
      </c>
      <c r="B163" s="116" t="s">
        <v>121</v>
      </c>
      <c r="C163" s="113">
        <v>250000</v>
      </c>
      <c r="D163" s="113">
        <v>146156</v>
      </c>
      <c r="E163" s="113">
        <f t="shared" si="22"/>
        <v>-103844</v>
      </c>
      <c r="F163" s="114">
        <f t="shared" si="23"/>
        <v>-0.41537600000000002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0</v>
      </c>
      <c r="D165" s="113">
        <v>0</v>
      </c>
      <c r="E165" s="113">
        <f t="shared" si="22"/>
        <v>0</v>
      </c>
      <c r="F165" s="114">
        <f t="shared" si="23"/>
        <v>0</v>
      </c>
    </row>
    <row r="166" spans="1:6" ht="33.75" customHeight="1" x14ac:dyDescent="0.25">
      <c r="A166" s="117"/>
      <c r="B166" s="118" t="s">
        <v>148</v>
      </c>
      <c r="C166" s="119">
        <f>SUM(C155:C165)</f>
        <v>28255000</v>
      </c>
      <c r="D166" s="119">
        <f>SUM(D155:D165)</f>
        <v>33254423</v>
      </c>
      <c r="E166" s="119">
        <f t="shared" si="22"/>
        <v>4999423</v>
      </c>
      <c r="F166" s="120">
        <f t="shared" si="23"/>
        <v>0.1769394089541674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7492</v>
      </c>
      <c r="D168" s="133">
        <v>7940</v>
      </c>
      <c r="E168" s="133">
        <f t="shared" ref="E168:E179" si="24">D168-C168</f>
        <v>448</v>
      </c>
      <c r="F168" s="114">
        <f t="shared" ref="F168:F179" si="25">IF(C168=0,0,E168/C168)</f>
        <v>5.9797116924719701E-2</v>
      </c>
    </row>
    <row r="169" spans="1:6" x14ac:dyDescent="0.2">
      <c r="A169" s="115">
        <v>2</v>
      </c>
      <c r="B169" s="116" t="s">
        <v>114</v>
      </c>
      <c r="C169" s="133">
        <v>2171</v>
      </c>
      <c r="D169" s="133">
        <v>2501</v>
      </c>
      <c r="E169" s="133">
        <f t="shared" si="24"/>
        <v>330</v>
      </c>
      <c r="F169" s="114">
        <f t="shared" si="25"/>
        <v>0.15200368493781669</v>
      </c>
    </row>
    <row r="170" spans="1:6" x14ac:dyDescent="0.2">
      <c r="A170" s="115">
        <v>3</v>
      </c>
      <c r="B170" s="116" t="s">
        <v>115</v>
      </c>
      <c r="C170" s="133">
        <v>23383</v>
      </c>
      <c r="D170" s="133">
        <v>23826</v>
      </c>
      <c r="E170" s="133">
        <f t="shared" si="24"/>
        <v>443</v>
      </c>
      <c r="F170" s="114">
        <f t="shared" si="25"/>
        <v>1.8945387674806483E-2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193</v>
      </c>
      <c r="D172" s="133">
        <v>200</v>
      </c>
      <c r="E172" s="133">
        <f t="shared" si="24"/>
        <v>7</v>
      </c>
      <c r="F172" s="114">
        <f t="shared" si="25"/>
        <v>3.6269430051813469E-2</v>
      </c>
    </row>
    <row r="173" spans="1:6" x14ac:dyDescent="0.2">
      <c r="A173" s="115">
        <v>6</v>
      </c>
      <c r="B173" s="116" t="s">
        <v>118</v>
      </c>
      <c r="C173" s="133">
        <v>686</v>
      </c>
      <c r="D173" s="133">
        <v>542</v>
      </c>
      <c r="E173" s="133">
        <f t="shared" si="24"/>
        <v>-144</v>
      </c>
      <c r="F173" s="114">
        <f t="shared" si="25"/>
        <v>-0.2099125364431487</v>
      </c>
    </row>
    <row r="174" spans="1:6" x14ac:dyDescent="0.2">
      <c r="A174" s="115">
        <v>7</v>
      </c>
      <c r="B174" s="116" t="s">
        <v>119</v>
      </c>
      <c r="C174" s="133">
        <v>13770</v>
      </c>
      <c r="D174" s="133">
        <v>13205</v>
      </c>
      <c r="E174" s="133">
        <f t="shared" si="24"/>
        <v>-565</v>
      </c>
      <c r="F174" s="114">
        <f t="shared" si="25"/>
        <v>-4.1031227305737113E-2</v>
      </c>
    </row>
    <row r="175" spans="1:6" x14ac:dyDescent="0.2">
      <c r="A175" s="115">
        <v>8</v>
      </c>
      <c r="B175" s="116" t="s">
        <v>120</v>
      </c>
      <c r="C175" s="133">
        <v>832</v>
      </c>
      <c r="D175" s="133">
        <v>779</v>
      </c>
      <c r="E175" s="133">
        <f t="shared" si="24"/>
        <v>-53</v>
      </c>
      <c r="F175" s="114">
        <f t="shared" si="25"/>
        <v>-6.3701923076923073E-2</v>
      </c>
    </row>
    <row r="176" spans="1:6" x14ac:dyDescent="0.2">
      <c r="A176" s="115">
        <v>9</v>
      </c>
      <c r="B176" s="116" t="s">
        <v>121</v>
      </c>
      <c r="C176" s="133">
        <v>4370</v>
      </c>
      <c r="D176" s="133">
        <v>3276</v>
      </c>
      <c r="E176" s="133">
        <f t="shared" si="24"/>
        <v>-1094</v>
      </c>
      <c r="F176" s="114">
        <f t="shared" si="25"/>
        <v>-0.25034324942791764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0</v>
      </c>
      <c r="D178" s="133">
        <v>0</v>
      </c>
      <c r="E178" s="133">
        <f t="shared" si="24"/>
        <v>0</v>
      </c>
      <c r="F178" s="114">
        <f t="shared" si="25"/>
        <v>0</v>
      </c>
    </row>
    <row r="179" spans="1:6" ht="33.75" customHeight="1" x14ac:dyDescent="0.25">
      <c r="A179" s="117"/>
      <c r="B179" s="118" t="s">
        <v>150</v>
      </c>
      <c r="C179" s="134">
        <f>SUM(C168:C178)</f>
        <v>52897</v>
      </c>
      <c r="D179" s="134">
        <f>SUM(D168:D178)</f>
        <v>52269</v>
      </c>
      <c r="E179" s="134">
        <f t="shared" si="24"/>
        <v>-628</v>
      </c>
      <c r="F179" s="120">
        <f t="shared" si="25"/>
        <v>-1.1872128854188329E-2</v>
      </c>
    </row>
  </sheetData>
  <mergeCells count="23">
    <mergeCell ref="A2:F2"/>
    <mergeCell ref="A3:F3"/>
    <mergeCell ref="A4:F4"/>
    <mergeCell ref="A5:F5"/>
    <mergeCell ref="C9:F9"/>
    <mergeCell ref="A10:A11"/>
    <mergeCell ref="B10:B11"/>
    <mergeCell ref="C10:F11"/>
    <mergeCell ref="A39:A40"/>
    <mergeCell ref="B39:B40"/>
    <mergeCell ref="C39:F40"/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</mergeCells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FILING&amp;RMIDSTATE MEDICAL CENTER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B1" zoomScale="75" workbookViewId="0">
      <selection activeCell="F18" sqref="F18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27207529</v>
      </c>
      <c r="D15" s="157">
        <v>27000116</v>
      </c>
      <c r="E15" s="157">
        <f>+D15-C15</f>
        <v>-207413</v>
      </c>
      <c r="F15" s="161">
        <f>IF(C15=0,0,E15/C15)</f>
        <v>-7.6233677817636432E-3</v>
      </c>
    </row>
    <row r="16" spans="1:6" ht="15" customHeight="1" x14ac:dyDescent="0.2">
      <c r="A16" s="147">
        <v>2</v>
      </c>
      <c r="B16" s="160" t="s">
        <v>157</v>
      </c>
      <c r="C16" s="157">
        <v>7916881</v>
      </c>
      <c r="D16" s="157">
        <v>8218072</v>
      </c>
      <c r="E16" s="157">
        <f>+D16-C16</f>
        <v>301191</v>
      </c>
      <c r="F16" s="161">
        <f>IF(C16=0,0,E16/C16)</f>
        <v>3.8044148952093633E-2</v>
      </c>
    </row>
    <row r="17" spans="1:6" ht="15" customHeight="1" x14ac:dyDescent="0.2">
      <c r="A17" s="147">
        <v>3</v>
      </c>
      <c r="B17" s="160" t="s">
        <v>158</v>
      </c>
      <c r="C17" s="157">
        <v>40133370</v>
      </c>
      <c r="D17" s="157">
        <v>34527167</v>
      </c>
      <c r="E17" s="157">
        <f>+D17-C17</f>
        <v>-5606203</v>
      </c>
      <c r="F17" s="161">
        <f>IF(C17=0,0,E17/C17)</f>
        <v>-0.13968931589846553</v>
      </c>
    </row>
    <row r="18" spans="1:6" ht="15.75" customHeight="1" x14ac:dyDescent="0.25">
      <c r="A18" s="147"/>
      <c r="B18" s="162" t="s">
        <v>159</v>
      </c>
      <c r="C18" s="158">
        <f>SUM(C15:C17)</f>
        <v>75257780</v>
      </c>
      <c r="D18" s="158">
        <f>SUM(D15:D17)</f>
        <v>69745355</v>
      </c>
      <c r="E18" s="158">
        <f>+D18-C18</f>
        <v>-5512425</v>
      </c>
      <c r="F18" s="159">
        <f>IF(C18=0,0,E18/C18)</f>
        <v>-7.3247244338060458E-2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8488460</v>
      </c>
      <c r="D21" s="157">
        <v>7365276</v>
      </c>
      <c r="E21" s="157">
        <f>+D21-C21</f>
        <v>-1123184</v>
      </c>
      <c r="F21" s="161">
        <f>IF(C21=0,0,E21/C21)</f>
        <v>-0.13231893653265728</v>
      </c>
    </row>
    <row r="22" spans="1:6" ht="15" customHeight="1" x14ac:dyDescent="0.2">
      <c r="A22" s="147">
        <v>2</v>
      </c>
      <c r="B22" s="160" t="s">
        <v>162</v>
      </c>
      <c r="C22" s="157">
        <v>1632894</v>
      </c>
      <c r="D22" s="157">
        <v>1416831</v>
      </c>
      <c r="E22" s="157">
        <f>+D22-C22</f>
        <v>-216063</v>
      </c>
      <c r="F22" s="161">
        <f>IF(C22=0,0,E22/C22)</f>
        <v>-0.13231906051464454</v>
      </c>
    </row>
    <row r="23" spans="1:6" ht="15" customHeight="1" x14ac:dyDescent="0.2">
      <c r="A23" s="147">
        <v>3</v>
      </c>
      <c r="B23" s="160" t="s">
        <v>163</v>
      </c>
      <c r="C23" s="157">
        <v>12528463</v>
      </c>
      <c r="D23" s="157">
        <v>10870710</v>
      </c>
      <c r="E23" s="157">
        <f>+D23-C23</f>
        <v>-1657753</v>
      </c>
      <c r="F23" s="161">
        <f>IF(C23=0,0,E23/C23)</f>
        <v>-0.13231894447068249</v>
      </c>
    </row>
    <row r="24" spans="1:6" ht="15.75" customHeight="1" x14ac:dyDescent="0.25">
      <c r="A24" s="147"/>
      <c r="B24" s="162" t="s">
        <v>164</v>
      </c>
      <c r="C24" s="158">
        <f>SUM(C21:C23)</f>
        <v>22649817</v>
      </c>
      <c r="D24" s="158">
        <f>SUM(D21:D23)</f>
        <v>19652817</v>
      </c>
      <c r="E24" s="158">
        <f>+D24-C24</f>
        <v>-2997000</v>
      </c>
      <c r="F24" s="159">
        <f>IF(C24=0,0,E24/C24)</f>
        <v>-0.13231894986171411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351733</v>
      </c>
      <c r="D27" s="157">
        <v>675439</v>
      </c>
      <c r="E27" s="157">
        <f>+D27-C27</f>
        <v>323706</v>
      </c>
      <c r="F27" s="161">
        <f>IF(C27=0,0,E27/C27)</f>
        <v>0.92031739984590588</v>
      </c>
    </row>
    <row r="28" spans="1:6" ht="15" customHeight="1" x14ac:dyDescent="0.2">
      <c r="A28" s="147">
        <v>2</v>
      </c>
      <c r="B28" s="160" t="s">
        <v>167</v>
      </c>
      <c r="C28" s="157">
        <v>3631661</v>
      </c>
      <c r="D28" s="157">
        <v>3834533</v>
      </c>
      <c r="E28" s="157">
        <f>+D28-C28</f>
        <v>202872</v>
      </c>
      <c r="F28" s="161">
        <f>IF(C28=0,0,E28/C28)</f>
        <v>5.5862042189510533E-2</v>
      </c>
    </row>
    <row r="29" spans="1:6" ht="15" customHeight="1" x14ac:dyDescent="0.2">
      <c r="A29" s="147">
        <v>3</v>
      </c>
      <c r="B29" s="160" t="s">
        <v>168</v>
      </c>
      <c r="C29" s="157">
        <v>21550046</v>
      </c>
      <c r="D29" s="157">
        <v>25612148</v>
      </c>
      <c r="E29" s="157">
        <f>+D29-C29</f>
        <v>4062102</v>
      </c>
      <c r="F29" s="161">
        <f>IF(C29=0,0,E29/C29)</f>
        <v>0.18849621017050266</v>
      </c>
    </row>
    <row r="30" spans="1:6" ht="15.75" customHeight="1" x14ac:dyDescent="0.25">
      <c r="A30" s="147"/>
      <c r="B30" s="162" t="s">
        <v>169</v>
      </c>
      <c r="C30" s="158">
        <f>SUM(C27:C29)</f>
        <v>25533440</v>
      </c>
      <c r="D30" s="158">
        <f>SUM(D27:D29)</f>
        <v>30122120</v>
      </c>
      <c r="E30" s="158">
        <f>+D30-C30</f>
        <v>4588680</v>
      </c>
      <c r="F30" s="159">
        <f>IF(C30=0,0,E30/C30)</f>
        <v>0.17971256516944054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16121782</v>
      </c>
      <c r="D33" s="157">
        <v>17137898</v>
      </c>
      <c r="E33" s="157">
        <f>+D33-C33</f>
        <v>1016116</v>
      </c>
      <c r="F33" s="161">
        <f>IF(C33=0,0,E33/C33)</f>
        <v>6.3027523880424638E-2</v>
      </c>
    </row>
    <row r="34" spans="1:6" ht="15" customHeight="1" x14ac:dyDescent="0.2">
      <c r="A34" s="147">
        <v>2</v>
      </c>
      <c r="B34" s="160" t="s">
        <v>173</v>
      </c>
      <c r="C34" s="157">
        <v>15413511</v>
      </c>
      <c r="D34" s="157">
        <v>15720896</v>
      </c>
      <c r="E34" s="157">
        <f>+D34-C34</f>
        <v>307385</v>
      </c>
      <c r="F34" s="161">
        <f>IF(C34=0,0,E34/C34)</f>
        <v>1.9942568568575972E-2</v>
      </c>
    </row>
    <row r="35" spans="1:6" ht="15.75" customHeight="1" x14ac:dyDescent="0.25">
      <c r="A35" s="147"/>
      <c r="B35" s="162" t="s">
        <v>174</v>
      </c>
      <c r="C35" s="158">
        <f>SUM(C33:C34)</f>
        <v>31535293</v>
      </c>
      <c r="D35" s="158">
        <f>SUM(D33:D34)</f>
        <v>32858794</v>
      </c>
      <c r="E35" s="158">
        <f>+D35-C35</f>
        <v>1323501</v>
      </c>
      <c r="F35" s="159">
        <f>IF(C35=0,0,E35/C35)</f>
        <v>4.1968882293245219E-2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6025688</v>
      </c>
      <c r="D38" s="157">
        <v>6126074</v>
      </c>
      <c r="E38" s="157">
        <f>+D38-C38</f>
        <v>100386</v>
      </c>
      <c r="F38" s="161">
        <f>IF(C38=0,0,E38/C38)</f>
        <v>1.6659674380751211E-2</v>
      </c>
    </row>
    <row r="39" spans="1:6" ht="15" customHeight="1" x14ac:dyDescent="0.2">
      <c r="A39" s="147">
        <v>2</v>
      </c>
      <c r="B39" s="160" t="s">
        <v>178</v>
      </c>
      <c r="C39" s="157">
        <v>7000825</v>
      </c>
      <c r="D39" s="157">
        <v>6703183</v>
      </c>
      <c r="E39" s="157">
        <f>+D39-C39</f>
        <v>-297642</v>
      </c>
      <c r="F39" s="161">
        <f>IF(C39=0,0,E39/C39)</f>
        <v>-4.2515274985448145E-2</v>
      </c>
    </row>
    <row r="40" spans="1:6" ht="15" customHeight="1" x14ac:dyDescent="0.2">
      <c r="A40" s="147">
        <v>3</v>
      </c>
      <c r="B40" s="160" t="s">
        <v>179</v>
      </c>
      <c r="C40" s="157">
        <v>77743</v>
      </c>
      <c r="D40" s="157">
        <v>77739</v>
      </c>
      <c r="E40" s="157">
        <f>+D40-C40</f>
        <v>-4</v>
      </c>
      <c r="F40" s="161">
        <f>IF(C40=0,0,E40/C40)</f>
        <v>-5.1451577633999205E-5</v>
      </c>
    </row>
    <row r="41" spans="1:6" ht="15.75" customHeight="1" x14ac:dyDescent="0.25">
      <c r="A41" s="147"/>
      <c r="B41" s="162" t="s">
        <v>180</v>
      </c>
      <c r="C41" s="158">
        <f>SUM(C38:C40)</f>
        <v>13104256</v>
      </c>
      <c r="D41" s="158">
        <f>SUM(D38:D40)</f>
        <v>12906996</v>
      </c>
      <c r="E41" s="158">
        <f>+D41-C41</f>
        <v>-197260</v>
      </c>
      <c r="F41" s="159">
        <f>IF(C41=0,0,E41/C41)</f>
        <v>-1.5053124725280092E-2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3987276</v>
      </c>
      <c r="D47" s="157">
        <v>3992280</v>
      </c>
      <c r="E47" s="157">
        <f>+D47-C47</f>
        <v>5004</v>
      </c>
      <c r="F47" s="161">
        <f>IF(C47=0,0,E47/C47)</f>
        <v>1.2549921299654201E-3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2356019</v>
      </c>
      <c r="D50" s="157">
        <v>2753277</v>
      </c>
      <c r="E50" s="157">
        <f>+D50-C50</f>
        <v>397258</v>
      </c>
      <c r="F50" s="161">
        <f>IF(C50=0,0,E50/C50)</f>
        <v>0.16861409012406098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300000</v>
      </c>
      <c r="D53" s="157">
        <v>300000</v>
      </c>
      <c r="E53" s="157">
        <f t="shared" ref="E53:E59" si="0">+D53-C53</f>
        <v>0</v>
      </c>
      <c r="F53" s="161">
        <f t="shared" ref="F53:F59" si="1">IF(C53=0,0,E53/C53)</f>
        <v>0</v>
      </c>
    </row>
    <row r="54" spans="1:6" ht="15" customHeight="1" x14ac:dyDescent="0.2">
      <c r="A54" s="147">
        <v>2</v>
      </c>
      <c r="B54" s="160" t="s">
        <v>189</v>
      </c>
      <c r="C54" s="157">
        <v>604961</v>
      </c>
      <c r="D54" s="157">
        <v>632574</v>
      </c>
      <c r="E54" s="157">
        <f t="shared" si="0"/>
        <v>27613</v>
      </c>
      <c r="F54" s="161">
        <f t="shared" si="1"/>
        <v>4.5644264671606927E-2</v>
      </c>
    </row>
    <row r="55" spans="1:6" ht="15" customHeight="1" x14ac:dyDescent="0.2">
      <c r="A55" s="147">
        <v>3</v>
      </c>
      <c r="B55" s="160" t="s">
        <v>190</v>
      </c>
      <c r="C55" s="157">
        <v>148208</v>
      </c>
      <c r="D55" s="157">
        <v>87755</v>
      </c>
      <c r="E55" s="157">
        <f t="shared" si="0"/>
        <v>-60453</v>
      </c>
      <c r="F55" s="161">
        <f t="shared" si="1"/>
        <v>-0.40789296124365754</v>
      </c>
    </row>
    <row r="56" spans="1:6" ht="15" customHeight="1" x14ac:dyDescent="0.2">
      <c r="A56" s="147">
        <v>4</v>
      </c>
      <c r="B56" s="160" t="s">
        <v>191</v>
      </c>
      <c r="C56" s="157">
        <v>1874238</v>
      </c>
      <c r="D56" s="157">
        <v>1791375</v>
      </c>
      <c r="E56" s="157">
        <f t="shared" si="0"/>
        <v>-82863</v>
      </c>
      <c r="F56" s="161">
        <f t="shared" si="1"/>
        <v>-4.4211567581064946E-2</v>
      </c>
    </row>
    <row r="57" spans="1:6" ht="15" customHeight="1" x14ac:dyDescent="0.2">
      <c r="A57" s="147">
        <v>5</v>
      </c>
      <c r="B57" s="160" t="s">
        <v>192</v>
      </c>
      <c r="C57" s="157">
        <v>395177</v>
      </c>
      <c r="D57" s="157">
        <v>436294</v>
      </c>
      <c r="E57" s="157">
        <f t="shared" si="0"/>
        <v>41117</v>
      </c>
      <c r="F57" s="161">
        <f t="shared" si="1"/>
        <v>0.10404704727248802</v>
      </c>
    </row>
    <row r="58" spans="1:6" ht="15" customHeight="1" x14ac:dyDescent="0.2">
      <c r="A58" s="147">
        <v>6</v>
      </c>
      <c r="B58" s="160" t="s">
        <v>193</v>
      </c>
      <c r="C58" s="157">
        <v>17522</v>
      </c>
      <c r="D58" s="157">
        <v>18868</v>
      </c>
      <c r="E58" s="157">
        <f t="shared" si="0"/>
        <v>1346</v>
      </c>
      <c r="F58" s="161">
        <f t="shared" si="1"/>
        <v>7.6817714872731424E-2</v>
      </c>
    </row>
    <row r="59" spans="1:6" ht="15.75" customHeight="1" x14ac:dyDescent="0.25">
      <c r="A59" s="147"/>
      <c r="B59" s="162" t="s">
        <v>194</v>
      </c>
      <c r="C59" s="158">
        <f>SUM(C53:C58)</f>
        <v>3340106</v>
      </c>
      <c r="D59" s="158">
        <f>SUM(D53:D58)</f>
        <v>3266866</v>
      </c>
      <c r="E59" s="158">
        <f t="shared" si="0"/>
        <v>-73240</v>
      </c>
      <c r="F59" s="159">
        <f t="shared" si="1"/>
        <v>-2.1927447811536521E-2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185417</v>
      </c>
      <c r="D62" s="157">
        <v>277664</v>
      </c>
      <c r="E62" s="157">
        <f t="shared" ref="E62:E90" si="2">+D62-C62</f>
        <v>92247</v>
      </c>
      <c r="F62" s="161">
        <f t="shared" ref="F62:F90" si="3">IF(C62=0,0,E62/C62)</f>
        <v>0.49751101571053358</v>
      </c>
    </row>
    <row r="63" spans="1:6" ht="15" customHeight="1" x14ac:dyDescent="0.2">
      <c r="A63" s="147">
        <v>2</v>
      </c>
      <c r="B63" s="160" t="s">
        <v>198</v>
      </c>
      <c r="C63" s="157">
        <v>171712</v>
      </c>
      <c r="D63" s="157">
        <v>74739</v>
      </c>
      <c r="E63" s="157">
        <f t="shared" si="2"/>
        <v>-96973</v>
      </c>
      <c r="F63" s="161">
        <f t="shared" si="3"/>
        <v>-0.56474212635109955</v>
      </c>
    </row>
    <row r="64" spans="1:6" ht="15" customHeight="1" x14ac:dyDescent="0.2">
      <c r="A64" s="147">
        <v>3</v>
      </c>
      <c r="B64" s="160" t="s">
        <v>199</v>
      </c>
      <c r="C64" s="157">
        <v>2083666</v>
      </c>
      <c r="D64" s="157">
        <v>2532438</v>
      </c>
      <c r="E64" s="157">
        <f t="shared" si="2"/>
        <v>448772</v>
      </c>
      <c r="F64" s="161">
        <f t="shared" si="3"/>
        <v>0.21537616873337664</v>
      </c>
    </row>
    <row r="65" spans="1:6" ht="15" customHeight="1" x14ac:dyDescent="0.2">
      <c r="A65" s="147">
        <v>4</v>
      </c>
      <c r="B65" s="160" t="s">
        <v>200</v>
      </c>
      <c r="C65" s="157">
        <v>486820</v>
      </c>
      <c r="D65" s="157">
        <v>517498</v>
      </c>
      <c r="E65" s="157">
        <f t="shared" si="2"/>
        <v>30678</v>
      </c>
      <c r="F65" s="161">
        <f t="shared" si="3"/>
        <v>6.3017131588677541E-2</v>
      </c>
    </row>
    <row r="66" spans="1:6" ht="15" customHeight="1" x14ac:dyDescent="0.2">
      <c r="A66" s="147">
        <v>5</v>
      </c>
      <c r="B66" s="160" t="s">
        <v>201</v>
      </c>
      <c r="C66" s="157">
        <v>832665</v>
      </c>
      <c r="D66" s="157">
        <v>754635</v>
      </c>
      <c r="E66" s="157">
        <f t="shared" si="2"/>
        <v>-78030</v>
      </c>
      <c r="F66" s="161">
        <f t="shared" si="3"/>
        <v>-9.3711156347390606E-2</v>
      </c>
    </row>
    <row r="67" spans="1:6" ht="15" customHeight="1" x14ac:dyDescent="0.2">
      <c r="A67" s="147">
        <v>6</v>
      </c>
      <c r="B67" s="160" t="s">
        <v>202</v>
      </c>
      <c r="C67" s="157">
        <v>3071032</v>
      </c>
      <c r="D67" s="157">
        <v>2985159</v>
      </c>
      <c r="E67" s="157">
        <f t="shared" si="2"/>
        <v>-85873</v>
      </c>
      <c r="F67" s="161">
        <f t="shared" si="3"/>
        <v>-2.7962261545955887E-2</v>
      </c>
    </row>
    <row r="68" spans="1:6" ht="15" customHeight="1" x14ac:dyDescent="0.2">
      <c r="A68" s="147">
        <v>7</v>
      </c>
      <c r="B68" s="160" t="s">
        <v>203</v>
      </c>
      <c r="C68" s="157">
        <v>4774218</v>
      </c>
      <c r="D68" s="157">
        <v>4541385</v>
      </c>
      <c r="E68" s="157">
        <f t="shared" si="2"/>
        <v>-232833</v>
      </c>
      <c r="F68" s="161">
        <f t="shared" si="3"/>
        <v>-4.8768824548858052E-2</v>
      </c>
    </row>
    <row r="69" spans="1:6" ht="15" customHeight="1" x14ac:dyDescent="0.2">
      <c r="A69" s="147">
        <v>8</v>
      </c>
      <c r="B69" s="160" t="s">
        <v>204</v>
      </c>
      <c r="C69" s="157">
        <v>321937</v>
      </c>
      <c r="D69" s="157">
        <v>276208</v>
      </c>
      <c r="E69" s="157">
        <f t="shared" si="2"/>
        <v>-45729</v>
      </c>
      <c r="F69" s="161">
        <f t="shared" si="3"/>
        <v>-0.14204331903446948</v>
      </c>
    </row>
    <row r="70" spans="1:6" ht="15" customHeight="1" x14ac:dyDescent="0.2">
      <c r="A70" s="147">
        <v>9</v>
      </c>
      <c r="B70" s="160" t="s">
        <v>205</v>
      </c>
      <c r="C70" s="157">
        <v>91772</v>
      </c>
      <c r="D70" s="157">
        <v>78607</v>
      </c>
      <c r="E70" s="157">
        <f t="shared" si="2"/>
        <v>-13165</v>
      </c>
      <c r="F70" s="161">
        <f t="shared" si="3"/>
        <v>-0.14345334088828837</v>
      </c>
    </row>
    <row r="71" spans="1:6" ht="15" customHeight="1" x14ac:dyDescent="0.2">
      <c r="A71" s="147">
        <v>10</v>
      </c>
      <c r="B71" s="160" t="s">
        <v>206</v>
      </c>
      <c r="C71" s="157">
        <v>29571</v>
      </c>
      <c r="D71" s="157">
        <v>49817</v>
      </c>
      <c r="E71" s="157">
        <f t="shared" si="2"/>
        <v>20246</v>
      </c>
      <c r="F71" s="161">
        <f t="shared" si="3"/>
        <v>0.68465726556423523</v>
      </c>
    </row>
    <row r="72" spans="1:6" ht="15" customHeight="1" x14ac:dyDescent="0.2">
      <c r="A72" s="147">
        <v>11</v>
      </c>
      <c r="B72" s="160" t="s">
        <v>207</v>
      </c>
      <c r="C72" s="157">
        <v>141109</v>
      </c>
      <c r="D72" s="157">
        <v>235818</v>
      </c>
      <c r="E72" s="157">
        <f t="shared" si="2"/>
        <v>94709</v>
      </c>
      <c r="F72" s="161">
        <f t="shared" si="3"/>
        <v>0.67117618295076853</v>
      </c>
    </row>
    <row r="73" spans="1:6" ht="15" customHeight="1" x14ac:dyDescent="0.2">
      <c r="A73" s="147">
        <v>12</v>
      </c>
      <c r="B73" s="160" t="s">
        <v>208</v>
      </c>
      <c r="C73" s="157">
        <v>2434462</v>
      </c>
      <c r="D73" s="157">
        <v>2246524</v>
      </c>
      <c r="E73" s="157">
        <f t="shared" si="2"/>
        <v>-187938</v>
      </c>
      <c r="F73" s="161">
        <f t="shared" si="3"/>
        <v>-7.719898688087963E-2</v>
      </c>
    </row>
    <row r="74" spans="1:6" ht="15" customHeight="1" x14ac:dyDescent="0.2">
      <c r="A74" s="147">
        <v>13</v>
      </c>
      <c r="B74" s="160" t="s">
        <v>209</v>
      </c>
      <c r="C74" s="157">
        <v>100962</v>
      </c>
      <c r="D74" s="157">
        <v>73454</v>
      </c>
      <c r="E74" s="157">
        <f t="shared" si="2"/>
        <v>-27508</v>
      </c>
      <c r="F74" s="161">
        <f t="shared" si="3"/>
        <v>-0.272458944949585</v>
      </c>
    </row>
    <row r="75" spans="1:6" ht="15" customHeight="1" x14ac:dyDescent="0.2">
      <c r="A75" s="147">
        <v>14</v>
      </c>
      <c r="B75" s="160" t="s">
        <v>210</v>
      </c>
      <c r="C75" s="157">
        <v>163065</v>
      </c>
      <c r="D75" s="157">
        <v>151692</v>
      </c>
      <c r="E75" s="157">
        <f t="shared" si="2"/>
        <v>-11373</v>
      </c>
      <c r="F75" s="161">
        <f t="shared" si="3"/>
        <v>-6.9745193634440247E-2</v>
      </c>
    </row>
    <row r="76" spans="1:6" ht="15" customHeight="1" x14ac:dyDescent="0.2">
      <c r="A76" s="147">
        <v>15</v>
      </c>
      <c r="B76" s="160" t="s">
        <v>211</v>
      </c>
      <c r="C76" s="157">
        <v>712202</v>
      </c>
      <c r="D76" s="157">
        <v>421006</v>
      </c>
      <c r="E76" s="157">
        <f t="shared" si="2"/>
        <v>-291196</v>
      </c>
      <c r="F76" s="161">
        <f t="shared" si="3"/>
        <v>-0.40886714724193418</v>
      </c>
    </row>
    <row r="77" spans="1:6" ht="15" customHeight="1" x14ac:dyDescent="0.2">
      <c r="A77" s="147">
        <v>16</v>
      </c>
      <c r="B77" s="160" t="s">
        <v>212</v>
      </c>
      <c r="C77" s="157">
        <v>3179898</v>
      </c>
      <c r="D77" s="157">
        <v>4378866</v>
      </c>
      <c r="E77" s="157">
        <f t="shared" si="2"/>
        <v>1198968</v>
      </c>
      <c r="F77" s="161">
        <f t="shared" si="3"/>
        <v>0.3770460561942553</v>
      </c>
    </row>
    <row r="78" spans="1:6" ht="15" customHeight="1" x14ac:dyDescent="0.2">
      <c r="A78" s="147">
        <v>17</v>
      </c>
      <c r="B78" s="160" t="s">
        <v>213</v>
      </c>
      <c r="C78" s="157">
        <v>0</v>
      </c>
      <c r="D78" s="157">
        <v>0</v>
      </c>
      <c r="E78" s="157">
        <f t="shared" si="2"/>
        <v>0</v>
      </c>
      <c r="F78" s="161">
        <f t="shared" si="3"/>
        <v>0</v>
      </c>
    </row>
    <row r="79" spans="1:6" ht="15" customHeight="1" x14ac:dyDescent="0.2">
      <c r="A79" s="147">
        <v>18</v>
      </c>
      <c r="B79" s="160" t="s">
        <v>214</v>
      </c>
      <c r="C79" s="157">
        <v>0</v>
      </c>
      <c r="D79" s="157">
        <v>0</v>
      </c>
      <c r="E79" s="157">
        <f t="shared" si="2"/>
        <v>0</v>
      </c>
      <c r="F79" s="161">
        <f t="shared" si="3"/>
        <v>0</v>
      </c>
    </row>
    <row r="80" spans="1:6" ht="15" customHeight="1" x14ac:dyDescent="0.2">
      <c r="A80" s="147">
        <v>19</v>
      </c>
      <c r="B80" s="160" t="s">
        <v>215</v>
      </c>
      <c r="C80" s="157">
        <v>1092054</v>
      </c>
      <c r="D80" s="157">
        <v>1030017</v>
      </c>
      <c r="E80" s="157">
        <f t="shared" si="2"/>
        <v>-62037</v>
      </c>
      <c r="F80" s="161">
        <f t="shared" si="3"/>
        <v>-5.6807630391903695E-2</v>
      </c>
    </row>
    <row r="81" spans="1:6" ht="15" customHeight="1" x14ac:dyDescent="0.2">
      <c r="A81" s="147">
        <v>20</v>
      </c>
      <c r="B81" s="160" t="s">
        <v>216</v>
      </c>
      <c r="C81" s="157">
        <v>990532</v>
      </c>
      <c r="D81" s="157">
        <v>967932</v>
      </c>
      <c r="E81" s="157">
        <f t="shared" si="2"/>
        <v>-22600</v>
      </c>
      <c r="F81" s="161">
        <f t="shared" si="3"/>
        <v>-2.2816022097216445E-2</v>
      </c>
    </row>
    <row r="82" spans="1:6" ht="15" customHeight="1" x14ac:dyDescent="0.2">
      <c r="A82" s="147">
        <v>21</v>
      </c>
      <c r="B82" s="160" t="s">
        <v>217</v>
      </c>
      <c r="C82" s="157">
        <v>320756</v>
      </c>
      <c r="D82" s="157">
        <v>367647</v>
      </c>
      <c r="E82" s="157">
        <f t="shared" si="2"/>
        <v>46891</v>
      </c>
      <c r="F82" s="161">
        <f t="shared" si="3"/>
        <v>0.14618900347928021</v>
      </c>
    </row>
    <row r="83" spans="1:6" ht="15" customHeight="1" x14ac:dyDescent="0.2">
      <c r="A83" s="147">
        <v>22</v>
      </c>
      <c r="B83" s="160" t="s">
        <v>218</v>
      </c>
      <c r="C83" s="157">
        <v>763130</v>
      </c>
      <c r="D83" s="157">
        <v>661959</v>
      </c>
      <c r="E83" s="157">
        <f t="shared" si="2"/>
        <v>-101171</v>
      </c>
      <c r="F83" s="161">
        <f t="shared" si="3"/>
        <v>-0.13257374235058247</v>
      </c>
    </row>
    <row r="84" spans="1:6" ht="15" customHeight="1" x14ac:dyDescent="0.2">
      <c r="A84" s="147">
        <v>23</v>
      </c>
      <c r="B84" s="160" t="s">
        <v>219</v>
      </c>
      <c r="C84" s="157">
        <v>594827</v>
      </c>
      <c r="D84" s="157">
        <v>579637</v>
      </c>
      <c r="E84" s="157">
        <f t="shared" si="2"/>
        <v>-15190</v>
      </c>
      <c r="F84" s="161">
        <f t="shared" si="3"/>
        <v>-2.5536836760940575E-2</v>
      </c>
    </row>
    <row r="85" spans="1:6" ht="15" customHeight="1" x14ac:dyDescent="0.2">
      <c r="A85" s="147">
        <v>24</v>
      </c>
      <c r="B85" s="160" t="s">
        <v>220</v>
      </c>
      <c r="C85" s="157">
        <v>0</v>
      </c>
      <c r="D85" s="157">
        <v>0</v>
      </c>
      <c r="E85" s="157">
        <f t="shared" si="2"/>
        <v>0</v>
      </c>
      <c r="F85" s="161">
        <f t="shared" si="3"/>
        <v>0</v>
      </c>
    </row>
    <row r="86" spans="1:6" ht="15" customHeight="1" x14ac:dyDescent="0.2">
      <c r="A86" s="147">
        <v>25</v>
      </c>
      <c r="B86" s="160" t="s">
        <v>221</v>
      </c>
      <c r="C86" s="157">
        <v>154221</v>
      </c>
      <c r="D86" s="157">
        <v>144916</v>
      </c>
      <c r="E86" s="157">
        <f t="shared" si="2"/>
        <v>-9305</v>
      </c>
      <c r="F86" s="161">
        <f t="shared" si="3"/>
        <v>-6.0335492572347472E-2</v>
      </c>
    </row>
    <row r="87" spans="1:6" ht="15" customHeight="1" x14ac:dyDescent="0.2">
      <c r="A87" s="147">
        <v>26</v>
      </c>
      <c r="B87" s="160" t="s">
        <v>222</v>
      </c>
      <c r="C87" s="157">
        <v>0</v>
      </c>
      <c r="D87" s="157">
        <v>0</v>
      </c>
      <c r="E87" s="157">
        <f t="shared" si="2"/>
        <v>0</v>
      </c>
      <c r="F87" s="161">
        <f t="shared" si="3"/>
        <v>0</v>
      </c>
    </row>
    <row r="88" spans="1:6" ht="15" customHeight="1" x14ac:dyDescent="0.2">
      <c r="A88" s="147">
        <v>27</v>
      </c>
      <c r="B88" s="160" t="s">
        <v>223</v>
      </c>
      <c r="C88" s="157">
        <v>0</v>
      </c>
      <c r="D88" s="157">
        <v>0</v>
      </c>
      <c r="E88" s="157">
        <f t="shared" si="2"/>
        <v>0</v>
      </c>
      <c r="F88" s="161">
        <f t="shared" si="3"/>
        <v>0</v>
      </c>
    </row>
    <row r="89" spans="1:6" ht="15" customHeight="1" x14ac:dyDescent="0.2">
      <c r="A89" s="147">
        <v>28</v>
      </c>
      <c r="B89" s="160" t="s">
        <v>224</v>
      </c>
      <c r="C89" s="157">
        <v>10060133</v>
      </c>
      <c r="D89" s="157">
        <v>10146528</v>
      </c>
      <c r="E89" s="157">
        <f t="shared" si="2"/>
        <v>86395</v>
      </c>
      <c r="F89" s="161">
        <f t="shared" si="3"/>
        <v>8.5878586297020131E-3</v>
      </c>
    </row>
    <row r="90" spans="1:6" ht="15.75" customHeight="1" x14ac:dyDescent="0.25">
      <c r="A90" s="147"/>
      <c r="B90" s="162" t="s">
        <v>225</v>
      </c>
      <c r="C90" s="158">
        <f>SUM(C62:C89)</f>
        <v>32756161</v>
      </c>
      <c r="D90" s="158">
        <f>SUM(D62:D89)</f>
        <v>33494146</v>
      </c>
      <c r="E90" s="158">
        <f t="shared" si="2"/>
        <v>737985</v>
      </c>
      <c r="F90" s="159">
        <f t="shared" si="3"/>
        <v>2.2529654802954473E-2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0</v>
      </c>
      <c r="D93" s="157">
        <v>0</v>
      </c>
      <c r="E93" s="157">
        <f>+D93-C93</f>
        <v>0</v>
      </c>
      <c r="F93" s="161">
        <f>IF(C93=0,0,E93/C93)</f>
        <v>0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210520148</v>
      </c>
      <c r="D95" s="158">
        <f>+D93+D90+D59+D50+D47+D44+D41+D35+D30+D24+D18</f>
        <v>208792651</v>
      </c>
      <c r="E95" s="158">
        <f>+D95-C95</f>
        <v>-1727497</v>
      </c>
      <c r="F95" s="159">
        <f>IF(C95=0,0,E95/C95)</f>
        <v>-8.2058511568213408E-3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58902500</v>
      </c>
      <c r="D103" s="157">
        <v>55746633</v>
      </c>
      <c r="E103" s="157">
        <f t="shared" ref="E103:E121" si="4">D103-C103</f>
        <v>-3155867</v>
      </c>
      <c r="F103" s="161">
        <f t="shared" ref="F103:F121" si="5">IF(C103=0,0,E103/C103)</f>
        <v>-5.3577810789015745E-2</v>
      </c>
    </row>
    <row r="104" spans="1:6" ht="15" customHeight="1" x14ac:dyDescent="0.2">
      <c r="A104" s="147">
        <v>2</v>
      </c>
      <c r="B104" s="169" t="s">
        <v>234</v>
      </c>
      <c r="C104" s="157">
        <v>2059869</v>
      </c>
      <c r="D104" s="157">
        <v>1892098</v>
      </c>
      <c r="E104" s="157">
        <f t="shared" si="4"/>
        <v>-167771</v>
      </c>
      <c r="F104" s="161">
        <f t="shared" si="5"/>
        <v>-8.1447412432538183E-2</v>
      </c>
    </row>
    <row r="105" spans="1:6" ht="15" customHeight="1" x14ac:dyDescent="0.2">
      <c r="A105" s="147">
        <v>3</v>
      </c>
      <c r="B105" s="169" t="s">
        <v>235</v>
      </c>
      <c r="C105" s="157">
        <v>4350292</v>
      </c>
      <c r="D105" s="157">
        <v>5758412</v>
      </c>
      <c r="E105" s="157">
        <f t="shared" si="4"/>
        <v>1408120</v>
      </c>
      <c r="F105" s="161">
        <f t="shared" si="5"/>
        <v>0.32368401937157321</v>
      </c>
    </row>
    <row r="106" spans="1:6" ht="15" customHeight="1" x14ac:dyDescent="0.2">
      <c r="A106" s="147">
        <v>4</v>
      </c>
      <c r="B106" s="169" t="s">
        <v>236</v>
      </c>
      <c r="C106" s="157">
        <v>1711781</v>
      </c>
      <c r="D106" s="157">
        <v>1767947</v>
      </c>
      <c r="E106" s="157">
        <f t="shared" si="4"/>
        <v>56166</v>
      </c>
      <c r="F106" s="161">
        <f t="shared" si="5"/>
        <v>3.2811440248489733E-2</v>
      </c>
    </row>
    <row r="107" spans="1:6" ht="15" customHeight="1" x14ac:dyDescent="0.2">
      <c r="A107" s="147">
        <v>5</v>
      </c>
      <c r="B107" s="169" t="s">
        <v>237</v>
      </c>
      <c r="C107" s="157">
        <v>6012543</v>
      </c>
      <c r="D107" s="157">
        <v>6872313</v>
      </c>
      <c r="E107" s="157">
        <f t="shared" si="4"/>
        <v>859770</v>
      </c>
      <c r="F107" s="161">
        <f t="shared" si="5"/>
        <v>0.14299606672251658</v>
      </c>
    </row>
    <row r="108" spans="1:6" ht="15" customHeight="1" x14ac:dyDescent="0.2">
      <c r="A108" s="147">
        <v>6</v>
      </c>
      <c r="B108" s="169" t="s">
        <v>238</v>
      </c>
      <c r="C108" s="157">
        <v>0</v>
      </c>
      <c r="D108" s="157">
        <v>0</v>
      </c>
      <c r="E108" s="157">
        <f t="shared" si="4"/>
        <v>0</v>
      </c>
      <c r="F108" s="161">
        <f t="shared" si="5"/>
        <v>0</v>
      </c>
    </row>
    <row r="109" spans="1:6" ht="15" customHeight="1" x14ac:dyDescent="0.2">
      <c r="A109" s="147">
        <v>7</v>
      </c>
      <c r="B109" s="169" t="s">
        <v>239</v>
      </c>
      <c r="C109" s="157">
        <v>1267566</v>
      </c>
      <c r="D109" s="157">
        <v>731407</v>
      </c>
      <c r="E109" s="157">
        <f t="shared" si="4"/>
        <v>-536159</v>
      </c>
      <c r="F109" s="161">
        <f t="shared" si="5"/>
        <v>-0.42298310304946646</v>
      </c>
    </row>
    <row r="110" spans="1:6" ht="15" customHeight="1" x14ac:dyDescent="0.2">
      <c r="A110" s="147">
        <v>8</v>
      </c>
      <c r="B110" s="169" t="s">
        <v>240</v>
      </c>
      <c r="C110" s="157">
        <v>1730158</v>
      </c>
      <c r="D110" s="157">
        <v>1180987</v>
      </c>
      <c r="E110" s="157">
        <f t="shared" si="4"/>
        <v>-549171</v>
      </c>
      <c r="F110" s="161">
        <f t="shared" si="5"/>
        <v>-0.31741089542111184</v>
      </c>
    </row>
    <row r="111" spans="1:6" ht="15" customHeight="1" x14ac:dyDescent="0.2">
      <c r="A111" s="147">
        <v>9</v>
      </c>
      <c r="B111" s="169" t="s">
        <v>241</v>
      </c>
      <c r="C111" s="157">
        <v>980434</v>
      </c>
      <c r="D111" s="157">
        <v>843469</v>
      </c>
      <c r="E111" s="157">
        <f t="shared" si="4"/>
        <v>-136965</v>
      </c>
      <c r="F111" s="161">
        <f t="shared" si="5"/>
        <v>-0.13969833767494802</v>
      </c>
    </row>
    <row r="112" spans="1:6" ht="15" customHeight="1" x14ac:dyDescent="0.2">
      <c r="A112" s="147">
        <v>10</v>
      </c>
      <c r="B112" s="169" t="s">
        <v>242</v>
      </c>
      <c r="C112" s="157">
        <v>3389564</v>
      </c>
      <c r="D112" s="157">
        <v>3265897</v>
      </c>
      <c r="E112" s="157">
        <f t="shared" si="4"/>
        <v>-123667</v>
      </c>
      <c r="F112" s="161">
        <f t="shared" si="5"/>
        <v>-3.6484633421879631E-2</v>
      </c>
    </row>
    <row r="113" spans="1:6" ht="15" customHeight="1" x14ac:dyDescent="0.2">
      <c r="A113" s="147">
        <v>11</v>
      </c>
      <c r="B113" s="169" t="s">
        <v>243</v>
      </c>
      <c r="C113" s="157">
        <v>2500274</v>
      </c>
      <c r="D113" s="157">
        <v>2515924</v>
      </c>
      <c r="E113" s="157">
        <f t="shared" si="4"/>
        <v>15650</v>
      </c>
      <c r="F113" s="161">
        <f t="shared" si="5"/>
        <v>6.2593139791878808E-3</v>
      </c>
    </row>
    <row r="114" spans="1:6" ht="15" customHeight="1" x14ac:dyDescent="0.2">
      <c r="A114" s="147">
        <v>12</v>
      </c>
      <c r="B114" s="169" t="s">
        <v>244</v>
      </c>
      <c r="C114" s="157">
        <v>0</v>
      </c>
      <c r="D114" s="157">
        <v>0</v>
      </c>
      <c r="E114" s="157">
        <f t="shared" si="4"/>
        <v>0</v>
      </c>
      <c r="F114" s="161">
        <f t="shared" si="5"/>
        <v>0</v>
      </c>
    </row>
    <row r="115" spans="1:6" ht="15" customHeight="1" x14ac:dyDescent="0.2">
      <c r="A115" s="147">
        <v>13</v>
      </c>
      <c r="B115" s="169" t="s">
        <v>245</v>
      </c>
      <c r="C115" s="157">
        <v>6469654</v>
      </c>
      <c r="D115" s="157">
        <v>6332665</v>
      </c>
      <c r="E115" s="157">
        <f t="shared" si="4"/>
        <v>-136989</v>
      </c>
      <c r="F115" s="161">
        <f t="shared" si="5"/>
        <v>-2.1174084425534968E-2</v>
      </c>
    </row>
    <row r="116" spans="1:6" ht="15" customHeight="1" x14ac:dyDescent="0.2">
      <c r="A116" s="147">
        <v>14</v>
      </c>
      <c r="B116" s="169" t="s">
        <v>246</v>
      </c>
      <c r="C116" s="157">
        <v>0</v>
      </c>
      <c r="D116" s="157">
        <v>0</v>
      </c>
      <c r="E116" s="157">
        <f t="shared" si="4"/>
        <v>0</v>
      </c>
      <c r="F116" s="161">
        <f t="shared" si="5"/>
        <v>0</v>
      </c>
    </row>
    <row r="117" spans="1:6" ht="15" customHeight="1" x14ac:dyDescent="0.2">
      <c r="A117" s="147">
        <v>15</v>
      </c>
      <c r="B117" s="169" t="s">
        <v>203</v>
      </c>
      <c r="C117" s="157">
        <v>0</v>
      </c>
      <c r="D117" s="157">
        <v>0</v>
      </c>
      <c r="E117" s="157">
        <f t="shared" si="4"/>
        <v>0</v>
      </c>
      <c r="F117" s="161">
        <f t="shared" si="5"/>
        <v>0</v>
      </c>
    </row>
    <row r="118" spans="1:6" ht="15" customHeight="1" x14ac:dyDescent="0.2">
      <c r="A118" s="147">
        <v>16</v>
      </c>
      <c r="B118" s="169" t="s">
        <v>247</v>
      </c>
      <c r="C118" s="157">
        <v>0</v>
      </c>
      <c r="D118" s="157">
        <v>0</v>
      </c>
      <c r="E118" s="157">
        <f t="shared" si="4"/>
        <v>0</v>
      </c>
      <c r="F118" s="161">
        <f t="shared" si="5"/>
        <v>0</v>
      </c>
    </row>
    <row r="119" spans="1:6" ht="15" customHeight="1" x14ac:dyDescent="0.2">
      <c r="A119" s="147">
        <v>17</v>
      </c>
      <c r="B119" s="169" t="s">
        <v>248</v>
      </c>
      <c r="C119" s="157">
        <v>17569388</v>
      </c>
      <c r="D119" s="157">
        <v>17690612</v>
      </c>
      <c r="E119" s="157">
        <f t="shared" si="4"/>
        <v>121224</v>
      </c>
      <c r="F119" s="161">
        <f t="shared" si="5"/>
        <v>6.8997280952529478E-3</v>
      </c>
    </row>
    <row r="120" spans="1:6" ht="15" customHeight="1" x14ac:dyDescent="0.2">
      <c r="A120" s="147">
        <v>18</v>
      </c>
      <c r="B120" s="169" t="s">
        <v>249</v>
      </c>
      <c r="C120" s="157">
        <v>0</v>
      </c>
      <c r="D120" s="157">
        <v>0</v>
      </c>
      <c r="E120" s="157">
        <f t="shared" si="4"/>
        <v>0</v>
      </c>
      <c r="F120" s="161">
        <f t="shared" si="5"/>
        <v>0</v>
      </c>
    </row>
    <row r="121" spans="1:6" ht="15.75" customHeight="1" x14ac:dyDescent="0.25">
      <c r="A121" s="147"/>
      <c r="B121" s="165" t="s">
        <v>250</v>
      </c>
      <c r="C121" s="158">
        <f>SUM(C103:C120)</f>
        <v>106944023</v>
      </c>
      <c r="D121" s="158">
        <f>SUM(D103:D120)</f>
        <v>104598364</v>
      </c>
      <c r="E121" s="158">
        <f t="shared" si="4"/>
        <v>-2345659</v>
      </c>
      <c r="F121" s="159">
        <f t="shared" si="5"/>
        <v>-2.1933521240359549E-2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1047804</v>
      </c>
      <c r="D124" s="157">
        <v>1033740</v>
      </c>
      <c r="E124" s="157">
        <f t="shared" ref="E124:E130" si="6">D124-C124</f>
        <v>-14064</v>
      </c>
      <c r="F124" s="161">
        <f t="shared" ref="F124:F130" si="7">IF(C124=0,0,E124/C124)</f>
        <v>-1.3422357616500796E-2</v>
      </c>
    </row>
    <row r="125" spans="1:6" ht="15" customHeight="1" x14ac:dyDescent="0.2">
      <c r="A125" s="147">
        <v>2</v>
      </c>
      <c r="B125" s="169" t="s">
        <v>253</v>
      </c>
      <c r="C125" s="157">
        <v>0</v>
      </c>
      <c r="D125" s="157">
        <v>0</v>
      </c>
      <c r="E125" s="157">
        <f t="shared" si="6"/>
        <v>0</v>
      </c>
      <c r="F125" s="161">
        <f t="shared" si="7"/>
        <v>0</v>
      </c>
    </row>
    <row r="126" spans="1:6" ht="15" customHeight="1" x14ac:dyDescent="0.2">
      <c r="A126" s="147">
        <v>3</v>
      </c>
      <c r="B126" s="169" t="s">
        <v>254</v>
      </c>
      <c r="C126" s="157">
        <v>1846633</v>
      </c>
      <c r="D126" s="157">
        <v>1489652</v>
      </c>
      <c r="E126" s="157">
        <f t="shared" si="6"/>
        <v>-356981</v>
      </c>
      <c r="F126" s="161">
        <f t="shared" si="7"/>
        <v>-0.19331453515668787</v>
      </c>
    </row>
    <row r="127" spans="1:6" ht="15" customHeight="1" x14ac:dyDescent="0.2">
      <c r="A127" s="147">
        <v>4</v>
      </c>
      <c r="B127" s="169" t="s">
        <v>255</v>
      </c>
      <c r="C127" s="157">
        <v>2207906</v>
      </c>
      <c r="D127" s="157">
        <v>858654</v>
      </c>
      <c r="E127" s="157">
        <f t="shared" si="6"/>
        <v>-1349252</v>
      </c>
      <c r="F127" s="161">
        <f t="shared" si="7"/>
        <v>-0.61110029140733346</v>
      </c>
    </row>
    <row r="128" spans="1:6" ht="15" customHeight="1" x14ac:dyDescent="0.2">
      <c r="A128" s="147">
        <v>5</v>
      </c>
      <c r="B128" s="169" t="s">
        <v>256</v>
      </c>
      <c r="C128" s="157">
        <v>1626449</v>
      </c>
      <c r="D128" s="157">
        <v>1579067</v>
      </c>
      <c r="E128" s="157">
        <f t="shared" si="6"/>
        <v>-47382</v>
      </c>
      <c r="F128" s="161">
        <f t="shared" si="7"/>
        <v>-2.9132176908098564E-2</v>
      </c>
    </row>
    <row r="129" spans="1:6" ht="15" customHeight="1" x14ac:dyDescent="0.2">
      <c r="A129" s="147">
        <v>6</v>
      </c>
      <c r="B129" s="169" t="s">
        <v>257</v>
      </c>
      <c r="C129" s="157">
        <v>4835268</v>
      </c>
      <c r="D129" s="157">
        <v>5167186</v>
      </c>
      <c r="E129" s="157">
        <f t="shared" si="6"/>
        <v>331918</v>
      </c>
      <c r="F129" s="161">
        <f t="shared" si="7"/>
        <v>6.8645212633508632E-2</v>
      </c>
    </row>
    <row r="130" spans="1:6" ht="15.75" customHeight="1" x14ac:dyDescent="0.25">
      <c r="A130" s="147"/>
      <c r="B130" s="165" t="s">
        <v>258</v>
      </c>
      <c r="C130" s="158">
        <f>SUM(C124:C129)</f>
        <v>11564060</v>
      </c>
      <c r="D130" s="158">
        <f>SUM(D124:D129)</f>
        <v>10128299</v>
      </c>
      <c r="E130" s="158">
        <f t="shared" si="6"/>
        <v>-1435761</v>
      </c>
      <c r="F130" s="159">
        <f t="shared" si="7"/>
        <v>-0.12415717317274383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17749198</v>
      </c>
      <c r="D133" s="157">
        <v>18966633</v>
      </c>
      <c r="E133" s="157">
        <f t="shared" ref="E133:E167" si="8">D133-C133</f>
        <v>1217435</v>
      </c>
      <c r="F133" s="161">
        <f t="shared" ref="F133:F167" si="9">IF(C133=0,0,E133/C133)</f>
        <v>6.859098647724815E-2</v>
      </c>
    </row>
    <row r="134" spans="1:6" ht="15" customHeight="1" x14ac:dyDescent="0.2">
      <c r="A134" s="147">
        <v>2</v>
      </c>
      <c r="B134" s="169" t="s">
        <v>261</v>
      </c>
      <c r="C134" s="157">
        <v>2490713</v>
      </c>
      <c r="D134" s="157">
        <v>2522300</v>
      </c>
      <c r="E134" s="157">
        <f t="shared" si="8"/>
        <v>31587</v>
      </c>
      <c r="F134" s="161">
        <f t="shared" si="9"/>
        <v>1.2681910762099045E-2</v>
      </c>
    </row>
    <row r="135" spans="1:6" ht="15" customHeight="1" x14ac:dyDescent="0.2">
      <c r="A135" s="147">
        <v>3</v>
      </c>
      <c r="B135" s="169" t="s">
        <v>262</v>
      </c>
      <c r="C135" s="157">
        <v>390198</v>
      </c>
      <c r="D135" s="157">
        <v>419320</v>
      </c>
      <c r="E135" s="157">
        <f t="shared" si="8"/>
        <v>29122</v>
      </c>
      <c r="F135" s="161">
        <f t="shared" si="9"/>
        <v>7.4633903812935998E-2</v>
      </c>
    </row>
    <row r="136" spans="1:6" ht="15" customHeight="1" x14ac:dyDescent="0.2">
      <c r="A136" s="147">
        <v>4</v>
      </c>
      <c r="B136" s="169" t="s">
        <v>263</v>
      </c>
      <c r="C136" s="157">
        <v>0</v>
      </c>
      <c r="D136" s="157">
        <v>0</v>
      </c>
      <c r="E136" s="157">
        <f t="shared" si="8"/>
        <v>0</v>
      </c>
      <c r="F136" s="161">
        <f t="shared" si="9"/>
        <v>0</v>
      </c>
    </row>
    <row r="137" spans="1:6" ht="15" customHeight="1" x14ac:dyDescent="0.2">
      <c r="A137" s="147">
        <v>5</v>
      </c>
      <c r="B137" s="169" t="s">
        <v>264</v>
      </c>
      <c r="C137" s="157">
        <v>6694816</v>
      </c>
      <c r="D137" s="157">
        <v>7312876</v>
      </c>
      <c r="E137" s="157">
        <f t="shared" si="8"/>
        <v>618060</v>
      </c>
      <c r="F137" s="161">
        <f t="shared" si="9"/>
        <v>9.2319191446038243E-2</v>
      </c>
    </row>
    <row r="138" spans="1:6" ht="15" customHeight="1" x14ac:dyDescent="0.2">
      <c r="A138" s="147">
        <v>6</v>
      </c>
      <c r="B138" s="169" t="s">
        <v>265</v>
      </c>
      <c r="C138" s="157">
        <v>1062639</v>
      </c>
      <c r="D138" s="157">
        <v>1064705</v>
      </c>
      <c r="E138" s="157">
        <f t="shared" si="8"/>
        <v>2066</v>
      </c>
      <c r="F138" s="161">
        <f t="shared" si="9"/>
        <v>1.9442162390049679E-3</v>
      </c>
    </row>
    <row r="139" spans="1:6" ht="15" customHeight="1" x14ac:dyDescent="0.2">
      <c r="A139" s="147">
        <v>7</v>
      </c>
      <c r="B139" s="169" t="s">
        <v>266</v>
      </c>
      <c r="C139" s="157">
        <v>4244945</v>
      </c>
      <c r="D139" s="157">
        <v>4678579</v>
      </c>
      <c r="E139" s="157">
        <f t="shared" si="8"/>
        <v>433634</v>
      </c>
      <c r="F139" s="161">
        <f t="shared" si="9"/>
        <v>0.1021530314291469</v>
      </c>
    </row>
    <row r="140" spans="1:6" ht="15" customHeight="1" x14ac:dyDescent="0.2">
      <c r="A140" s="147">
        <v>8</v>
      </c>
      <c r="B140" s="169" t="s">
        <v>267</v>
      </c>
      <c r="C140" s="157">
        <v>720845</v>
      </c>
      <c r="D140" s="157">
        <v>757676</v>
      </c>
      <c r="E140" s="157">
        <f t="shared" si="8"/>
        <v>36831</v>
      </c>
      <c r="F140" s="161">
        <f t="shared" si="9"/>
        <v>5.109420194355236E-2</v>
      </c>
    </row>
    <row r="141" spans="1:6" ht="15" customHeight="1" x14ac:dyDescent="0.2">
      <c r="A141" s="147">
        <v>9</v>
      </c>
      <c r="B141" s="169" t="s">
        <v>268</v>
      </c>
      <c r="C141" s="157">
        <v>1103819</v>
      </c>
      <c r="D141" s="157">
        <v>1282770</v>
      </c>
      <c r="E141" s="157">
        <f t="shared" si="8"/>
        <v>178951</v>
      </c>
      <c r="F141" s="161">
        <f t="shared" si="9"/>
        <v>0.16211987653772947</v>
      </c>
    </row>
    <row r="142" spans="1:6" ht="15" customHeight="1" x14ac:dyDescent="0.2">
      <c r="A142" s="147">
        <v>10</v>
      </c>
      <c r="B142" s="169" t="s">
        <v>269</v>
      </c>
      <c r="C142" s="157">
        <v>7684942</v>
      </c>
      <c r="D142" s="157">
        <v>7433896</v>
      </c>
      <c r="E142" s="157">
        <f t="shared" si="8"/>
        <v>-251046</v>
      </c>
      <c r="F142" s="161">
        <f t="shared" si="9"/>
        <v>-3.2667260208339891E-2</v>
      </c>
    </row>
    <row r="143" spans="1:6" ht="15" customHeight="1" x14ac:dyDescent="0.2">
      <c r="A143" s="147">
        <v>11</v>
      </c>
      <c r="B143" s="169" t="s">
        <v>270</v>
      </c>
      <c r="C143" s="157">
        <v>0</v>
      </c>
      <c r="D143" s="157">
        <v>0</v>
      </c>
      <c r="E143" s="157">
        <f t="shared" si="8"/>
        <v>0</v>
      </c>
      <c r="F143" s="161">
        <f t="shared" si="9"/>
        <v>0</v>
      </c>
    </row>
    <row r="144" spans="1:6" ht="15" customHeight="1" x14ac:dyDescent="0.2">
      <c r="A144" s="147">
        <v>12</v>
      </c>
      <c r="B144" s="169" t="s">
        <v>271</v>
      </c>
      <c r="C144" s="157">
        <v>0</v>
      </c>
      <c r="D144" s="157">
        <v>0</v>
      </c>
      <c r="E144" s="157">
        <f t="shared" si="8"/>
        <v>0</v>
      </c>
      <c r="F144" s="161">
        <f t="shared" si="9"/>
        <v>0</v>
      </c>
    </row>
    <row r="145" spans="1:6" ht="15" customHeight="1" x14ac:dyDescent="0.2">
      <c r="A145" s="147">
        <v>13</v>
      </c>
      <c r="B145" s="169" t="s">
        <v>272</v>
      </c>
      <c r="C145" s="157">
        <v>1131801</v>
      </c>
      <c r="D145" s="157">
        <v>1007867</v>
      </c>
      <c r="E145" s="157">
        <f t="shared" si="8"/>
        <v>-123934</v>
      </c>
      <c r="F145" s="161">
        <f t="shared" si="9"/>
        <v>-0.10950158199188727</v>
      </c>
    </row>
    <row r="146" spans="1:6" ht="15" customHeight="1" x14ac:dyDescent="0.2">
      <c r="A146" s="147">
        <v>14</v>
      </c>
      <c r="B146" s="169" t="s">
        <v>273</v>
      </c>
      <c r="C146" s="157">
        <v>0</v>
      </c>
      <c r="D146" s="157">
        <v>0</v>
      </c>
      <c r="E146" s="157">
        <f t="shared" si="8"/>
        <v>0</v>
      </c>
      <c r="F146" s="161">
        <f t="shared" si="9"/>
        <v>0</v>
      </c>
    </row>
    <row r="147" spans="1:6" ht="15" customHeight="1" x14ac:dyDescent="0.2">
      <c r="A147" s="147">
        <v>15</v>
      </c>
      <c r="B147" s="169" t="s">
        <v>274</v>
      </c>
      <c r="C147" s="157">
        <v>0</v>
      </c>
      <c r="D147" s="157">
        <v>0</v>
      </c>
      <c r="E147" s="157">
        <f t="shared" si="8"/>
        <v>0</v>
      </c>
      <c r="F147" s="161">
        <f t="shared" si="9"/>
        <v>0</v>
      </c>
    </row>
    <row r="148" spans="1:6" ht="15" customHeight="1" x14ac:dyDescent="0.2">
      <c r="A148" s="147">
        <v>16</v>
      </c>
      <c r="B148" s="169" t="s">
        <v>275</v>
      </c>
      <c r="C148" s="157">
        <v>0</v>
      </c>
      <c r="D148" s="157">
        <v>0</v>
      </c>
      <c r="E148" s="157">
        <f t="shared" si="8"/>
        <v>0</v>
      </c>
      <c r="F148" s="161">
        <f t="shared" si="9"/>
        <v>0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1249534</v>
      </c>
      <c r="D150" s="157">
        <v>1234637</v>
      </c>
      <c r="E150" s="157">
        <f t="shared" si="8"/>
        <v>-14897</v>
      </c>
      <c r="F150" s="161">
        <f t="shared" si="9"/>
        <v>-1.1922044538203842E-2</v>
      </c>
    </row>
    <row r="151" spans="1:6" ht="15" customHeight="1" x14ac:dyDescent="0.2">
      <c r="A151" s="147">
        <v>19</v>
      </c>
      <c r="B151" s="169" t="s">
        <v>278</v>
      </c>
      <c r="C151" s="157">
        <v>90807</v>
      </c>
      <c r="D151" s="157">
        <v>90360</v>
      </c>
      <c r="E151" s="157">
        <f t="shared" si="8"/>
        <v>-447</v>
      </c>
      <c r="F151" s="161">
        <f t="shared" si="9"/>
        <v>-4.9225279989428125E-3</v>
      </c>
    </row>
    <row r="152" spans="1:6" ht="15" customHeight="1" x14ac:dyDescent="0.2">
      <c r="A152" s="147">
        <v>20</v>
      </c>
      <c r="B152" s="169" t="s">
        <v>279</v>
      </c>
      <c r="C152" s="157">
        <v>364203</v>
      </c>
      <c r="D152" s="157">
        <v>373744</v>
      </c>
      <c r="E152" s="157">
        <f t="shared" si="8"/>
        <v>9541</v>
      </c>
      <c r="F152" s="161">
        <f t="shared" si="9"/>
        <v>2.6196928635953028E-2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0</v>
      </c>
      <c r="D154" s="157">
        <v>0</v>
      </c>
      <c r="E154" s="157">
        <f t="shared" si="8"/>
        <v>0</v>
      </c>
      <c r="F154" s="161">
        <f t="shared" si="9"/>
        <v>0</v>
      </c>
    </row>
    <row r="155" spans="1:6" ht="15" customHeight="1" x14ac:dyDescent="0.2">
      <c r="A155" s="147">
        <v>23</v>
      </c>
      <c r="B155" s="169" t="s">
        <v>282</v>
      </c>
      <c r="C155" s="157">
        <v>0</v>
      </c>
      <c r="D155" s="157">
        <v>0</v>
      </c>
      <c r="E155" s="157">
        <f t="shared" si="8"/>
        <v>0</v>
      </c>
      <c r="F155" s="161">
        <f t="shared" si="9"/>
        <v>0</v>
      </c>
    </row>
    <row r="156" spans="1:6" ht="15" customHeight="1" x14ac:dyDescent="0.2">
      <c r="A156" s="147">
        <v>24</v>
      </c>
      <c r="B156" s="169" t="s">
        <v>283</v>
      </c>
      <c r="C156" s="157">
        <v>12920123</v>
      </c>
      <c r="D156" s="157">
        <v>13129201</v>
      </c>
      <c r="E156" s="157">
        <f t="shared" si="8"/>
        <v>209078</v>
      </c>
      <c r="F156" s="161">
        <f t="shared" si="9"/>
        <v>1.6182353681927022E-2</v>
      </c>
    </row>
    <row r="157" spans="1:6" ht="15" customHeight="1" x14ac:dyDescent="0.2">
      <c r="A157" s="147">
        <v>25</v>
      </c>
      <c r="B157" s="169" t="s">
        <v>284</v>
      </c>
      <c r="C157" s="157">
        <v>1407343</v>
      </c>
      <c r="D157" s="157">
        <v>1425013</v>
      </c>
      <c r="E157" s="157">
        <f t="shared" si="8"/>
        <v>17670</v>
      </c>
      <c r="F157" s="161">
        <f t="shared" si="9"/>
        <v>1.2555574582742089E-2</v>
      </c>
    </row>
    <row r="158" spans="1:6" ht="15" customHeight="1" x14ac:dyDescent="0.2">
      <c r="A158" s="147">
        <v>26</v>
      </c>
      <c r="B158" s="169" t="s">
        <v>285</v>
      </c>
      <c r="C158" s="157">
        <v>0</v>
      </c>
      <c r="D158" s="157">
        <v>0</v>
      </c>
      <c r="E158" s="157">
        <f t="shared" si="8"/>
        <v>0</v>
      </c>
      <c r="F158" s="161">
        <f t="shared" si="9"/>
        <v>0</v>
      </c>
    </row>
    <row r="159" spans="1:6" ht="15" customHeight="1" x14ac:dyDescent="0.2">
      <c r="A159" s="147">
        <v>27</v>
      </c>
      <c r="B159" s="169" t="s">
        <v>286</v>
      </c>
      <c r="C159" s="157">
        <v>138841</v>
      </c>
      <c r="D159" s="157">
        <v>74090</v>
      </c>
      <c r="E159" s="157">
        <f t="shared" si="8"/>
        <v>-64751</v>
      </c>
      <c r="F159" s="161">
        <f t="shared" si="9"/>
        <v>-0.46636800368767151</v>
      </c>
    </row>
    <row r="160" spans="1:6" ht="15" customHeight="1" x14ac:dyDescent="0.2">
      <c r="A160" s="147">
        <v>28</v>
      </c>
      <c r="B160" s="169" t="s">
        <v>287</v>
      </c>
      <c r="C160" s="157">
        <v>3128938</v>
      </c>
      <c r="D160" s="157">
        <v>3253416</v>
      </c>
      <c r="E160" s="157">
        <f t="shared" si="8"/>
        <v>124478</v>
      </c>
      <c r="F160" s="161">
        <f t="shared" si="9"/>
        <v>3.9782827272384434E-2</v>
      </c>
    </row>
    <row r="161" spans="1:6" ht="15" customHeight="1" x14ac:dyDescent="0.2">
      <c r="A161" s="147">
        <v>29</v>
      </c>
      <c r="B161" s="169" t="s">
        <v>288</v>
      </c>
      <c r="C161" s="157">
        <v>967822</v>
      </c>
      <c r="D161" s="157">
        <v>917937</v>
      </c>
      <c r="E161" s="157">
        <f t="shared" si="8"/>
        <v>-49885</v>
      </c>
      <c r="F161" s="161">
        <f t="shared" si="9"/>
        <v>-5.1543568962061206E-2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148047</v>
      </c>
      <c r="D163" s="157">
        <v>152163</v>
      </c>
      <c r="E163" s="157">
        <f t="shared" si="8"/>
        <v>4116</v>
      </c>
      <c r="F163" s="161">
        <f t="shared" si="9"/>
        <v>2.780198180307605E-2</v>
      </c>
    </row>
    <row r="164" spans="1:6" ht="15" customHeight="1" x14ac:dyDescent="0.2">
      <c r="A164" s="147">
        <v>32</v>
      </c>
      <c r="B164" s="169" t="s">
        <v>291</v>
      </c>
      <c r="C164" s="157">
        <v>800049</v>
      </c>
      <c r="D164" s="157">
        <v>739954</v>
      </c>
      <c r="E164" s="157">
        <f t="shared" si="8"/>
        <v>-60095</v>
      </c>
      <c r="F164" s="161">
        <f t="shared" si="9"/>
        <v>-7.5114149258357923E-2</v>
      </c>
    </row>
    <row r="165" spans="1:6" ht="15" customHeight="1" x14ac:dyDescent="0.2">
      <c r="A165" s="147">
        <v>33</v>
      </c>
      <c r="B165" s="169" t="s">
        <v>292</v>
      </c>
      <c r="C165" s="157">
        <v>0</v>
      </c>
      <c r="D165" s="157">
        <v>0</v>
      </c>
      <c r="E165" s="157">
        <f t="shared" si="8"/>
        <v>0</v>
      </c>
      <c r="F165" s="161">
        <f t="shared" si="9"/>
        <v>0</v>
      </c>
    </row>
    <row r="166" spans="1:6" ht="15" customHeight="1" x14ac:dyDescent="0.2">
      <c r="A166" s="147">
        <v>34</v>
      </c>
      <c r="B166" s="169" t="s">
        <v>293</v>
      </c>
      <c r="C166" s="157">
        <v>2097175</v>
      </c>
      <c r="D166" s="157">
        <v>1893036</v>
      </c>
      <c r="E166" s="157">
        <f t="shared" si="8"/>
        <v>-204139</v>
      </c>
      <c r="F166" s="161">
        <f t="shared" si="9"/>
        <v>-9.7339993085937035E-2</v>
      </c>
    </row>
    <row r="167" spans="1:6" ht="15.75" customHeight="1" x14ac:dyDescent="0.25">
      <c r="A167" s="147"/>
      <c r="B167" s="165" t="s">
        <v>294</v>
      </c>
      <c r="C167" s="158">
        <f>SUM(C133:C166)</f>
        <v>66586798</v>
      </c>
      <c r="D167" s="158">
        <f>SUM(D133:D166)</f>
        <v>68730173</v>
      </c>
      <c r="E167" s="158">
        <f t="shared" si="8"/>
        <v>2143375</v>
      </c>
      <c r="F167" s="159">
        <f t="shared" si="9"/>
        <v>3.2189188613634796E-2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18651936</v>
      </c>
      <c r="D170" s="157">
        <v>18530257</v>
      </c>
      <c r="E170" s="157">
        <f t="shared" ref="E170:E183" si="10">D170-C170</f>
        <v>-121679</v>
      </c>
      <c r="F170" s="161">
        <f t="shared" ref="F170:F183" si="11">IF(C170=0,0,E170/C170)</f>
        <v>-6.5236659615387918E-3</v>
      </c>
    </row>
    <row r="171" spans="1:6" ht="15" customHeight="1" x14ac:dyDescent="0.2">
      <c r="A171" s="147">
        <v>2</v>
      </c>
      <c r="B171" s="169" t="s">
        <v>297</v>
      </c>
      <c r="C171" s="157">
        <v>0</v>
      </c>
      <c r="D171" s="157">
        <v>0</v>
      </c>
      <c r="E171" s="157">
        <f t="shared" si="10"/>
        <v>0</v>
      </c>
      <c r="F171" s="161">
        <f t="shared" si="11"/>
        <v>0</v>
      </c>
    </row>
    <row r="172" spans="1:6" ht="15" customHeight="1" x14ac:dyDescent="0.2">
      <c r="A172" s="147">
        <v>3</v>
      </c>
      <c r="B172" s="169" t="s">
        <v>298</v>
      </c>
      <c r="C172" s="157">
        <v>0</v>
      </c>
      <c r="D172" s="157">
        <v>0</v>
      </c>
      <c r="E172" s="157">
        <f t="shared" si="10"/>
        <v>0</v>
      </c>
      <c r="F172" s="161">
        <f t="shared" si="11"/>
        <v>0</v>
      </c>
    </row>
    <row r="173" spans="1:6" ht="15" customHeight="1" x14ac:dyDescent="0.2">
      <c r="A173" s="147">
        <v>4</v>
      </c>
      <c r="B173" s="169" t="s">
        <v>299</v>
      </c>
      <c r="C173" s="157">
        <v>1856551</v>
      </c>
      <c r="D173" s="157">
        <v>2048096</v>
      </c>
      <c r="E173" s="157">
        <f t="shared" si="10"/>
        <v>191545</v>
      </c>
      <c r="F173" s="161">
        <f t="shared" si="11"/>
        <v>0.10317249566534935</v>
      </c>
    </row>
    <row r="174" spans="1:6" ht="15" customHeight="1" x14ac:dyDescent="0.2">
      <c r="A174" s="147">
        <v>5</v>
      </c>
      <c r="B174" s="169" t="s">
        <v>300</v>
      </c>
      <c r="C174" s="157">
        <v>0</v>
      </c>
      <c r="D174" s="157">
        <v>0</v>
      </c>
      <c r="E174" s="157">
        <f t="shared" si="10"/>
        <v>0</v>
      </c>
      <c r="F174" s="161">
        <f t="shared" si="11"/>
        <v>0</v>
      </c>
    </row>
    <row r="175" spans="1:6" ht="15" customHeight="1" x14ac:dyDescent="0.2">
      <c r="A175" s="147">
        <v>6</v>
      </c>
      <c r="B175" s="169" t="s">
        <v>301</v>
      </c>
      <c r="C175" s="157">
        <v>4916780</v>
      </c>
      <c r="D175" s="157">
        <v>4757462</v>
      </c>
      <c r="E175" s="157">
        <f t="shared" si="10"/>
        <v>-159318</v>
      </c>
      <c r="F175" s="161">
        <f t="shared" si="11"/>
        <v>-3.2402914102318998E-2</v>
      </c>
    </row>
    <row r="176" spans="1:6" ht="15" customHeight="1" x14ac:dyDescent="0.2">
      <c r="A176" s="147">
        <v>7</v>
      </c>
      <c r="B176" s="169" t="s">
        <v>302</v>
      </c>
      <c r="C176" s="157">
        <v>0</v>
      </c>
      <c r="D176" s="157">
        <v>0</v>
      </c>
      <c r="E176" s="157">
        <f t="shared" si="10"/>
        <v>0</v>
      </c>
      <c r="F176" s="161">
        <f t="shared" si="11"/>
        <v>0</v>
      </c>
    </row>
    <row r="177" spans="1:6" ht="15" customHeight="1" x14ac:dyDescent="0.2">
      <c r="A177" s="147">
        <v>8</v>
      </c>
      <c r="B177" s="169" t="s">
        <v>303</v>
      </c>
      <c r="C177" s="157">
        <v>0</v>
      </c>
      <c r="D177" s="157">
        <v>0</v>
      </c>
      <c r="E177" s="157">
        <f t="shared" si="10"/>
        <v>0</v>
      </c>
      <c r="F177" s="161">
        <f t="shared" si="11"/>
        <v>0</v>
      </c>
    </row>
    <row r="178" spans="1:6" ht="15" customHeight="1" x14ac:dyDescent="0.2">
      <c r="A178" s="147">
        <v>9</v>
      </c>
      <c r="B178" s="169" t="s">
        <v>304</v>
      </c>
      <c r="C178" s="157">
        <v>0</v>
      </c>
      <c r="D178" s="157">
        <v>0</v>
      </c>
      <c r="E178" s="157">
        <f t="shared" si="10"/>
        <v>0</v>
      </c>
      <c r="F178" s="161">
        <f t="shared" si="11"/>
        <v>0</v>
      </c>
    </row>
    <row r="179" spans="1:6" ht="15" customHeight="1" x14ac:dyDescent="0.2">
      <c r="A179" s="147">
        <v>10</v>
      </c>
      <c r="B179" s="169" t="s">
        <v>305</v>
      </c>
      <c r="C179" s="157">
        <v>0</v>
      </c>
      <c r="D179" s="157">
        <v>0</v>
      </c>
      <c r="E179" s="157">
        <f t="shared" si="10"/>
        <v>0</v>
      </c>
      <c r="F179" s="161">
        <f t="shared" si="11"/>
        <v>0</v>
      </c>
    </row>
    <row r="180" spans="1:6" ht="15" customHeight="1" x14ac:dyDescent="0.2">
      <c r="A180" s="147">
        <v>11</v>
      </c>
      <c r="B180" s="169" t="s">
        <v>306</v>
      </c>
      <c r="C180" s="157">
        <v>0</v>
      </c>
      <c r="D180" s="157">
        <v>0</v>
      </c>
      <c r="E180" s="157">
        <f t="shared" si="10"/>
        <v>0</v>
      </c>
      <c r="F180" s="161">
        <f t="shared" si="11"/>
        <v>0</v>
      </c>
    </row>
    <row r="181" spans="1:6" ht="15" customHeight="1" x14ac:dyDescent="0.2">
      <c r="A181" s="147">
        <v>12</v>
      </c>
      <c r="B181" s="169" t="s">
        <v>307</v>
      </c>
      <c r="C181" s="157">
        <v>0</v>
      </c>
      <c r="D181" s="157">
        <v>0</v>
      </c>
      <c r="E181" s="157">
        <f t="shared" si="10"/>
        <v>0</v>
      </c>
      <c r="F181" s="161">
        <f t="shared" si="11"/>
        <v>0</v>
      </c>
    </row>
    <row r="182" spans="1:6" ht="15" customHeight="1" x14ac:dyDescent="0.2">
      <c r="A182" s="147">
        <v>13</v>
      </c>
      <c r="B182" s="169" t="s">
        <v>308</v>
      </c>
      <c r="C182" s="157">
        <v>0</v>
      </c>
      <c r="D182" s="157">
        <v>0</v>
      </c>
      <c r="E182" s="157">
        <f t="shared" si="10"/>
        <v>0</v>
      </c>
      <c r="F182" s="161">
        <f t="shared" si="11"/>
        <v>0</v>
      </c>
    </row>
    <row r="183" spans="1:6" ht="15.75" customHeight="1" x14ac:dyDescent="0.25">
      <c r="A183" s="147"/>
      <c r="B183" s="165" t="s">
        <v>309</v>
      </c>
      <c r="C183" s="158">
        <f>SUM(C170:C182)</f>
        <v>25425267</v>
      </c>
      <c r="D183" s="158">
        <f>SUM(D170:D182)</f>
        <v>25335815</v>
      </c>
      <c r="E183" s="158">
        <f t="shared" si="10"/>
        <v>-89452</v>
      </c>
      <c r="F183" s="159">
        <f t="shared" si="11"/>
        <v>-3.5182324732322377E-3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0</v>
      </c>
      <c r="D186" s="157">
        <v>0</v>
      </c>
      <c r="E186" s="157">
        <f>D186-C186</f>
        <v>0</v>
      </c>
      <c r="F186" s="161">
        <f>IF(C186=0,0,E186/C186)</f>
        <v>0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210520148</v>
      </c>
      <c r="D188" s="158">
        <f>+D186+D183+D167+D130+D121</f>
        <v>208792651</v>
      </c>
      <c r="E188" s="158">
        <f>D188-C188</f>
        <v>-1727497</v>
      </c>
      <c r="F188" s="159">
        <f>IF(C188=0,0,E188/C188)</f>
        <v>-8.2058511568213408E-3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FILING&amp;RMIDSTATE MEDICAL CENTER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2"/>
  <sheetViews>
    <sheetView zoomScale="75" zoomScaleSheetLayoutView="75" workbookViewId="0">
      <selection activeCell="C37" sqref="C37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218353748</v>
      </c>
      <c r="D11" s="183">
        <v>217746204</v>
      </c>
      <c r="E11" s="76">
        <v>219132186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27846850</v>
      </c>
      <c r="D12" s="185">
        <v>9116321</v>
      </c>
      <c r="E12" s="185">
        <v>8597041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246200598</v>
      </c>
      <c r="D13" s="76">
        <f>+D11+D12</f>
        <v>226862525</v>
      </c>
      <c r="E13" s="76">
        <f>+E11+E12</f>
        <v>227729227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221306295</v>
      </c>
      <c r="D14" s="185">
        <v>210520148</v>
      </c>
      <c r="E14" s="185">
        <v>208792651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24894303</v>
      </c>
      <c r="D15" s="76">
        <f>+D13-D14</f>
        <v>16342377</v>
      </c>
      <c r="E15" s="76">
        <f>+E13-E14</f>
        <v>18936576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1222491</v>
      </c>
      <c r="D16" s="185">
        <v>4228077</v>
      </c>
      <c r="E16" s="185">
        <v>3147295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26116794</v>
      </c>
      <c r="D17" s="76">
        <f>D15+D16</f>
        <v>20570454</v>
      </c>
      <c r="E17" s="76">
        <f>E15+E16</f>
        <v>22083871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0.10061430847304635</v>
      </c>
      <c r="D20" s="189">
        <f>IF(+D27=0,0,+D24/+D27)</f>
        <v>7.0718483826529649E-2</v>
      </c>
      <c r="E20" s="189">
        <f>IF(+E27=0,0,+E24/+E27)</f>
        <v>8.2020362382278098E-2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4.9408929657328788E-3</v>
      </c>
      <c r="D21" s="189">
        <f>IF(D27=0,0,+D26/D27)</f>
        <v>1.8296187570622194E-2</v>
      </c>
      <c r="E21" s="189">
        <f>IF(E27=0,0,+E26/E27)</f>
        <v>1.3631940453434238E-2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0.10555520143877922</v>
      </c>
      <c r="D22" s="189">
        <f>IF(D27=0,0,+D28/D27)</f>
        <v>8.9014671397151843E-2</v>
      </c>
      <c r="E22" s="189">
        <f>IF(E27=0,0,+E28/E27)</f>
        <v>9.5652302835712327E-2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24894303</v>
      </c>
      <c r="D24" s="76">
        <f>+D15</f>
        <v>16342377</v>
      </c>
      <c r="E24" s="76">
        <f>+E15</f>
        <v>18936576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246200598</v>
      </c>
      <c r="D25" s="76">
        <f>+D13</f>
        <v>226862525</v>
      </c>
      <c r="E25" s="76">
        <f>+E13</f>
        <v>227729227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1222491</v>
      </c>
      <c r="D26" s="76">
        <f>+D16</f>
        <v>4228077</v>
      </c>
      <c r="E26" s="76">
        <f>+E16</f>
        <v>3147295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247423089</v>
      </c>
      <c r="D27" s="76">
        <f>+D25+D26</f>
        <v>231090602</v>
      </c>
      <c r="E27" s="76">
        <f>+E25+E26</f>
        <v>230876522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26116794</v>
      </c>
      <c r="D28" s="76">
        <f>+D17</f>
        <v>20570454</v>
      </c>
      <c r="E28" s="76">
        <f>+E17</f>
        <v>22083871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73637750</v>
      </c>
      <c r="D31" s="76">
        <v>96806371</v>
      </c>
      <c r="E31" s="76">
        <v>89763992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89918628</v>
      </c>
      <c r="D32" s="76">
        <v>113586026</v>
      </c>
      <c r="E32" s="76">
        <v>107441592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22671022</v>
      </c>
      <c r="D33" s="76">
        <f>+D32-C32</f>
        <v>23667398</v>
      </c>
      <c r="E33" s="76">
        <f>+E32-D32</f>
        <v>-6144434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1.3371</v>
      </c>
      <c r="D34" s="193">
        <f>IF(C32=0,0,+D33/C32)</f>
        <v>0.26320906497817115</v>
      </c>
      <c r="E34" s="193">
        <f>IF(D32=0,0,+E33/D32)</f>
        <v>-5.4094981718966026E-2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0.43635936137167514</v>
      </c>
      <c r="D38" s="195">
        <f>IF((D40+D41)=0,0,+D39/(D40+D41))</f>
        <v>0.40944165013162076</v>
      </c>
      <c r="E38" s="195">
        <f>IF((E40+E41)=0,0,+E39/(E40+E41))</f>
        <v>0.37822935387176521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221306295</v>
      </c>
      <c r="D39" s="76">
        <v>210520148</v>
      </c>
      <c r="E39" s="196">
        <v>208792651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479645635</v>
      </c>
      <c r="D40" s="76">
        <v>505047658</v>
      </c>
      <c r="E40" s="196">
        <v>543429524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27519593</v>
      </c>
      <c r="D41" s="76">
        <v>9116321</v>
      </c>
      <c r="E41" s="196">
        <v>8597041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1.5647147224307691</v>
      </c>
      <c r="D43" s="197">
        <f>IF(D38=0,0,IF((D46-D47)=0,0,((+D44-D45)/(D46-D47)/D38)))</f>
        <v>1.7234503824196221</v>
      </c>
      <c r="E43" s="197">
        <f>IF(E38=0,0,IF((E46-E47)=0,0,((+E44-E45)/(E46-E47)/E38)))</f>
        <v>1.7627975863020391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114144204</v>
      </c>
      <c r="D44" s="76">
        <v>118317341</v>
      </c>
      <c r="E44" s="196">
        <v>116303887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1185069</v>
      </c>
      <c r="D45" s="76">
        <v>3103407</v>
      </c>
      <c r="E45" s="196">
        <v>2037610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176670460</v>
      </c>
      <c r="D46" s="76">
        <v>175772877</v>
      </c>
      <c r="E46" s="196">
        <v>180790784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11229938</v>
      </c>
      <c r="D47" s="76">
        <v>12499941</v>
      </c>
      <c r="E47" s="76">
        <v>9410681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0.83774352500687743</v>
      </c>
      <c r="D49" s="198">
        <f>IF(D38=0,0,IF(D51=0,0,(D50/D51)/D38))</f>
        <v>0.83724600399898852</v>
      </c>
      <c r="E49" s="198">
        <f>IF(E38=0,0,IF(E51=0,0,(E50/E51)/E38))</f>
        <v>0.88663020805383452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77225155</v>
      </c>
      <c r="D50" s="199">
        <v>77840664</v>
      </c>
      <c r="E50" s="199">
        <v>81515834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211253256</v>
      </c>
      <c r="D51" s="199">
        <v>227070873</v>
      </c>
      <c r="E51" s="199">
        <v>243077198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0.64570689004722315</v>
      </c>
      <c r="D53" s="198">
        <f>IF(D38=0,0,IF(D55=0,0,(D54/D55)/D38))</f>
        <v>0.68699589140864115</v>
      </c>
      <c r="E53" s="198">
        <f>IF(E38=0,0,IF(E55=0,0,(E54/E55)/E38))</f>
        <v>0.66019345519847417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25550883</v>
      </c>
      <c r="D54" s="199">
        <v>28414839</v>
      </c>
      <c r="E54" s="199">
        <v>29637708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90683066</v>
      </c>
      <c r="D55" s="199">
        <v>101018064</v>
      </c>
      <c r="E55" s="199">
        <v>118691104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4666904.8240093961</v>
      </c>
      <c r="D57" s="88">
        <f>+D60*D38</f>
        <v>3847332.3864778788</v>
      </c>
      <c r="E57" s="88">
        <f>+E60*E38</f>
        <v>5488218.7458799975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4233596</v>
      </c>
      <c r="D58" s="199">
        <v>7131143</v>
      </c>
      <c r="E58" s="199">
        <v>8125010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6461499</v>
      </c>
      <c r="D59" s="199">
        <v>2265391</v>
      </c>
      <c r="E59" s="199">
        <v>6385283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10695095</v>
      </c>
      <c r="D60" s="76">
        <v>9396534</v>
      </c>
      <c r="E60" s="201">
        <v>14510293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2.1087989494421731E-2</v>
      </c>
      <c r="D62" s="202">
        <f>IF(D63=0,0,+D57/D63)</f>
        <v>1.8275364249116331E-2</v>
      </c>
      <c r="E62" s="202">
        <f>IF(E63=0,0,+E57/E63)</f>
        <v>2.6285497691583011E-2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221306295</v>
      </c>
      <c r="D63" s="199">
        <v>210520148</v>
      </c>
      <c r="E63" s="199">
        <v>208792651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3.078436386549638</v>
      </c>
      <c r="D67" s="203">
        <f>IF(D69=0,0,D68/D69)</f>
        <v>2.4084327948282627</v>
      </c>
      <c r="E67" s="203">
        <f>IF(E69=0,0,E68/E69)</f>
        <v>3.0066759291677538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91144165</v>
      </c>
      <c r="D68" s="204">
        <v>73423487</v>
      </c>
      <c r="E68" s="204">
        <v>79675956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29607292</v>
      </c>
      <c r="D69" s="204">
        <v>30486002</v>
      </c>
      <c r="E69" s="204">
        <v>26499682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80.793611600678517</v>
      </c>
      <c r="D71" s="203">
        <f>IF((D77/365)=0,0,+D74/(D77/365))</f>
        <v>50.213029177002625</v>
      </c>
      <c r="E71" s="203">
        <f>IF((E77/365)=0,0,+E74/(E77/365))</f>
        <v>84.112509285072449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46117517</v>
      </c>
      <c r="D72" s="183">
        <v>27158493</v>
      </c>
      <c r="E72" s="183">
        <v>45140915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0</v>
      </c>
      <c r="D73" s="206">
        <v>0</v>
      </c>
      <c r="E73" s="206">
        <v>0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46117517</v>
      </c>
      <c r="D74" s="204">
        <f>+D72+D73</f>
        <v>27158493</v>
      </c>
      <c r="E74" s="204">
        <f>+E72+E73</f>
        <v>45140915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221306295</v>
      </c>
      <c r="D75" s="204">
        <f>+D14</f>
        <v>210520148</v>
      </c>
      <c r="E75" s="204">
        <f>+E14</f>
        <v>208792651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12961930</v>
      </c>
      <c r="D76" s="204">
        <v>13104256</v>
      </c>
      <c r="E76" s="204">
        <v>12906996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208344365</v>
      </c>
      <c r="D77" s="204">
        <f>+D75-D76</f>
        <v>197415892</v>
      </c>
      <c r="E77" s="204">
        <f>+E75-E76</f>
        <v>195885655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36.081846394502925</v>
      </c>
      <c r="D79" s="203">
        <f>IF((D84/365)=0,0,+D83/(D84/365))</f>
        <v>49.089160149032956</v>
      </c>
      <c r="E79" s="203">
        <f>IF((E84/365)=0,0,+E83/(E84/365))</f>
        <v>32.736978651780525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25147640</v>
      </c>
      <c r="D80" s="212">
        <v>27767137</v>
      </c>
      <c r="E80" s="212">
        <v>23724146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0</v>
      </c>
      <c r="D81" s="212">
        <v>1517735</v>
      </c>
      <c r="E81" s="212">
        <v>0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3562417</v>
      </c>
      <c r="D82" s="212">
        <v>0</v>
      </c>
      <c r="E82" s="212">
        <v>4070103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21585223</v>
      </c>
      <c r="D83" s="212">
        <f>+D80+D81-D82</f>
        <v>29284872</v>
      </c>
      <c r="E83" s="212">
        <f>+E80+E81-E82</f>
        <v>19654043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218353748</v>
      </c>
      <c r="D84" s="204">
        <f>+D11</f>
        <v>217746204</v>
      </c>
      <c r="E84" s="204">
        <f>+E11</f>
        <v>219132186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51.869229004585748</v>
      </c>
      <c r="D86" s="203">
        <f>IF((D90/365)=0,0,+D87/(D90/365))</f>
        <v>56.365222765348591</v>
      </c>
      <c r="E86" s="203">
        <f>IF((E90/365)=0,0,+E87/(E90/365))</f>
        <v>49.37770420197436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29607292</v>
      </c>
      <c r="D87" s="76">
        <f>+D69</f>
        <v>30486002</v>
      </c>
      <c r="E87" s="76">
        <f>+E69</f>
        <v>26499682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221306295</v>
      </c>
      <c r="D88" s="76">
        <f t="shared" si="0"/>
        <v>210520148</v>
      </c>
      <c r="E88" s="76">
        <f t="shared" si="0"/>
        <v>208792651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12961930</v>
      </c>
      <c r="D89" s="201">
        <f t="shared" si="0"/>
        <v>13104256</v>
      </c>
      <c r="E89" s="201">
        <f t="shared" si="0"/>
        <v>12906996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208344365</v>
      </c>
      <c r="D90" s="76">
        <f>+D88-D89</f>
        <v>197415892</v>
      </c>
      <c r="E90" s="76">
        <f>+E88-E89</f>
        <v>195885655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30.855165045396081</v>
      </c>
      <c r="D94" s="214">
        <f>IF(D96=0,0,(D95/D96)*100)</f>
        <v>41.590647508775675</v>
      </c>
      <c r="E94" s="214">
        <f>IF(E96=0,0,(E95/E96)*100)</f>
        <v>38.778543918580354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89918628</v>
      </c>
      <c r="D95" s="76">
        <f>+D32</f>
        <v>113586026</v>
      </c>
      <c r="E95" s="76">
        <f>+E32</f>
        <v>107441592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291421640</v>
      </c>
      <c r="D96" s="76">
        <v>273104731</v>
      </c>
      <c r="E96" s="76">
        <v>277064534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33.02280210210688</v>
      </c>
      <c r="D98" s="214">
        <f>IF(D104=0,0,(D101/D104)*100)</f>
        <v>28.467398279889881</v>
      </c>
      <c r="E98" s="214">
        <f>IF(E104=0,0,(E101/E104)*100)</f>
        <v>30.893799302818657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26116794</v>
      </c>
      <c r="D99" s="76">
        <f>+D28</f>
        <v>20570454</v>
      </c>
      <c r="E99" s="76">
        <f>+E28</f>
        <v>22083871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12961930</v>
      </c>
      <c r="D100" s="201">
        <f>+D76</f>
        <v>13104256</v>
      </c>
      <c r="E100" s="201">
        <f>+E76</f>
        <v>12906996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39078724</v>
      </c>
      <c r="D101" s="76">
        <f>+D99+D100</f>
        <v>33674710</v>
      </c>
      <c r="E101" s="76">
        <f>+E99+E100</f>
        <v>34990867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29607292</v>
      </c>
      <c r="D102" s="204">
        <f>+D69</f>
        <v>30486002</v>
      </c>
      <c r="E102" s="204">
        <f>+E69</f>
        <v>26499682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88731315</v>
      </c>
      <c r="D103" s="216">
        <v>87806192</v>
      </c>
      <c r="E103" s="216">
        <v>86762098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118338607</v>
      </c>
      <c r="D104" s="204">
        <f>+D102+D103</f>
        <v>118292194</v>
      </c>
      <c r="E104" s="204">
        <f>+E102+E103</f>
        <v>113261780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49.667698466604044</v>
      </c>
      <c r="D106" s="214">
        <f>IF(D109=0,0,(D107/D109)*100)</f>
        <v>43.599595293200451</v>
      </c>
      <c r="E106" s="214">
        <f>IF(E109=0,0,(E107/E109)*100)</f>
        <v>44.675823615915846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88731315</v>
      </c>
      <c r="D107" s="204">
        <f>+D103</f>
        <v>87806192</v>
      </c>
      <c r="E107" s="204">
        <f>+E103</f>
        <v>86762098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89918628</v>
      </c>
      <c r="D108" s="204">
        <f>+D32</f>
        <v>113586026</v>
      </c>
      <c r="E108" s="204">
        <f>+E32</f>
        <v>107441592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178649943</v>
      </c>
      <c r="D109" s="204">
        <f>+D107+D108</f>
        <v>201392218</v>
      </c>
      <c r="E109" s="204">
        <f>+E107+E108</f>
        <v>194203690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10.716171745246077</v>
      </c>
      <c r="D111" s="214">
        <f>IF((+D113+D115)=0,0,((+D112+D113+D114)/(+D113+D115)))</f>
        <v>8.876637972707309</v>
      </c>
      <c r="E111" s="214">
        <f>IF((+E113+E115)=0,0,((+E112+E113+E114)/(+E113+E115)))</f>
        <v>7.8783531327162928</v>
      </c>
    </row>
    <row r="112" spans="1:6" ht="24" customHeight="1" x14ac:dyDescent="0.2">
      <c r="A112" s="85">
        <v>16</v>
      </c>
      <c r="B112" s="75" t="s">
        <v>373</v>
      </c>
      <c r="C112" s="218">
        <f>+C17</f>
        <v>26116794</v>
      </c>
      <c r="D112" s="76">
        <f>+D17</f>
        <v>20570454</v>
      </c>
      <c r="E112" s="76">
        <f>+E17</f>
        <v>22083871</v>
      </c>
    </row>
    <row r="113" spans="1:8" ht="24" customHeight="1" x14ac:dyDescent="0.2">
      <c r="A113" s="85">
        <v>17</v>
      </c>
      <c r="B113" s="75" t="s">
        <v>88</v>
      </c>
      <c r="C113" s="218">
        <v>3996300</v>
      </c>
      <c r="D113" s="76">
        <v>3987276</v>
      </c>
      <c r="E113" s="76">
        <v>3992280</v>
      </c>
    </row>
    <row r="114" spans="1:8" ht="24" customHeight="1" x14ac:dyDescent="0.2">
      <c r="A114" s="85">
        <v>18</v>
      </c>
      <c r="B114" s="75" t="s">
        <v>374</v>
      </c>
      <c r="C114" s="218">
        <v>12961930</v>
      </c>
      <c r="D114" s="76">
        <v>13104256</v>
      </c>
      <c r="E114" s="76">
        <v>12906996</v>
      </c>
    </row>
    <row r="115" spans="1:8" ht="24" customHeight="1" x14ac:dyDescent="0.2">
      <c r="A115" s="85">
        <v>19</v>
      </c>
      <c r="B115" s="75" t="s">
        <v>104</v>
      </c>
      <c r="C115" s="218">
        <v>23328</v>
      </c>
      <c r="D115" s="76">
        <v>255545</v>
      </c>
      <c r="E115" s="76">
        <v>955854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9.5827740159065815</v>
      </c>
      <c r="D119" s="214">
        <f>IF(+D121=0,0,(+D120)/(+D121))</f>
        <v>10.127900813293024</v>
      </c>
      <c r="E119" s="214">
        <f>IF(+E121=0,0,(+E120)/(+E121))</f>
        <v>11.276664298958487</v>
      </c>
    </row>
    <row r="120" spans="1:8" ht="24" customHeight="1" x14ac:dyDescent="0.2">
      <c r="A120" s="85">
        <v>21</v>
      </c>
      <c r="B120" s="75" t="s">
        <v>378</v>
      </c>
      <c r="C120" s="218">
        <v>124211246</v>
      </c>
      <c r="D120" s="218">
        <v>132718605</v>
      </c>
      <c r="E120" s="218">
        <v>145547861</v>
      </c>
    </row>
    <row r="121" spans="1:8" ht="24" customHeight="1" x14ac:dyDescent="0.2">
      <c r="A121" s="85">
        <v>22</v>
      </c>
      <c r="B121" s="75" t="s">
        <v>374</v>
      </c>
      <c r="C121" s="218">
        <v>12961930</v>
      </c>
      <c r="D121" s="218">
        <v>13104256</v>
      </c>
      <c r="E121" s="218">
        <v>12906996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42530</v>
      </c>
      <c r="D124" s="218">
        <v>41898</v>
      </c>
      <c r="E124" s="218">
        <v>39492</v>
      </c>
    </row>
    <row r="125" spans="1:8" ht="24" customHeight="1" x14ac:dyDescent="0.2">
      <c r="A125" s="85">
        <v>2</v>
      </c>
      <c r="B125" s="75" t="s">
        <v>381</v>
      </c>
      <c r="C125" s="218">
        <v>10330</v>
      </c>
      <c r="D125" s="218">
        <v>9847</v>
      </c>
      <c r="E125" s="218">
        <v>9284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4.1171345595353337</v>
      </c>
      <c r="D126" s="219">
        <f>IF(D125=0,0,D124/D125)</f>
        <v>4.2548999695338683</v>
      </c>
      <c r="E126" s="219">
        <f>IF(E125=0,0,E124/E125)</f>
        <v>4.2537699267557088</v>
      </c>
    </row>
    <row r="127" spans="1:8" ht="24" customHeight="1" x14ac:dyDescent="0.2">
      <c r="A127" s="85">
        <v>4</v>
      </c>
      <c r="B127" s="75" t="s">
        <v>383</v>
      </c>
      <c r="C127" s="218">
        <v>144</v>
      </c>
      <c r="D127" s="218">
        <v>139</v>
      </c>
      <c r="E127" s="218">
        <v>135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156</v>
      </c>
      <c r="E128" s="218">
        <v>156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156</v>
      </c>
      <c r="D129" s="218">
        <v>156</v>
      </c>
      <c r="E129" s="218">
        <v>156</v>
      </c>
    </row>
    <row r="130" spans="1:7" ht="24" customHeight="1" x14ac:dyDescent="0.2">
      <c r="A130" s="85">
        <v>7</v>
      </c>
      <c r="B130" s="75" t="s">
        <v>386</v>
      </c>
      <c r="C130" s="193">
        <v>0.80910000000000004</v>
      </c>
      <c r="D130" s="193">
        <v>0.82579999999999998</v>
      </c>
      <c r="E130" s="193">
        <v>0.8014</v>
      </c>
    </row>
    <row r="131" spans="1:7" ht="24" customHeight="1" x14ac:dyDescent="0.2">
      <c r="A131" s="85">
        <v>8</v>
      </c>
      <c r="B131" s="75" t="s">
        <v>387</v>
      </c>
      <c r="C131" s="193">
        <v>0.74690000000000001</v>
      </c>
      <c r="D131" s="193">
        <v>0.73580000000000001</v>
      </c>
      <c r="E131" s="193">
        <v>0.69350000000000001</v>
      </c>
    </row>
    <row r="132" spans="1:7" ht="24" customHeight="1" x14ac:dyDescent="0.2">
      <c r="A132" s="85">
        <v>9</v>
      </c>
      <c r="B132" s="75" t="s">
        <v>388</v>
      </c>
      <c r="C132" s="219">
        <v>1054.5999999999999</v>
      </c>
      <c r="D132" s="219">
        <v>1028.0999999999999</v>
      </c>
      <c r="E132" s="219">
        <v>963.3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0.34492239671898611</v>
      </c>
      <c r="D135" s="227">
        <f>IF(D149=0,0,D143/D149)</f>
        <v>0.32328223567368763</v>
      </c>
      <c r="E135" s="227">
        <f>IF(E149=0,0,E143/E149)</f>
        <v>0.31536767038075025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0.44043610654353188</v>
      </c>
      <c r="D136" s="227">
        <f>IF(D149=0,0,D144/D149)</f>
        <v>0.44960286302327535</v>
      </c>
      <c r="E136" s="227">
        <f>IF(E149=0,0,E144/E149)</f>
        <v>0.44730215651661942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0.18906263162386538</v>
      </c>
      <c r="D137" s="227">
        <f>IF(D149=0,0,D145/D149)</f>
        <v>0.20001689424723557</v>
      </c>
      <c r="E137" s="227">
        <f>IF(E149=0,0,E145/E149)</f>
        <v>0.21841121756940096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0</v>
      </c>
      <c r="D138" s="227">
        <f>IF(D149=0,0,D146/D149)</f>
        <v>0</v>
      </c>
      <c r="E138" s="227">
        <f>IF(E149=0,0,E146/E149)</f>
        <v>0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2.3412989049717923E-2</v>
      </c>
      <c r="D139" s="227">
        <f>IF(D149=0,0,D147/D149)</f>
        <v>2.4750022699837962E-2</v>
      </c>
      <c r="E139" s="227">
        <f>IF(E149=0,0,E147/E149)</f>
        <v>1.7317205974992259E-2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2.1658760638987155E-3</v>
      </c>
      <c r="D140" s="227">
        <f>IF(D149=0,0,D148/D149)</f>
        <v>2.3479843559634922E-3</v>
      </c>
      <c r="E140" s="227">
        <f>IF(E149=0,0,E148/E149)</f>
        <v>1.6017495582371045E-3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1</v>
      </c>
      <c r="D141" s="227">
        <f>SUM(D135:D140)</f>
        <v>1</v>
      </c>
      <c r="E141" s="227">
        <f>SUM(E135:E140)</f>
        <v>1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165440522</v>
      </c>
      <c r="D143" s="229">
        <f>+D46-D147</f>
        <v>163272936</v>
      </c>
      <c r="E143" s="229">
        <f>+E46-E147</f>
        <v>171380103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211253256</v>
      </c>
      <c r="D144" s="229">
        <f>+D51</f>
        <v>227070873</v>
      </c>
      <c r="E144" s="229">
        <f>+E51</f>
        <v>243077198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90683066</v>
      </c>
      <c r="D145" s="229">
        <f>+D55</f>
        <v>101018064</v>
      </c>
      <c r="E145" s="229">
        <f>+E55</f>
        <v>118691104</v>
      </c>
    </row>
    <row r="146" spans="1:7" ht="20.100000000000001" customHeight="1" x14ac:dyDescent="0.2">
      <c r="A146" s="226">
        <v>11</v>
      </c>
      <c r="B146" s="224" t="s">
        <v>400</v>
      </c>
      <c r="C146" s="228">
        <v>0</v>
      </c>
      <c r="D146" s="229">
        <v>0</v>
      </c>
      <c r="E146" s="229">
        <v>0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11229938</v>
      </c>
      <c r="D147" s="229">
        <f>+D47</f>
        <v>12499941</v>
      </c>
      <c r="E147" s="229">
        <f>+E47</f>
        <v>9410681</v>
      </c>
    </row>
    <row r="148" spans="1:7" ht="20.100000000000001" customHeight="1" x14ac:dyDescent="0.2">
      <c r="A148" s="226">
        <v>13</v>
      </c>
      <c r="B148" s="224" t="s">
        <v>402</v>
      </c>
      <c r="C148" s="230">
        <v>1038853</v>
      </c>
      <c r="D148" s="229">
        <v>1185844</v>
      </c>
      <c r="E148" s="229">
        <v>870438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479645635</v>
      </c>
      <c r="D149" s="229">
        <f>SUM(D143:D148)</f>
        <v>505047658</v>
      </c>
      <c r="E149" s="229">
        <f>SUM(E143:E148)</f>
        <v>543429524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0.51999789292441423</v>
      </c>
      <c r="D152" s="227">
        <f>IF(D166=0,0,D160/D166)</f>
        <v>0.51247324902919522</v>
      </c>
      <c r="E152" s="227">
        <f>IF(E166=0,0,E160/E166)</f>
        <v>0.50197752509214899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0.35549951653543815</v>
      </c>
      <c r="D153" s="227">
        <f>IF(D166=0,0,D161/D166)</f>
        <v>0.34623640215835277</v>
      </c>
      <c r="E153" s="227">
        <f>IF(E166=0,0,E161/E166)</f>
        <v>0.35810317515764034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0.11762134441236856</v>
      </c>
      <c r="D154" s="227">
        <f>IF(D166=0,0,D162/D166)</f>
        <v>0.12638961588596992</v>
      </c>
      <c r="E154" s="227">
        <f>IF(E166=0,0,E162/E166)</f>
        <v>0.13019994789227082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0</v>
      </c>
      <c r="D155" s="227">
        <f>IF(D166=0,0,D163/D166)</f>
        <v>0</v>
      </c>
      <c r="E155" s="227">
        <f>IF(E166=0,0,E163/E166)</f>
        <v>0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5.4553656326249544E-3</v>
      </c>
      <c r="D156" s="227">
        <f>IF(D166=0,0,D164/D166)</f>
        <v>1.3803999335270921E-2</v>
      </c>
      <c r="E156" s="227">
        <f>IF(E166=0,0,E164/E166)</f>
        <v>8.9513236254561233E-3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1.4258804951541083E-3</v>
      </c>
      <c r="D157" s="227">
        <f>IF(D166=0,0,D165/D166)</f>
        <v>1.0967335912111255E-3</v>
      </c>
      <c r="E157" s="227">
        <f>IF(E166=0,0,E165/E166)</f>
        <v>7.6802823248376436E-4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1</v>
      </c>
      <c r="D158" s="227">
        <f>SUM(D152:D157)</f>
        <v>0.99999999999999989</v>
      </c>
      <c r="E158" s="227">
        <f>SUM(E152:E157)</f>
        <v>1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112959135</v>
      </c>
      <c r="D160" s="229">
        <f>+D44-D164</f>
        <v>115213934</v>
      </c>
      <c r="E160" s="229">
        <f>+E44-E164</f>
        <v>114266277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77225155</v>
      </c>
      <c r="D161" s="229">
        <f>+D50</f>
        <v>77840664</v>
      </c>
      <c r="E161" s="229">
        <f>+E50</f>
        <v>81515834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25550883</v>
      </c>
      <c r="D162" s="229">
        <f>+D54</f>
        <v>28414839</v>
      </c>
      <c r="E162" s="229">
        <f>+E54</f>
        <v>29637708</v>
      </c>
    </row>
    <row r="163" spans="1:6" ht="20.100000000000001" customHeight="1" x14ac:dyDescent="0.2">
      <c r="A163" s="226">
        <v>11</v>
      </c>
      <c r="B163" s="224" t="s">
        <v>415</v>
      </c>
      <c r="C163" s="228">
        <v>0</v>
      </c>
      <c r="D163" s="229">
        <v>0</v>
      </c>
      <c r="E163" s="229">
        <v>0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1185069</v>
      </c>
      <c r="D164" s="229">
        <f>+D45</f>
        <v>3103407</v>
      </c>
      <c r="E164" s="229">
        <f>+E45</f>
        <v>2037610</v>
      </c>
    </row>
    <row r="165" spans="1:6" ht="20.100000000000001" customHeight="1" x14ac:dyDescent="0.2">
      <c r="A165" s="226">
        <v>13</v>
      </c>
      <c r="B165" s="224" t="s">
        <v>417</v>
      </c>
      <c r="C165" s="230">
        <v>309744</v>
      </c>
      <c r="D165" s="229">
        <v>246567</v>
      </c>
      <c r="E165" s="229">
        <v>174828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217229986</v>
      </c>
      <c r="D166" s="229">
        <f>SUM(D160:D165)</f>
        <v>224819411</v>
      </c>
      <c r="E166" s="229">
        <f>SUM(E160:E165)</f>
        <v>227632257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3098</v>
      </c>
      <c r="D169" s="218">
        <v>2804</v>
      </c>
      <c r="E169" s="218">
        <v>2607</v>
      </c>
    </row>
    <row r="170" spans="1:6" ht="20.100000000000001" customHeight="1" x14ac:dyDescent="0.2">
      <c r="A170" s="226">
        <v>2</v>
      </c>
      <c r="B170" s="224" t="s">
        <v>420</v>
      </c>
      <c r="C170" s="218">
        <v>5054</v>
      </c>
      <c r="D170" s="218">
        <v>4908</v>
      </c>
      <c r="E170" s="218">
        <v>4483</v>
      </c>
    </row>
    <row r="171" spans="1:6" ht="20.100000000000001" customHeight="1" x14ac:dyDescent="0.2">
      <c r="A171" s="226">
        <v>3</v>
      </c>
      <c r="B171" s="224" t="s">
        <v>421</v>
      </c>
      <c r="C171" s="218">
        <v>2151</v>
      </c>
      <c r="D171" s="218">
        <v>2111</v>
      </c>
      <c r="E171" s="218">
        <v>2182</v>
      </c>
    </row>
    <row r="172" spans="1:6" ht="20.100000000000001" customHeight="1" x14ac:dyDescent="0.2">
      <c r="A172" s="226">
        <v>4</v>
      </c>
      <c r="B172" s="224" t="s">
        <v>422</v>
      </c>
      <c r="C172" s="218">
        <v>2151</v>
      </c>
      <c r="D172" s="218">
        <v>2111</v>
      </c>
      <c r="E172" s="218">
        <v>2182</v>
      </c>
    </row>
    <row r="173" spans="1:6" ht="20.100000000000001" customHeight="1" x14ac:dyDescent="0.2">
      <c r="A173" s="226">
        <v>5</v>
      </c>
      <c r="B173" s="224" t="s">
        <v>423</v>
      </c>
      <c r="C173" s="218">
        <v>0</v>
      </c>
      <c r="D173" s="218">
        <v>0</v>
      </c>
      <c r="E173" s="218">
        <v>0</v>
      </c>
    </row>
    <row r="174" spans="1:6" ht="20.100000000000001" customHeight="1" x14ac:dyDescent="0.2">
      <c r="A174" s="226">
        <v>6</v>
      </c>
      <c r="B174" s="224" t="s">
        <v>424</v>
      </c>
      <c r="C174" s="218">
        <v>27</v>
      </c>
      <c r="D174" s="218">
        <v>24</v>
      </c>
      <c r="E174" s="218">
        <v>12</v>
      </c>
    </row>
    <row r="175" spans="1:6" ht="20.100000000000001" customHeight="1" x14ac:dyDescent="0.2">
      <c r="A175" s="226">
        <v>7</v>
      </c>
      <c r="B175" s="224" t="s">
        <v>425</v>
      </c>
      <c r="C175" s="218">
        <v>254</v>
      </c>
      <c r="D175" s="218">
        <v>242</v>
      </c>
      <c r="E175" s="218">
        <v>127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10330</v>
      </c>
      <c r="D176" s="218">
        <f>+D169+D170+D171+D174</f>
        <v>9847</v>
      </c>
      <c r="E176" s="218">
        <f>+E169+E170+E171+E174</f>
        <v>9284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1.0921000000000001</v>
      </c>
      <c r="D179" s="231">
        <v>1.10877</v>
      </c>
      <c r="E179" s="231">
        <v>1.1429499999999999</v>
      </c>
    </row>
    <row r="180" spans="1:6" ht="20.100000000000001" customHeight="1" x14ac:dyDescent="0.2">
      <c r="A180" s="226">
        <v>2</v>
      </c>
      <c r="B180" s="224" t="s">
        <v>420</v>
      </c>
      <c r="C180" s="231">
        <v>1.3859999999999999</v>
      </c>
      <c r="D180" s="231">
        <v>1.52013</v>
      </c>
      <c r="E180" s="231">
        <v>1.59467</v>
      </c>
    </row>
    <row r="181" spans="1:6" ht="20.100000000000001" customHeight="1" x14ac:dyDescent="0.2">
      <c r="A181" s="226">
        <v>3</v>
      </c>
      <c r="B181" s="224" t="s">
        <v>421</v>
      </c>
      <c r="C181" s="231">
        <v>0.93072999999999995</v>
      </c>
      <c r="D181" s="231">
        <v>0.98575999999999997</v>
      </c>
      <c r="E181" s="231">
        <v>0.99990999999999997</v>
      </c>
    </row>
    <row r="182" spans="1:6" ht="20.100000000000001" customHeight="1" x14ac:dyDescent="0.2">
      <c r="A182" s="226">
        <v>4</v>
      </c>
      <c r="B182" s="224" t="s">
        <v>422</v>
      </c>
      <c r="C182" s="231">
        <v>0.93072999999999995</v>
      </c>
      <c r="D182" s="231">
        <v>0.98575999999999997</v>
      </c>
      <c r="E182" s="231">
        <v>0.99990999999999997</v>
      </c>
    </row>
    <row r="183" spans="1:6" ht="20.100000000000001" customHeight="1" x14ac:dyDescent="0.2">
      <c r="A183" s="226">
        <v>5</v>
      </c>
      <c r="B183" s="224" t="s">
        <v>423</v>
      </c>
      <c r="C183" s="231">
        <v>0</v>
      </c>
      <c r="D183" s="231">
        <v>0</v>
      </c>
      <c r="E183" s="231">
        <v>0</v>
      </c>
    </row>
    <row r="184" spans="1:6" ht="20.100000000000001" customHeight="1" x14ac:dyDescent="0.2">
      <c r="A184" s="226">
        <v>6</v>
      </c>
      <c r="B184" s="224" t="s">
        <v>424</v>
      </c>
      <c r="C184" s="231">
        <v>0.70038</v>
      </c>
      <c r="D184" s="231">
        <v>0.72829999999999995</v>
      </c>
      <c r="E184" s="231">
        <v>0.55530000000000002</v>
      </c>
    </row>
    <row r="185" spans="1:6" ht="20.100000000000001" customHeight="1" x14ac:dyDescent="0.2">
      <c r="A185" s="226">
        <v>7</v>
      </c>
      <c r="B185" s="224" t="s">
        <v>425</v>
      </c>
      <c r="C185" s="231">
        <v>0.97824999999999995</v>
      </c>
      <c r="D185" s="231">
        <v>0.94379000000000002</v>
      </c>
      <c r="E185" s="231">
        <v>0.34031</v>
      </c>
    </row>
    <row r="186" spans="1:6" ht="20.100000000000001" customHeight="1" x14ac:dyDescent="0.2">
      <c r="A186" s="226">
        <v>8</v>
      </c>
      <c r="B186" s="224" t="s">
        <v>429</v>
      </c>
      <c r="C186" s="231">
        <v>1.2012659999999999</v>
      </c>
      <c r="D186" s="231">
        <v>1.2865040000000001</v>
      </c>
      <c r="E186" s="231">
        <v>1.326695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7232</v>
      </c>
      <c r="D189" s="218">
        <v>6894</v>
      </c>
      <c r="E189" s="218">
        <v>6344</v>
      </c>
    </row>
    <row r="190" spans="1:6" ht="20.100000000000001" customHeight="1" x14ac:dyDescent="0.2">
      <c r="A190" s="226">
        <v>2</v>
      </c>
      <c r="B190" s="224" t="s">
        <v>433</v>
      </c>
      <c r="C190" s="218">
        <v>84907</v>
      </c>
      <c r="D190" s="218">
        <v>52897</v>
      </c>
      <c r="E190" s="218">
        <v>52269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92139</v>
      </c>
      <c r="D191" s="218">
        <f>+D190+D189</f>
        <v>59791</v>
      </c>
      <c r="E191" s="218">
        <f>+E190+E189</f>
        <v>58613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FILING&amp;RMIDSTATE MEDICAL CENTER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zoomScale="75" workbookViewId="0">
      <selection activeCell="C37" sqref="C37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97" t="s">
        <v>0</v>
      </c>
      <c r="B2" s="797"/>
      <c r="C2" s="797"/>
      <c r="D2" s="797"/>
      <c r="E2" s="797"/>
      <c r="F2" s="797"/>
    </row>
    <row r="3" spans="1:7" ht="20.25" customHeight="1" x14ac:dyDescent="0.3">
      <c r="A3" s="797" t="s">
        <v>1</v>
      </c>
      <c r="B3" s="797"/>
      <c r="C3" s="797"/>
      <c r="D3" s="797"/>
      <c r="E3" s="797"/>
      <c r="F3" s="797"/>
    </row>
    <row r="4" spans="1:7" ht="20.25" customHeight="1" x14ac:dyDescent="0.3">
      <c r="A4" s="797" t="s">
        <v>2</v>
      </c>
      <c r="B4" s="797"/>
      <c r="C4" s="797"/>
      <c r="D4" s="797"/>
      <c r="E4" s="797"/>
      <c r="F4" s="797"/>
    </row>
    <row r="5" spans="1:7" ht="20.25" customHeight="1" x14ac:dyDescent="0.3">
      <c r="A5" s="797" t="s">
        <v>435</v>
      </c>
      <c r="B5" s="797"/>
      <c r="C5" s="797"/>
      <c r="D5" s="797"/>
      <c r="E5" s="797"/>
      <c r="F5" s="79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798"/>
      <c r="D9" s="799"/>
      <c r="E9" s="799"/>
      <c r="F9" s="800"/>
      <c r="G9" s="245"/>
    </row>
    <row r="10" spans="1:7" ht="20.25" customHeight="1" x14ac:dyDescent="0.3">
      <c r="A10" s="801" t="s">
        <v>12</v>
      </c>
      <c r="B10" s="802" t="s">
        <v>114</v>
      </c>
      <c r="C10" s="804"/>
      <c r="D10" s="805"/>
      <c r="E10" s="805"/>
      <c r="F10" s="806"/>
    </row>
    <row r="11" spans="1:7" ht="20.25" customHeight="1" x14ac:dyDescent="0.3">
      <c r="A11" s="787"/>
      <c r="B11" s="803"/>
      <c r="C11" s="793"/>
      <c r="D11" s="794"/>
      <c r="E11" s="794"/>
      <c r="F11" s="795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3095986</v>
      </c>
      <c r="D14" s="258">
        <v>2563175</v>
      </c>
      <c r="E14" s="258">
        <f t="shared" ref="E14:E24" si="0">D14-C14</f>
        <v>-532811</v>
      </c>
      <c r="F14" s="259">
        <f t="shared" ref="F14:F24" si="1">IF(C14=0,0,E14/C14)</f>
        <v>-0.17209735444540125</v>
      </c>
    </row>
    <row r="15" spans="1:7" ht="20.25" customHeight="1" x14ac:dyDescent="0.3">
      <c r="A15" s="256">
        <v>2</v>
      </c>
      <c r="B15" s="257" t="s">
        <v>442</v>
      </c>
      <c r="C15" s="258">
        <v>1192066</v>
      </c>
      <c r="D15" s="258">
        <v>939614</v>
      </c>
      <c r="E15" s="258">
        <f t="shared" si="0"/>
        <v>-252452</v>
      </c>
      <c r="F15" s="259">
        <f t="shared" si="1"/>
        <v>-0.21177686470379994</v>
      </c>
    </row>
    <row r="16" spans="1:7" ht="20.25" customHeight="1" x14ac:dyDescent="0.3">
      <c r="A16" s="256">
        <v>3</v>
      </c>
      <c r="B16" s="257" t="s">
        <v>443</v>
      </c>
      <c r="C16" s="258">
        <v>2239987</v>
      </c>
      <c r="D16" s="258">
        <v>1442991</v>
      </c>
      <c r="E16" s="258">
        <f t="shared" si="0"/>
        <v>-796996</v>
      </c>
      <c r="F16" s="259">
        <f t="shared" si="1"/>
        <v>-0.35580385064734749</v>
      </c>
    </row>
    <row r="17" spans="1:6" ht="20.25" customHeight="1" x14ac:dyDescent="0.3">
      <c r="A17" s="256">
        <v>4</v>
      </c>
      <c r="B17" s="257" t="s">
        <v>444</v>
      </c>
      <c r="C17" s="258">
        <v>713884</v>
      </c>
      <c r="D17" s="258">
        <v>507894</v>
      </c>
      <c r="E17" s="258">
        <f t="shared" si="0"/>
        <v>-205990</v>
      </c>
      <c r="F17" s="259">
        <f t="shared" si="1"/>
        <v>-0.28854827955242029</v>
      </c>
    </row>
    <row r="18" spans="1:6" ht="20.25" customHeight="1" x14ac:dyDescent="0.3">
      <c r="A18" s="256">
        <v>5</v>
      </c>
      <c r="B18" s="257" t="s">
        <v>381</v>
      </c>
      <c r="C18" s="260">
        <v>115</v>
      </c>
      <c r="D18" s="260">
        <v>82</v>
      </c>
      <c r="E18" s="260">
        <f t="shared" si="0"/>
        <v>-33</v>
      </c>
      <c r="F18" s="259">
        <f t="shared" si="1"/>
        <v>-0.28695652173913044</v>
      </c>
    </row>
    <row r="19" spans="1:6" ht="20.25" customHeight="1" x14ac:dyDescent="0.3">
      <c r="A19" s="256">
        <v>6</v>
      </c>
      <c r="B19" s="257" t="s">
        <v>380</v>
      </c>
      <c r="C19" s="260">
        <v>602</v>
      </c>
      <c r="D19" s="260">
        <v>424</v>
      </c>
      <c r="E19" s="260">
        <f t="shared" si="0"/>
        <v>-178</v>
      </c>
      <c r="F19" s="259">
        <f t="shared" si="1"/>
        <v>-0.29568106312292358</v>
      </c>
    </row>
    <row r="20" spans="1:6" ht="20.25" customHeight="1" x14ac:dyDescent="0.3">
      <c r="A20" s="256">
        <v>7</v>
      </c>
      <c r="B20" s="257" t="s">
        <v>445</v>
      </c>
      <c r="C20" s="260">
        <v>925</v>
      </c>
      <c r="D20" s="260">
        <v>579</v>
      </c>
      <c r="E20" s="260">
        <f t="shared" si="0"/>
        <v>-346</v>
      </c>
      <c r="F20" s="259">
        <f t="shared" si="1"/>
        <v>-0.37405405405405406</v>
      </c>
    </row>
    <row r="21" spans="1:6" ht="20.25" customHeight="1" x14ac:dyDescent="0.3">
      <c r="A21" s="256">
        <v>8</v>
      </c>
      <c r="B21" s="257" t="s">
        <v>446</v>
      </c>
      <c r="C21" s="260">
        <v>188</v>
      </c>
      <c r="D21" s="260">
        <v>118</v>
      </c>
      <c r="E21" s="260">
        <f t="shared" si="0"/>
        <v>-70</v>
      </c>
      <c r="F21" s="259">
        <f t="shared" si="1"/>
        <v>-0.37234042553191488</v>
      </c>
    </row>
    <row r="22" spans="1:6" ht="20.25" customHeight="1" x14ac:dyDescent="0.3">
      <c r="A22" s="256">
        <v>9</v>
      </c>
      <c r="B22" s="257" t="s">
        <v>447</v>
      </c>
      <c r="C22" s="260">
        <v>104</v>
      </c>
      <c r="D22" s="260">
        <v>75</v>
      </c>
      <c r="E22" s="260">
        <f t="shared" si="0"/>
        <v>-29</v>
      </c>
      <c r="F22" s="259">
        <f t="shared" si="1"/>
        <v>-0.27884615384615385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5335973</v>
      </c>
      <c r="D23" s="263">
        <f>+D14+D16</f>
        <v>4006166</v>
      </c>
      <c r="E23" s="263">
        <f t="shared" si="0"/>
        <v>-1329807</v>
      </c>
      <c r="F23" s="264">
        <f t="shared" si="1"/>
        <v>-0.24921546642008871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1905950</v>
      </c>
      <c r="D24" s="263">
        <f>+D15+D17</f>
        <v>1447508</v>
      </c>
      <c r="E24" s="263">
        <f t="shared" si="0"/>
        <v>-458442</v>
      </c>
      <c r="F24" s="264">
        <f t="shared" si="1"/>
        <v>-0.24053201815367664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0</v>
      </c>
      <c r="E30" s="258">
        <f t="shared" si="2"/>
        <v>0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0</v>
      </c>
      <c r="E37" s="263">
        <f t="shared" si="2"/>
        <v>0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6763542</v>
      </c>
      <c r="D40" s="258">
        <v>8596148</v>
      </c>
      <c r="E40" s="258">
        <f t="shared" ref="E40:E50" si="4">D40-C40</f>
        <v>1832606</v>
      </c>
      <c r="F40" s="259">
        <f t="shared" ref="F40:F50" si="5">IF(C40=0,0,E40/C40)</f>
        <v>0.27095359206758823</v>
      </c>
    </row>
    <row r="41" spans="1:6" ht="20.25" customHeight="1" x14ac:dyDescent="0.3">
      <c r="A41" s="256">
        <v>2</v>
      </c>
      <c r="B41" s="257" t="s">
        <v>442</v>
      </c>
      <c r="C41" s="258">
        <v>2766769</v>
      </c>
      <c r="D41" s="258">
        <v>3388043</v>
      </c>
      <c r="E41" s="258">
        <f t="shared" si="4"/>
        <v>621274</v>
      </c>
      <c r="F41" s="259">
        <f t="shared" si="5"/>
        <v>0.22454856187849437</v>
      </c>
    </row>
    <row r="42" spans="1:6" ht="20.25" customHeight="1" x14ac:dyDescent="0.3">
      <c r="A42" s="256">
        <v>3</v>
      </c>
      <c r="B42" s="257" t="s">
        <v>443</v>
      </c>
      <c r="C42" s="258">
        <v>8287112</v>
      </c>
      <c r="D42" s="258">
        <v>9779891</v>
      </c>
      <c r="E42" s="258">
        <f t="shared" si="4"/>
        <v>1492779</v>
      </c>
      <c r="F42" s="259">
        <f t="shared" si="5"/>
        <v>0.18013259625307346</v>
      </c>
    </row>
    <row r="43" spans="1:6" ht="20.25" customHeight="1" x14ac:dyDescent="0.3">
      <c r="A43" s="256">
        <v>4</v>
      </c>
      <c r="B43" s="257" t="s">
        <v>444</v>
      </c>
      <c r="C43" s="258">
        <v>2252437</v>
      </c>
      <c r="D43" s="258">
        <v>2611667</v>
      </c>
      <c r="E43" s="258">
        <f t="shared" si="4"/>
        <v>359230</v>
      </c>
      <c r="F43" s="259">
        <f t="shared" si="5"/>
        <v>0.1594850377613225</v>
      </c>
    </row>
    <row r="44" spans="1:6" ht="20.25" customHeight="1" x14ac:dyDescent="0.3">
      <c r="A44" s="256">
        <v>5</v>
      </c>
      <c r="B44" s="257" t="s">
        <v>381</v>
      </c>
      <c r="C44" s="260">
        <v>252</v>
      </c>
      <c r="D44" s="260">
        <v>274</v>
      </c>
      <c r="E44" s="260">
        <f t="shared" si="4"/>
        <v>22</v>
      </c>
      <c r="F44" s="259">
        <f t="shared" si="5"/>
        <v>8.7301587301587297E-2</v>
      </c>
    </row>
    <row r="45" spans="1:6" ht="20.25" customHeight="1" x14ac:dyDescent="0.3">
      <c r="A45" s="256">
        <v>6</v>
      </c>
      <c r="B45" s="257" t="s">
        <v>380</v>
      </c>
      <c r="C45" s="260">
        <v>1171</v>
      </c>
      <c r="D45" s="260">
        <v>1304</v>
      </c>
      <c r="E45" s="260">
        <f t="shared" si="4"/>
        <v>133</v>
      </c>
      <c r="F45" s="259">
        <f t="shared" si="5"/>
        <v>0.11357813834329633</v>
      </c>
    </row>
    <row r="46" spans="1:6" ht="20.25" customHeight="1" x14ac:dyDescent="0.3">
      <c r="A46" s="256">
        <v>7</v>
      </c>
      <c r="B46" s="257" t="s">
        <v>445</v>
      </c>
      <c r="C46" s="260">
        <v>2720</v>
      </c>
      <c r="D46" s="260">
        <v>3009</v>
      </c>
      <c r="E46" s="260">
        <f t="shared" si="4"/>
        <v>289</v>
      </c>
      <c r="F46" s="259">
        <f t="shared" si="5"/>
        <v>0.10625</v>
      </c>
    </row>
    <row r="47" spans="1:6" ht="20.25" customHeight="1" x14ac:dyDescent="0.3">
      <c r="A47" s="256">
        <v>8</v>
      </c>
      <c r="B47" s="257" t="s">
        <v>446</v>
      </c>
      <c r="C47" s="260">
        <v>475</v>
      </c>
      <c r="D47" s="260">
        <v>507</v>
      </c>
      <c r="E47" s="260">
        <f t="shared" si="4"/>
        <v>32</v>
      </c>
      <c r="F47" s="259">
        <f t="shared" si="5"/>
        <v>6.7368421052631577E-2</v>
      </c>
    </row>
    <row r="48" spans="1:6" ht="20.25" customHeight="1" x14ac:dyDescent="0.3">
      <c r="A48" s="256">
        <v>9</v>
      </c>
      <c r="B48" s="257" t="s">
        <v>447</v>
      </c>
      <c r="C48" s="260">
        <v>210</v>
      </c>
      <c r="D48" s="260">
        <v>215</v>
      </c>
      <c r="E48" s="260">
        <f t="shared" si="4"/>
        <v>5</v>
      </c>
      <c r="F48" s="259">
        <f t="shared" si="5"/>
        <v>2.3809523809523808E-2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15050654</v>
      </c>
      <c r="D49" s="263">
        <f>+D40+D42</f>
        <v>18376039</v>
      </c>
      <c r="E49" s="263">
        <f t="shared" si="4"/>
        <v>3325385</v>
      </c>
      <c r="F49" s="264">
        <f t="shared" si="5"/>
        <v>0.22094621270278356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5019206</v>
      </c>
      <c r="D50" s="263">
        <f>+D41+D43</f>
        <v>5999710</v>
      </c>
      <c r="E50" s="263">
        <f t="shared" si="4"/>
        <v>980504</v>
      </c>
      <c r="F50" s="264">
        <f t="shared" si="5"/>
        <v>0.19535041996682342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0</v>
      </c>
      <c r="D66" s="258">
        <v>559904</v>
      </c>
      <c r="E66" s="258">
        <f t="shared" ref="E66:E76" si="8">D66-C66</f>
        <v>559904</v>
      </c>
      <c r="F66" s="259">
        <f t="shared" ref="F66:F76" si="9">IF(C66=0,0,E66/C66)</f>
        <v>0</v>
      </c>
    </row>
    <row r="67" spans="1:6" ht="20.25" customHeight="1" x14ac:dyDescent="0.3">
      <c r="A67" s="256">
        <v>2</v>
      </c>
      <c r="B67" s="257" t="s">
        <v>442</v>
      </c>
      <c r="C67" s="258">
        <v>0</v>
      </c>
      <c r="D67" s="258">
        <v>241390</v>
      </c>
      <c r="E67" s="258">
        <f t="shared" si="8"/>
        <v>241390</v>
      </c>
      <c r="F67" s="259">
        <f t="shared" si="9"/>
        <v>0</v>
      </c>
    </row>
    <row r="68" spans="1:6" ht="20.25" customHeight="1" x14ac:dyDescent="0.3">
      <c r="A68" s="256">
        <v>3</v>
      </c>
      <c r="B68" s="257" t="s">
        <v>443</v>
      </c>
      <c r="C68" s="258">
        <v>0</v>
      </c>
      <c r="D68" s="258">
        <v>251386</v>
      </c>
      <c r="E68" s="258">
        <f t="shared" si="8"/>
        <v>251386</v>
      </c>
      <c r="F68" s="259">
        <f t="shared" si="9"/>
        <v>0</v>
      </c>
    </row>
    <row r="69" spans="1:6" ht="20.25" customHeight="1" x14ac:dyDescent="0.3">
      <c r="A69" s="256">
        <v>4</v>
      </c>
      <c r="B69" s="257" t="s">
        <v>444</v>
      </c>
      <c r="C69" s="258">
        <v>0</v>
      </c>
      <c r="D69" s="258">
        <v>56925</v>
      </c>
      <c r="E69" s="258">
        <f t="shared" si="8"/>
        <v>56925</v>
      </c>
      <c r="F69" s="259">
        <f t="shared" si="9"/>
        <v>0</v>
      </c>
    </row>
    <row r="70" spans="1:6" ht="20.25" customHeight="1" x14ac:dyDescent="0.3">
      <c r="A70" s="256">
        <v>5</v>
      </c>
      <c r="B70" s="257" t="s">
        <v>381</v>
      </c>
      <c r="C70" s="260">
        <v>0</v>
      </c>
      <c r="D70" s="260">
        <v>19</v>
      </c>
      <c r="E70" s="260">
        <f t="shared" si="8"/>
        <v>19</v>
      </c>
      <c r="F70" s="259">
        <f t="shared" si="9"/>
        <v>0</v>
      </c>
    </row>
    <row r="71" spans="1:6" ht="20.25" customHeight="1" x14ac:dyDescent="0.3">
      <c r="A71" s="256">
        <v>6</v>
      </c>
      <c r="B71" s="257" t="s">
        <v>380</v>
      </c>
      <c r="C71" s="260">
        <v>0</v>
      </c>
      <c r="D71" s="260">
        <v>88</v>
      </c>
      <c r="E71" s="260">
        <f t="shared" si="8"/>
        <v>88</v>
      </c>
      <c r="F71" s="259">
        <f t="shared" si="9"/>
        <v>0</v>
      </c>
    </row>
    <row r="72" spans="1:6" ht="20.25" customHeight="1" x14ac:dyDescent="0.3">
      <c r="A72" s="256">
        <v>7</v>
      </c>
      <c r="B72" s="257" t="s">
        <v>445</v>
      </c>
      <c r="C72" s="260">
        <v>0</v>
      </c>
      <c r="D72" s="260">
        <v>60</v>
      </c>
      <c r="E72" s="260">
        <f t="shared" si="8"/>
        <v>60</v>
      </c>
      <c r="F72" s="259">
        <f t="shared" si="9"/>
        <v>0</v>
      </c>
    </row>
    <row r="73" spans="1:6" ht="20.25" customHeight="1" x14ac:dyDescent="0.3">
      <c r="A73" s="256">
        <v>8</v>
      </c>
      <c r="B73" s="257" t="s">
        <v>446</v>
      </c>
      <c r="C73" s="260">
        <v>0</v>
      </c>
      <c r="D73" s="260">
        <v>48</v>
      </c>
      <c r="E73" s="260">
        <f t="shared" si="8"/>
        <v>48</v>
      </c>
      <c r="F73" s="259">
        <f t="shared" si="9"/>
        <v>0</v>
      </c>
    </row>
    <row r="74" spans="1:6" ht="20.25" customHeight="1" x14ac:dyDescent="0.3">
      <c r="A74" s="256">
        <v>9</v>
      </c>
      <c r="B74" s="257" t="s">
        <v>447</v>
      </c>
      <c r="C74" s="260">
        <v>0</v>
      </c>
      <c r="D74" s="260">
        <v>18</v>
      </c>
      <c r="E74" s="260">
        <f t="shared" si="8"/>
        <v>18</v>
      </c>
      <c r="F74" s="259">
        <f t="shared" si="9"/>
        <v>0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0</v>
      </c>
      <c r="D75" s="263">
        <f>+D66+D68</f>
        <v>811290</v>
      </c>
      <c r="E75" s="263">
        <f t="shared" si="8"/>
        <v>811290</v>
      </c>
      <c r="F75" s="264">
        <f t="shared" si="9"/>
        <v>0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0</v>
      </c>
      <c r="D76" s="263">
        <f>+D67+D69</f>
        <v>298315</v>
      </c>
      <c r="E76" s="263">
        <f t="shared" si="8"/>
        <v>298315</v>
      </c>
      <c r="F76" s="264">
        <f t="shared" si="9"/>
        <v>0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0</v>
      </c>
      <c r="D81" s="258">
        <v>0</v>
      </c>
      <c r="E81" s="258">
        <f t="shared" si="10"/>
        <v>0</v>
      </c>
      <c r="F81" s="259">
        <f t="shared" si="11"/>
        <v>0</v>
      </c>
    </row>
    <row r="82" spans="1:6" ht="20.25" customHeight="1" x14ac:dyDescent="0.3">
      <c r="A82" s="256">
        <v>4</v>
      </c>
      <c r="B82" s="257" t="s">
        <v>444</v>
      </c>
      <c r="C82" s="258">
        <v>0</v>
      </c>
      <c r="D82" s="258">
        <v>0</v>
      </c>
      <c r="E82" s="258">
        <f t="shared" si="10"/>
        <v>0</v>
      </c>
      <c r="F82" s="259">
        <f t="shared" si="11"/>
        <v>0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0</v>
      </c>
      <c r="D85" s="260">
        <v>0</v>
      </c>
      <c r="E85" s="260">
        <f t="shared" si="10"/>
        <v>0</v>
      </c>
      <c r="F85" s="259">
        <f t="shared" si="11"/>
        <v>0</v>
      </c>
    </row>
    <row r="86" spans="1:6" ht="20.25" customHeight="1" x14ac:dyDescent="0.3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0</v>
      </c>
      <c r="D88" s="263">
        <f>+D79+D81</f>
        <v>0</v>
      </c>
      <c r="E88" s="263">
        <f t="shared" si="10"/>
        <v>0</v>
      </c>
      <c r="F88" s="264">
        <f t="shared" si="11"/>
        <v>0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0</v>
      </c>
      <c r="D89" s="263">
        <f>+D80+D82</f>
        <v>0</v>
      </c>
      <c r="E89" s="263">
        <f t="shared" si="10"/>
        <v>0</v>
      </c>
      <c r="F89" s="264">
        <f t="shared" si="11"/>
        <v>0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0</v>
      </c>
      <c r="D92" s="258">
        <v>0</v>
      </c>
      <c r="E92" s="258">
        <f t="shared" ref="E92:E102" si="12">D92-C92</f>
        <v>0</v>
      </c>
      <c r="F92" s="259">
        <f t="shared" ref="F92:F102" si="13">IF(C92=0,0,E92/C92)</f>
        <v>0</v>
      </c>
    </row>
    <row r="93" spans="1:6" ht="20.25" customHeight="1" x14ac:dyDescent="0.3">
      <c r="A93" s="256">
        <v>2</v>
      </c>
      <c r="B93" s="257" t="s">
        <v>442</v>
      </c>
      <c r="C93" s="258">
        <v>0</v>
      </c>
      <c r="D93" s="258">
        <v>0</v>
      </c>
      <c r="E93" s="258">
        <f t="shared" si="12"/>
        <v>0</v>
      </c>
      <c r="F93" s="259">
        <f t="shared" si="13"/>
        <v>0</v>
      </c>
    </row>
    <row r="94" spans="1:6" ht="20.25" customHeight="1" x14ac:dyDescent="0.3">
      <c r="A94" s="256">
        <v>3</v>
      </c>
      <c r="B94" s="257" t="s">
        <v>443</v>
      </c>
      <c r="C94" s="258">
        <v>0</v>
      </c>
      <c r="D94" s="258">
        <v>0</v>
      </c>
      <c r="E94" s="258">
        <f t="shared" si="12"/>
        <v>0</v>
      </c>
      <c r="F94" s="259">
        <f t="shared" si="13"/>
        <v>0</v>
      </c>
    </row>
    <row r="95" spans="1:6" ht="20.25" customHeight="1" x14ac:dyDescent="0.3">
      <c r="A95" s="256">
        <v>4</v>
      </c>
      <c r="B95" s="257" t="s">
        <v>444</v>
      </c>
      <c r="C95" s="258">
        <v>0</v>
      </c>
      <c r="D95" s="258">
        <v>0</v>
      </c>
      <c r="E95" s="258">
        <f t="shared" si="12"/>
        <v>0</v>
      </c>
      <c r="F95" s="259">
        <f t="shared" si="13"/>
        <v>0</v>
      </c>
    </row>
    <row r="96" spans="1:6" ht="20.25" customHeight="1" x14ac:dyDescent="0.3">
      <c r="A96" s="256">
        <v>5</v>
      </c>
      <c r="B96" s="257" t="s">
        <v>381</v>
      </c>
      <c r="C96" s="260">
        <v>0</v>
      </c>
      <c r="D96" s="260">
        <v>0</v>
      </c>
      <c r="E96" s="260">
        <f t="shared" si="12"/>
        <v>0</v>
      </c>
      <c r="F96" s="259">
        <f t="shared" si="13"/>
        <v>0</v>
      </c>
    </row>
    <row r="97" spans="1:6" ht="20.25" customHeight="1" x14ac:dyDescent="0.3">
      <c r="A97" s="256">
        <v>6</v>
      </c>
      <c r="B97" s="257" t="s">
        <v>380</v>
      </c>
      <c r="C97" s="260">
        <v>0</v>
      </c>
      <c r="D97" s="260">
        <v>0</v>
      </c>
      <c r="E97" s="260">
        <f t="shared" si="12"/>
        <v>0</v>
      </c>
      <c r="F97" s="259">
        <f t="shared" si="13"/>
        <v>0</v>
      </c>
    </row>
    <row r="98" spans="1:6" ht="20.25" customHeight="1" x14ac:dyDescent="0.3">
      <c r="A98" s="256">
        <v>7</v>
      </c>
      <c r="B98" s="257" t="s">
        <v>445</v>
      </c>
      <c r="C98" s="260">
        <v>0</v>
      </c>
      <c r="D98" s="260">
        <v>0</v>
      </c>
      <c r="E98" s="260">
        <f t="shared" si="12"/>
        <v>0</v>
      </c>
      <c r="F98" s="259">
        <f t="shared" si="13"/>
        <v>0</v>
      </c>
    </row>
    <row r="99" spans="1:6" ht="20.25" customHeight="1" x14ac:dyDescent="0.3">
      <c r="A99" s="256">
        <v>8</v>
      </c>
      <c r="B99" s="257" t="s">
        <v>446</v>
      </c>
      <c r="C99" s="260">
        <v>0</v>
      </c>
      <c r="D99" s="260">
        <v>0</v>
      </c>
      <c r="E99" s="260">
        <f t="shared" si="12"/>
        <v>0</v>
      </c>
      <c r="F99" s="259">
        <f t="shared" si="13"/>
        <v>0</v>
      </c>
    </row>
    <row r="100" spans="1:6" ht="20.25" customHeight="1" x14ac:dyDescent="0.3">
      <c r="A100" s="256">
        <v>9</v>
      </c>
      <c r="B100" s="257" t="s">
        <v>447</v>
      </c>
      <c r="C100" s="260">
        <v>0</v>
      </c>
      <c r="D100" s="260">
        <v>0</v>
      </c>
      <c r="E100" s="260">
        <f t="shared" si="12"/>
        <v>0</v>
      </c>
      <c r="F100" s="259">
        <f t="shared" si="13"/>
        <v>0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0</v>
      </c>
      <c r="D101" s="263">
        <f>+D92+D94</f>
        <v>0</v>
      </c>
      <c r="E101" s="263">
        <f t="shared" si="12"/>
        <v>0</v>
      </c>
      <c r="F101" s="264">
        <f t="shared" si="13"/>
        <v>0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0</v>
      </c>
      <c r="D102" s="263">
        <f>+D93+D95</f>
        <v>0</v>
      </c>
      <c r="E102" s="263">
        <f t="shared" si="12"/>
        <v>0</v>
      </c>
      <c r="F102" s="264">
        <f t="shared" si="13"/>
        <v>0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1310984</v>
      </c>
      <c r="D105" s="258">
        <v>2138485</v>
      </c>
      <c r="E105" s="258">
        <f t="shared" ref="E105:E115" si="14">D105-C105</f>
        <v>827501</v>
      </c>
      <c r="F105" s="259">
        <f t="shared" ref="F105:F115" si="15">IF(C105=0,0,E105/C105)</f>
        <v>0.63120602539771653</v>
      </c>
    </row>
    <row r="106" spans="1:6" ht="20.25" customHeight="1" x14ac:dyDescent="0.3">
      <c r="A106" s="256">
        <v>2</v>
      </c>
      <c r="B106" s="257" t="s">
        <v>442</v>
      </c>
      <c r="C106" s="258">
        <v>489514</v>
      </c>
      <c r="D106" s="258">
        <v>834346</v>
      </c>
      <c r="E106" s="258">
        <f t="shared" si="14"/>
        <v>344832</v>
      </c>
      <c r="F106" s="259">
        <f t="shared" si="15"/>
        <v>0.70443746246276917</v>
      </c>
    </row>
    <row r="107" spans="1:6" ht="20.25" customHeight="1" x14ac:dyDescent="0.3">
      <c r="A107" s="256">
        <v>3</v>
      </c>
      <c r="B107" s="257" t="s">
        <v>443</v>
      </c>
      <c r="C107" s="258">
        <v>909039</v>
      </c>
      <c r="D107" s="258">
        <v>2314416</v>
      </c>
      <c r="E107" s="258">
        <f t="shared" si="14"/>
        <v>1405377</v>
      </c>
      <c r="F107" s="259">
        <f t="shared" si="15"/>
        <v>1.5460029767699737</v>
      </c>
    </row>
    <row r="108" spans="1:6" ht="20.25" customHeight="1" x14ac:dyDescent="0.3">
      <c r="A108" s="256">
        <v>4</v>
      </c>
      <c r="B108" s="257" t="s">
        <v>444</v>
      </c>
      <c r="C108" s="258">
        <v>219624</v>
      </c>
      <c r="D108" s="258">
        <v>415818</v>
      </c>
      <c r="E108" s="258">
        <f t="shared" si="14"/>
        <v>196194</v>
      </c>
      <c r="F108" s="259">
        <f t="shared" si="15"/>
        <v>0.8933176701999781</v>
      </c>
    </row>
    <row r="109" spans="1:6" ht="20.25" customHeight="1" x14ac:dyDescent="0.3">
      <c r="A109" s="256">
        <v>5</v>
      </c>
      <c r="B109" s="257" t="s">
        <v>381</v>
      </c>
      <c r="C109" s="260">
        <v>46</v>
      </c>
      <c r="D109" s="260">
        <v>87</v>
      </c>
      <c r="E109" s="260">
        <f t="shared" si="14"/>
        <v>41</v>
      </c>
      <c r="F109" s="259">
        <f t="shared" si="15"/>
        <v>0.89130434782608692</v>
      </c>
    </row>
    <row r="110" spans="1:6" ht="20.25" customHeight="1" x14ac:dyDescent="0.3">
      <c r="A110" s="256">
        <v>6</v>
      </c>
      <c r="B110" s="257" t="s">
        <v>380</v>
      </c>
      <c r="C110" s="260">
        <v>223</v>
      </c>
      <c r="D110" s="260">
        <v>354</v>
      </c>
      <c r="E110" s="260">
        <f t="shared" si="14"/>
        <v>131</v>
      </c>
      <c r="F110" s="259">
        <f t="shared" si="15"/>
        <v>0.58744394618834084</v>
      </c>
    </row>
    <row r="111" spans="1:6" ht="20.25" customHeight="1" x14ac:dyDescent="0.3">
      <c r="A111" s="256">
        <v>7</v>
      </c>
      <c r="B111" s="257" t="s">
        <v>445</v>
      </c>
      <c r="C111" s="260">
        <v>312</v>
      </c>
      <c r="D111" s="260">
        <v>644</v>
      </c>
      <c r="E111" s="260">
        <f t="shared" si="14"/>
        <v>332</v>
      </c>
      <c r="F111" s="259">
        <f t="shared" si="15"/>
        <v>1.0641025641025641</v>
      </c>
    </row>
    <row r="112" spans="1:6" ht="20.25" customHeight="1" x14ac:dyDescent="0.3">
      <c r="A112" s="256">
        <v>8</v>
      </c>
      <c r="B112" s="257" t="s">
        <v>446</v>
      </c>
      <c r="C112" s="260">
        <v>145</v>
      </c>
      <c r="D112" s="260">
        <v>387</v>
      </c>
      <c r="E112" s="260">
        <f t="shared" si="14"/>
        <v>242</v>
      </c>
      <c r="F112" s="259">
        <f t="shared" si="15"/>
        <v>1.6689655172413793</v>
      </c>
    </row>
    <row r="113" spans="1:6" ht="20.25" customHeight="1" x14ac:dyDescent="0.3">
      <c r="A113" s="256">
        <v>9</v>
      </c>
      <c r="B113" s="257" t="s">
        <v>447</v>
      </c>
      <c r="C113" s="260">
        <v>43</v>
      </c>
      <c r="D113" s="260">
        <v>82</v>
      </c>
      <c r="E113" s="260">
        <f t="shared" si="14"/>
        <v>39</v>
      </c>
      <c r="F113" s="259">
        <f t="shared" si="15"/>
        <v>0.90697674418604646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2220023</v>
      </c>
      <c r="D114" s="263">
        <f>+D105+D107</f>
        <v>4452901</v>
      </c>
      <c r="E114" s="263">
        <f t="shared" si="14"/>
        <v>2232878</v>
      </c>
      <c r="F114" s="264">
        <f t="shared" si="15"/>
        <v>1.0057904805490754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709138</v>
      </c>
      <c r="D115" s="263">
        <f>+D106+D108</f>
        <v>1250164</v>
      </c>
      <c r="E115" s="263">
        <f t="shared" si="14"/>
        <v>541026</v>
      </c>
      <c r="F115" s="264">
        <f t="shared" si="15"/>
        <v>0.76293471792514289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3597321</v>
      </c>
      <c r="D118" s="258">
        <v>5344142</v>
      </c>
      <c r="E118" s="258">
        <f t="shared" ref="E118:E128" si="16">D118-C118</f>
        <v>1746821</v>
      </c>
      <c r="F118" s="259">
        <f t="shared" ref="F118:F128" si="17">IF(C118=0,0,E118/C118)</f>
        <v>0.48558941501189357</v>
      </c>
    </row>
    <row r="119" spans="1:6" ht="20.25" customHeight="1" x14ac:dyDescent="0.3">
      <c r="A119" s="256">
        <v>2</v>
      </c>
      <c r="B119" s="257" t="s">
        <v>442</v>
      </c>
      <c r="C119" s="258">
        <v>1388831</v>
      </c>
      <c r="D119" s="258">
        <v>3028593</v>
      </c>
      <c r="E119" s="258">
        <f t="shared" si="16"/>
        <v>1639762</v>
      </c>
      <c r="F119" s="259">
        <f t="shared" si="17"/>
        <v>1.1806778506528153</v>
      </c>
    </row>
    <row r="120" spans="1:6" ht="20.25" customHeight="1" x14ac:dyDescent="0.3">
      <c r="A120" s="256">
        <v>3</v>
      </c>
      <c r="B120" s="257" t="s">
        <v>443</v>
      </c>
      <c r="C120" s="258">
        <v>3163088</v>
      </c>
      <c r="D120" s="258">
        <v>5334278</v>
      </c>
      <c r="E120" s="258">
        <f t="shared" si="16"/>
        <v>2171190</v>
      </c>
      <c r="F120" s="259">
        <f t="shared" si="17"/>
        <v>0.68641466819766006</v>
      </c>
    </row>
    <row r="121" spans="1:6" ht="20.25" customHeight="1" x14ac:dyDescent="0.3">
      <c r="A121" s="256">
        <v>4</v>
      </c>
      <c r="B121" s="257" t="s">
        <v>444</v>
      </c>
      <c r="C121" s="258">
        <v>777803</v>
      </c>
      <c r="D121" s="258">
        <v>1307832</v>
      </c>
      <c r="E121" s="258">
        <f t="shared" si="16"/>
        <v>530029</v>
      </c>
      <c r="F121" s="259">
        <f t="shared" si="17"/>
        <v>0.68144375889524722</v>
      </c>
    </row>
    <row r="122" spans="1:6" ht="20.25" customHeight="1" x14ac:dyDescent="0.3">
      <c r="A122" s="256">
        <v>5</v>
      </c>
      <c r="B122" s="257" t="s">
        <v>381</v>
      </c>
      <c r="C122" s="260">
        <v>134</v>
      </c>
      <c r="D122" s="260">
        <v>173</v>
      </c>
      <c r="E122" s="260">
        <f t="shared" si="16"/>
        <v>39</v>
      </c>
      <c r="F122" s="259">
        <f t="shared" si="17"/>
        <v>0.29104477611940299</v>
      </c>
    </row>
    <row r="123" spans="1:6" ht="20.25" customHeight="1" x14ac:dyDescent="0.3">
      <c r="A123" s="256">
        <v>6</v>
      </c>
      <c r="B123" s="257" t="s">
        <v>380</v>
      </c>
      <c r="C123" s="260">
        <v>669</v>
      </c>
      <c r="D123" s="260">
        <v>861</v>
      </c>
      <c r="E123" s="260">
        <f t="shared" si="16"/>
        <v>192</v>
      </c>
      <c r="F123" s="259">
        <f t="shared" si="17"/>
        <v>0.28699551569506726</v>
      </c>
    </row>
    <row r="124" spans="1:6" ht="20.25" customHeight="1" x14ac:dyDescent="0.3">
      <c r="A124" s="256">
        <v>7</v>
      </c>
      <c r="B124" s="257" t="s">
        <v>445</v>
      </c>
      <c r="C124" s="260">
        <v>1169</v>
      </c>
      <c r="D124" s="260">
        <v>1736</v>
      </c>
      <c r="E124" s="260">
        <f t="shared" si="16"/>
        <v>567</v>
      </c>
      <c r="F124" s="259">
        <f t="shared" si="17"/>
        <v>0.48502994011976047</v>
      </c>
    </row>
    <row r="125" spans="1:6" ht="20.25" customHeight="1" x14ac:dyDescent="0.3">
      <c r="A125" s="256">
        <v>8</v>
      </c>
      <c r="B125" s="257" t="s">
        <v>446</v>
      </c>
      <c r="C125" s="260">
        <v>233</v>
      </c>
      <c r="D125" s="260">
        <v>389</v>
      </c>
      <c r="E125" s="260">
        <f t="shared" si="16"/>
        <v>156</v>
      </c>
      <c r="F125" s="259">
        <f t="shared" si="17"/>
        <v>0.66952789699570814</v>
      </c>
    </row>
    <row r="126" spans="1:6" ht="20.25" customHeight="1" x14ac:dyDescent="0.3">
      <c r="A126" s="256">
        <v>9</v>
      </c>
      <c r="B126" s="257" t="s">
        <v>447</v>
      </c>
      <c r="C126" s="260">
        <v>119</v>
      </c>
      <c r="D126" s="260">
        <v>150</v>
      </c>
      <c r="E126" s="260">
        <f t="shared" si="16"/>
        <v>31</v>
      </c>
      <c r="F126" s="259">
        <f t="shared" si="17"/>
        <v>0.26050420168067229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6760409</v>
      </c>
      <c r="D127" s="263">
        <f>+D118+D120</f>
        <v>10678420</v>
      </c>
      <c r="E127" s="263">
        <f t="shared" si="16"/>
        <v>3918011</v>
      </c>
      <c r="F127" s="264">
        <f t="shared" si="17"/>
        <v>0.57955236140298616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2166634</v>
      </c>
      <c r="D128" s="263">
        <f>+D119+D121</f>
        <v>4336425</v>
      </c>
      <c r="E128" s="263">
        <f t="shared" si="16"/>
        <v>2169791</v>
      </c>
      <c r="F128" s="264">
        <f t="shared" si="17"/>
        <v>1.0014570988916449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0</v>
      </c>
      <c r="D131" s="258">
        <v>0</v>
      </c>
      <c r="E131" s="258">
        <f t="shared" ref="E131:E141" si="18">D131-C131</f>
        <v>0</v>
      </c>
      <c r="F131" s="259">
        <f t="shared" ref="F131:F141" si="19">IF(C131=0,0,E131/C131)</f>
        <v>0</v>
      </c>
    </row>
    <row r="132" spans="1:6" ht="20.25" customHeight="1" x14ac:dyDescent="0.3">
      <c r="A132" s="256">
        <v>2</v>
      </c>
      <c r="B132" s="257" t="s">
        <v>442</v>
      </c>
      <c r="C132" s="258">
        <v>0</v>
      </c>
      <c r="D132" s="258">
        <v>0</v>
      </c>
      <c r="E132" s="258">
        <f t="shared" si="18"/>
        <v>0</v>
      </c>
      <c r="F132" s="259">
        <f t="shared" si="19"/>
        <v>0</v>
      </c>
    </row>
    <row r="133" spans="1:6" ht="20.25" customHeight="1" x14ac:dyDescent="0.3">
      <c r="A133" s="256">
        <v>3</v>
      </c>
      <c r="B133" s="257" t="s">
        <v>443</v>
      </c>
      <c r="C133" s="258">
        <v>0</v>
      </c>
      <c r="D133" s="258">
        <v>0</v>
      </c>
      <c r="E133" s="258">
        <f t="shared" si="18"/>
        <v>0</v>
      </c>
      <c r="F133" s="259">
        <f t="shared" si="19"/>
        <v>0</v>
      </c>
    </row>
    <row r="134" spans="1:6" ht="20.25" customHeight="1" x14ac:dyDescent="0.3">
      <c r="A134" s="256">
        <v>4</v>
      </c>
      <c r="B134" s="257" t="s">
        <v>444</v>
      </c>
      <c r="C134" s="258">
        <v>0</v>
      </c>
      <c r="D134" s="258">
        <v>0</v>
      </c>
      <c r="E134" s="258">
        <f t="shared" si="18"/>
        <v>0</v>
      </c>
      <c r="F134" s="259">
        <f t="shared" si="19"/>
        <v>0</v>
      </c>
    </row>
    <row r="135" spans="1:6" ht="20.25" customHeight="1" x14ac:dyDescent="0.3">
      <c r="A135" s="256">
        <v>5</v>
      </c>
      <c r="B135" s="257" t="s">
        <v>381</v>
      </c>
      <c r="C135" s="260">
        <v>0</v>
      </c>
      <c r="D135" s="260">
        <v>0</v>
      </c>
      <c r="E135" s="260">
        <f t="shared" si="18"/>
        <v>0</v>
      </c>
      <c r="F135" s="259">
        <f t="shared" si="19"/>
        <v>0</v>
      </c>
    </row>
    <row r="136" spans="1:6" ht="20.25" customHeight="1" x14ac:dyDescent="0.3">
      <c r="A136" s="256">
        <v>6</v>
      </c>
      <c r="B136" s="257" t="s">
        <v>380</v>
      </c>
      <c r="C136" s="260">
        <v>0</v>
      </c>
      <c r="D136" s="260">
        <v>0</v>
      </c>
      <c r="E136" s="260">
        <f t="shared" si="18"/>
        <v>0</v>
      </c>
      <c r="F136" s="259">
        <f t="shared" si="19"/>
        <v>0</v>
      </c>
    </row>
    <row r="137" spans="1:6" ht="20.25" customHeight="1" x14ac:dyDescent="0.3">
      <c r="A137" s="256">
        <v>7</v>
      </c>
      <c r="B137" s="257" t="s">
        <v>445</v>
      </c>
      <c r="C137" s="260">
        <v>0</v>
      </c>
      <c r="D137" s="260">
        <v>0</v>
      </c>
      <c r="E137" s="260">
        <f t="shared" si="18"/>
        <v>0</v>
      </c>
      <c r="F137" s="259">
        <f t="shared" si="19"/>
        <v>0</v>
      </c>
    </row>
    <row r="138" spans="1:6" ht="20.25" customHeight="1" x14ac:dyDescent="0.3">
      <c r="A138" s="256">
        <v>8</v>
      </c>
      <c r="B138" s="257" t="s">
        <v>446</v>
      </c>
      <c r="C138" s="260">
        <v>0</v>
      </c>
      <c r="D138" s="260">
        <v>0</v>
      </c>
      <c r="E138" s="260">
        <f t="shared" si="18"/>
        <v>0</v>
      </c>
      <c r="F138" s="259">
        <f t="shared" si="19"/>
        <v>0</v>
      </c>
    </row>
    <row r="139" spans="1:6" ht="20.25" customHeight="1" x14ac:dyDescent="0.3">
      <c r="A139" s="256">
        <v>9</v>
      </c>
      <c r="B139" s="257" t="s">
        <v>447</v>
      </c>
      <c r="C139" s="260">
        <v>0</v>
      </c>
      <c r="D139" s="260">
        <v>0</v>
      </c>
      <c r="E139" s="260">
        <f t="shared" si="18"/>
        <v>0</v>
      </c>
      <c r="F139" s="259">
        <f t="shared" si="19"/>
        <v>0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0</v>
      </c>
      <c r="D140" s="263">
        <f>+D131+D133</f>
        <v>0</v>
      </c>
      <c r="E140" s="263">
        <f t="shared" si="18"/>
        <v>0</v>
      </c>
      <c r="F140" s="264">
        <f t="shared" si="19"/>
        <v>0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0</v>
      </c>
      <c r="D141" s="263">
        <f>+D132+D134</f>
        <v>0</v>
      </c>
      <c r="E141" s="263">
        <f t="shared" si="18"/>
        <v>0</v>
      </c>
      <c r="F141" s="264">
        <f t="shared" si="19"/>
        <v>0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15100571</v>
      </c>
      <c r="D183" s="258">
        <v>14659567</v>
      </c>
      <c r="E183" s="258">
        <f t="shared" ref="E183:E193" si="26">D183-C183</f>
        <v>-441004</v>
      </c>
      <c r="F183" s="259">
        <f t="shared" ref="F183:F193" si="27">IF(C183=0,0,E183/C183)</f>
        <v>-2.9204458559878299E-2</v>
      </c>
    </row>
    <row r="184" spans="1:6" ht="20.25" customHeight="1" x14ac:dyDescent="0.3">
      <c r="A184" s="256">
        <v>2</v>
      </c>
      <c r="B184" s="257" t="s">
        <v>442</v>
      </c>
      <c r="C184" s="258">
        <v>5791111</v>
      </c>
      <c r="D184" s="258">
        <v>5689357</v>
      </c>
      <c r="E184" s="258">
        <f t="shared" si="26"/>
        <v>-101754</v>
      </c>
      <c r="F184" s="259">
        <f t="shared" si="27"/>
        <v>-1.7570721749246388E-2</v>
      </c>
    </row>
    <row r="185" spans="1:6" ht="20.25" customHeight="1" x14ac:dyDescent="0.3">
      <c r="A185" s="256">
        <v>3</v>
      </c>
      <c r="B185" s="257" t="s">
        <v>443</v>
      </c>
      <c r="C185" s="258">
        <v>11451018</v>
      </c>
      <c r="D185" s="258">
        <v>13462167</v>
      </c>
      <c r="E185" s="258">
        <f t="shared" si="26"/>
        <v>2011149</v>
      </c>
      <c r="F185" s="259">
        <f t="shared" si="27"/>
        <v>0.17563058585708274</v>
      </c>
    </row>
    <row r="186" spans="1:6" ht="20.25" customHeight="1" x14ac:dyDescent="0.3">
      <c r="A186" s="256">
        <v>4</v>
      </c>
      <c r="B186" s="257" t="s">
        <v>444</v>
      </c>
      <c r="C186" s="258">
        <v>2899833</v>
      </c>
      <c r="D186" s="258">
        <v>3452414</v>
      </c>
      <c r="E186" s="258">
        <f t="shared" si="26"/>
        <v>552581</v>
      </c>
      <c r="F186" s="259">
        <f t="shared" si="27"/>
        <v>0.19055614581943167</v>
      </c>
    </row>
    <row r="187" spans="1:6" ht="20.25" customHeight="1" x14ac:dyDescent="0.3">
      <c r="A187" s="256">
        <v>5</v>
      </c>
      <c r="B187" s="257" t="s">
        <v>381</v>
      </c>
      <c r="C187" s="260">
        <v>562</v>
      </c>
      <c r="D187" s="260">
        <v>460</v>
      </c>
      <c r="E187" s="260">
        <f t="shared" si="26"/>
        <v>-102</v>
      </c>
      <c r="F187" s="259">
        <f t="shared" si="27"/>
        <v>-0.18149466192170818</v>
      </c>
    </row>
    <row r="188" spans="1:6" ht="20.25" customHeight="1" x14ac:dyDescent="0.3">
      <c r="A188" s="256">
        <v>6</v>
      </c>
      <c r="B188" s="257" t="s">
        <v>380</v>
      </c>
      <c r="C188" s="260">
        <v>2836</v>
      </c>
      <c r="D188" s="260">
        <v>2418</v>
      </c>
      <c r="E188" s="260">
        <f t="shared" si="26"/>
        <v>-418</v>
      </c>
      <c r="F188" s="259">
        <f t="shared" si="27"/>
        <v>-0.14739069111424541</v>
      </c>
    </row>
    <row r="189" spans="1:6" ht="20.25" customHeight="1" x14ac:dyDescent="0.3">
      <c r="A189" s="256">
        <v>7</v>
      </c>
      <c r="B189" s="257" t="s">
        <v>445</v>
      </c>
      <c r="C189" s="260">
        <v>4150</v>
      </c>
      <c r="D189" s="260">
        <v>4010</v>
      </c>
      <c r="E189" s="260">
        <f t="shared" si="26"/>
        <v>-140</v>
      </c>
      <c r="F189" s="259">
        <f t="shared" si="27"/>
        <v>-3.3734939759036145E-2</v>
      </c>
    </row>
    <row r="190" spans="1:6" ht="20.25" customHeight="1" x14ac:dyDescent="0.3">
      <c r="A190" s="256">
        <v>8</v>
      </c>
      <c r="B190" s="257" t="s">
        <v>446</v>
      </c>
      <c r="C190" s="260">
        <v>1130</v>
      </c>
      <c r="D190" s="260">
        <v>1052</v>
      </c>
      <c r="E190" s="260">
        <f t="shared" si="26"/>
        <v>-78</v>
      </c>
      <c r="F190" s="259">
        <f t="shared" si="27"/>
        <v>-6.9026548672566371E-2</v>
      </c>
    </row>
    <row r="191" spans="1:6" ht="20.25" customHeight="1" x14ac:dyDescent="0.3">
      <c r="A191" s="256">
        <v>9</v>
      </c>
      <c r="B191" s="257" t="s">
        <v>447</v>
      </c>
      <c r="C191" s="260">
        <v>506</v>
      </c>
      <c r="D191" s="260">
        <v>403</v>
      </c>
      <c r="E191" s="260">
        <f t="shared" si="26"/>
        <v>-103</v>
      </c>
      <c r="F191" s="259">
        <f t="shared" si="27"/>
        <v>-0.20355731225296442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26551589</v>
      </c>
      <c r="D192" s="263">
        <f>+D183+D185</f>
        <v>28121734</v>
      </c>
      <c r="E192" s="263">
        <f t="shared" si="26"/>
        <v>1570145</v>
      </c>
      <c r="F192" s="264">
        <f t="shared" si="27"/>
        <v>5.9135632146158933E-2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8690944</v>
      </c>
      <c r="D193" s="263">
        <f>+D184+D186</f>
        <v>9141771</v>
      </c>
      <c r="E193" s="263">
        <f t="shared" si="26"/>
        <v>450827</v>
      </c>
      <c r="F193" s="264">
        <f t="shared" si="27"/>
        <v>5.1873191220654515E-2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786" t="s">
        <v>44</v>
      </c>
      <c r="B195" s="788" t="s">
        <v>464</v>
      </c>
      <c r="C195" s="790"/>
      <c r="D195" s="791"/>
      <c r="E195" s="791"/>
      <c r="F195" s="792"/>
      <c r="G195" s="796"/>
      <c r="H195" s="796"/>
      <c r="I195" s="796"/>
    </row>
    <row r="196" spans="1:9" ht="20.25" customHeight="1" x14ac:dyDescent="0.3">
      <c r="A196" s="787"/>
      <c r="B196" s="789"/>
      <c r="C196" s="793"/>
      <c r="D196" s="794"/>
      <c r="E196" s="794"/>
      <c r="F196" s="795"/>
      <c r="G196" s="796"/>
      <c r="H196" s="796"/>
      <c r="I196" s="796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29868404</v>
      </c>
      <c r="D198" s="263">
        <f t="shared" si="28"/>
        <v>33861421</v>
      </c>
      <c r="E198" s="263">
        <f t="shared" ref="E198:E208" si="29">D198-C198</f>
        <v>3993017</v>
      </c>
      <c r="F198" s="273">
        <f t="shared" ref="F198:F208" si="30">IF(C198=0,0,E198/C198)</f>
        <v>0.13368698910058938</v>
      </c>
    </row>
    <row r="199" spans="1:9" ht="20.25" customHeight="1" x14ac:dyDescent="0.3">
      <c r="A199" s="271"/>
      <c r="B199" s="272" t="s">
        <v>466</v>
      </c>
      <c r="C199" s="263">
        <f t="shared" si="28"/>
        <v>11628291</v>
      </c>
      <c r="D199" s="263">
        <f t="shared" si="28"/>
        <v>14121343</v>
      </c>
      <c r="E199" s="263">
        <f t="shared" si="29"/>
        <v>2493052</v>
      </c>
      <c r="F199" s="273">
        <f t="shared" si="30"/>
        <v>0.21439539137780436</v>
      </c>
    </row>
    <row r="200" spans="1:9" ht="20.25" customHeight="1" x14ac:dyDescent="0.3">
      <c r="A200" s="271"/>
      <c r="B200" s="272" t="s">
        <v>467</v>
      </c>
      <c r="C200" s="263">
        <f t="shared" si="28"/>
        <v>26050244</v>
      </c>
      <c r="D200" s="263">
        <f t="shared" si="28"/>
        <v>32585129</v>
      </c>
      <c r="E200" s="263">
        <f t="shared" si="29"/>
        <v>6534885</v>
      </c>
      <c r="F200" s="273">
        <f t="shared" si="30"/>
        <v>0.25085695934364377</v>
      </c>
    </row>
    <row r="201" spans="1:9" ht="20.25" customHeight="1" x14ac:dyDescent="0.3">
      <c r="A201" s="271"/>
      <c r="B201" s="272" t="s">
        <v>468</v>
      </c>
      <c r="C201" s="263">
        <f t="shared" si="28"/>
        <v>6863581</v>
      </c>
      <c r="D201" s="263">
        <f t="shared" si="28"/>
        <v>8352550</v>
      </c>
      <c r="E201" s="263">
        <f t="shared" si="29"/>
        <v>1488969</v>
      </c>
      <c r="F201" s="273">
        <f t="shared" si="30"/>
        <v>0.21693763066247779</v>
      </c>
    </row>
    <row r="202" spans="1:9" ht="20.25" customHeight="1" x14ac:dyDescent="0.3">
      <c r="A202" s="271"/>
      <c r="B202" s="272" t="s">
        <v>138</v>
      </c>
      <c r="C202" s="274">
        <f t="shared" si="28"/>
        <v>1109</v>
      </c>
      <c r="D202" s="274">
        <f t="shared" si="28"/>
        <v>1095</v>
      </c>
      <c r="E202" s="274">
        <f t="shared" si="29"/>
        <v>-14</v>
      </c>
      <c r="F202" s="273">
        <f t="shared" si="30"/>
        <v>-1.2623985572587917E-2</v>
      </c>
    </row>
    <row r="203" spans="1:9" ht="20.25" customHeight="1" x14ac:dyDescent="0.3">
      <c r="A203" s="271"/>
      <c r="B203" s="272" t="s">
        <v>140</v>
      </c>
      <c r="C203" s="274">
        <f t="shared" si="28"/>
        <v>5501</v>
      </c>
      <c r="D203" s="274">
        <f t="shared" si="28"/>
        <v>5449</v>
      </c>
      <c r="E203" s="274">
        <f t="shared" si="29"/>
        <v>-52</v>
      </c>
      <c r="F203" s="273">
        <f t="shared" si="30"/>
        <v>-9.452826758771132E-3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9276</v>
      </c>
      <c r="D204" s="274">
        <f t="shared" si="28"/>
        <v>10038</v>
      </c>
      <c r="E204" s="274">
        <f t="shared" si="29"/>
        <v>762</v>
      </c>
      <c r="F204" s="273">
        <f t="shared" si="30"/>
        <v>8.2147477360931434E-2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2171</v>
      </c>
      <c r="D205" s="274">
        <f t="shared" si="28"/>
        <v>2501</v>
      </c>
      <c r="E205" s="274">
        <f t="shared" si="29"/>
        <v>330</v>
      </c>
      <c r="F205" s="273">
        <f t="shared" si="30"/>
        <v>0.15200368493781669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982</v>
      </c>
      <c r="D206" s="274">
        <f t="shared" si="28"/>
        <v>943</v>
      </c>
      <c r="E206" s="274">
        <f t="shared" si="29"/>
        <v>-39</v>
      </c>
      <c r="F206" s="273">
        <f t="shared" si="30"/>
        <v>-3.9714867617107942E-2</v>
      </c>
    </row>
    <row r="207" spans="1:9" ht="20.25" customHeight="1" x14ac:dyDescent="0.3">
      <c r="A207" s="271"/>
      <c r="B207" s="262" t="s">
        <v>471</v>
      </c>
      <c r="C207" s="263">
        <f>+C198+C200</f>
        <v>55918648</v>
      </c>
      <c r="D207" s="263">
        <f>+D198+D200</f>
        <v>66446550</v>
      </c>
      <c r="E207" s="263">
        <f t="shared" si="29"/>
        <v>10527902</v>
      </c>
      <c r="F207" s="273">
        <f t="shared" si="30"/>
        <v>0.18827175506818405</v>
      </c>
    </row>
    <row r="208" spans="1:9" ht="20.25" customHeight="1" x14ac:dyDescent="0.3">
      <c r="A208" s="271"/>
      <c r="B208" s="262" t="s">
        <v>472</v>
      </c>
      <c r="C208" s="263">
        <f>+C199+C201</f>
        <v>18491872</v>
      </c>
      <c r="D208" s="263">
        <f>+D199+D201</f>
        <v>22473893</v>
      </c>
      <c r="E208" s="263">
        <f t="shared" si="29"/>
        <v>3982021</v>
      </c>
      <c r="F208" s="273">
        <f t="shared" si="30"/>
        <v>0.21533898785369052</v>
      </c>
    </row>
  </sheetData>
  <mergeCells count="12">
    <mergeCell ref="B10:B11"/>
    <mergeCell ref="C10:F11"/>
    <mergeCell ref="A195:A196"/>
    <mergeCell ref="B195:B196"/>
    <mergeCell ref="C195:F196"/>
    <mergeCell ref="G195:I196"/>
    <mergeCell ref="A2:F2"/>
    <mergeCell ref="A3:F3"/>
    <mergeCell ref="A4:F4"/>
    <mergeCell ref="A5:F5"/>
    <mergeCell ref="C9:F9"/>
    <mergeCell ref="A10:A11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FILING&amp;RMIDSTATE MEDICAL CENTER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zoomScale="70" workbookViewId="0">
      <selection activeCell="B15" sqref="B15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97" t="s">
        <v>0</v>
      </c>
      <c r="B2" s="797"/>
      <c r="C2" s="797"/>
      <c r="D2" s="797"/>
      <c r="E2" s="797"/>
      <c r="F2" s="797"/>
    </row>
    <row r="3" spans="1:7" ht="20.25" customHeight="1" x14ac:dyDescent="0.3">
      <c r="A3" s="797" t="s">
        <v>1</v>
      </c>
      <c r="B3" s="797"/>
      <c r="C3" s="797"/>
      <c r="D3" s="797"/>
      <c r="E3" s="797"/>
      <c r="F3" s="797"/>
    </row>
    <row r="4" spans="1:7" ht="20.25" customHeight="1" x14ac:dyDescent="0.3">
      <c r="A4" s="797" t="s">
        <v>314</v>
      </c>
      <c r="B4" s="797"/>
      <c r="C4" s="797"/>
      <c r="D4" s="797"/>
      <c r="E4" s="797"/>
      <c r="F4" s="797"/>
    </row>
    <row r="5" spans="1:7" ht="20.25" customHeight="1" x14ac:dyDescent="0.3">
      <c r="A5" s="797" t="s">
        <v>473</v>
      </c>
      <c r="B5" s="797"/>
      <c r="C5" s="797"/>
      <c r="D5" s="797"/>
      <c r="E5" s="797"/>
      <c r="F5" s="79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786" t="s">
        <v>12</v>
      </c>
      <c r="B10" s="788" t="s">
        <v>116</v>
      </c>
      <c r="C10" s="790"/>
      <c r="D10" s="791"/>
      <c r="E10" s="791"/>
      <c r="F10" s="792"/>
    </row>
    <row r="11" spans="1:7" ht="20.25" customHeight="1" x14ac:dyDescent="0.3">
      <c r="A11" s="787"/>
      <c r="B11" s="789"/>
      <c r="C11" s="793"/>
      <c r="D11" s="794"/>
      <c r="E11" s="794"/>
      <c r="F11" s="795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786" t="s">
        <v>44</v>
      </c>
      <c r="B109" s="788" t="s">
        <v>490</v>
      </c>
      <c r="C109" s="790"/>
      <c r="D109" s="791"/>
      <c r="E109" s="791"/>
      <c r="F109" s="792"/>
      <c r="G109" s="245"/>
    </row>
    <row r="110" spans="1:7" ht="20.25" customHeight="1" x14ac:dyDescent="0.3">
      <c r="A110" s="787"/>
      <c r="B110" s="789"/>
      <c r="C110" s="793"/>
      <c r="D110" s="794"/>
      <c r="E110" s="794"/>
      <c r="F110" s="795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FILING&amp;RMIDSTATE MEDICAL CENTER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zoomScale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28465876</v>
      </c>
      <c r="D13" s="22">
        <v>45862697</v>
      </c>
      <c r="E13" s="22">
        <f t="shared" ref="E13:E22" si="0">D13-C13</f>
        <v>17396821</v>
      </c>
      <c r="F13" s="306">
        <f t="shared" ref="F13:F22" si="1">IF(C13=0,0,E13/C13)</f>
        <v>0.61114651802740938</v>
      </c>
    </row>
    <row r="14" spans="1:8" ht="24" customHeight="1" x14ac:dyDescent="0.2">
      <c r="A14" s="304">
        <v>2</v>
      </c>
      <c r="B14" s="305" t="s">
        <v>17</v>
      </c>
      <c r="C14" s="22">
        <v>0</v>
      </c>
      <c r="D14" s="22">
        <v>0</v>
      </c>
      <c r="E14" s="22">
        <f t="shared" si="0"/>
        <v>0</v>
      </c>
      <c r="F14" s="306">
        <f t="shared" si="1"/>
        <v>0</v>
      </c>
    </row>
    <row r="15" spans="1:8" ht="35.1" customHeight="1" x14ac:dyDescent="0.2">
      <c r="A15" s="304">
        <v>3</v>
      </c>
      <c r="B15" s="305" t="s">
        <v>18</v>
      </c>
      <c r="C15" s="22">
        <v>27767137</v>
      </c>
      <c r="D15" s="22">
        <v>23724146</v>
      </c>
      <c r="E15" s="22">
        <f t="shared" si="0"/>
        <v>-4042991</v>
      </c>
      <c r="F15" s="306">
        <f t="shared" si="1"/>
        <v>-0.14560345202315961</v>
      </c>
    </row>
    <row r="16" spans="1:8" ht="35.1" customHeight="1" x14ac:dyDescent="0.2">
      <c r="A16" s="304">
        <v>4</v>
      </c>
      <c r="B16" s="305" t="s">
        <v>19</v>
      </c>
      <c r="C16" s="22">
        <v>0</v>
      </c>
      <c r="D16" s="22">
        <v>0</v>
      </c>
      <c r="E16" s="22">
        <f t="shared" si="0"/>
        <v>0</v>
      </c>
      <c r="F16" s="306">
        <f t="shared" si="1"/>
        <v>0</v>
      </c>
    </row>
    <row r="17" spans="1:11" ht="24" customHeight="1" x14ac:dyDescent="0.2">
      <c r="A17" s="304">
        <v>5</v>
      </c>
      <c r="B17" s="305" t="s">
        <v>20</v>
      </c>
      <c r="C17" s="22">
        <v>2663150</v>
      </c>
      <c r="D17" s="22">
        <v>387409</v>
      </c>
      <c r="E17" s="22">
        <f t="shared" si="0"/>
        <v>-2275741</v>
      </c>
      <c r="F17" s="306">
        <f t="shared" si="1"/>
        <v>-0.85452978615549258</v>
      </c>
    </row>
    <row r="18" spans="1:11" ht="24" customHeight="1" x14ac:dyDescent="0.2">
      <c r="A18" s="304">
        <v>6</v>
      </c>
      <c r="B18" s="305" t="s">
        <v>21</v>
      </c>
      <c r="C18" s="22">
        <v>1517735</v>
      </c>
      <c r="D18" s="22">
        <v>0</v>
      </c>
      <c r="E18" s="22">
        <f t="shared" si="0"/>
        <v>-1517735</v>
      </c>
      <c r="F18" s="306">
        <f t="shared" si="1"/>
        <v>-1</v>
      </c>
    </row>
    <row r="19" spans="1:11" ht="24" customHeight="1" x14ac:dyDescent="0.2">
      <c r="A19" s="304">
        <v>7</v>
      </c>
      <c r="B19" s="305" t="s">
        <v>22</v>
      </c>
      <c r="C19" s="22">
        <v>2719853</v>
      </c>
      <c r="D19" s="22">
        <v>3431508</v>
      </c>
      <c r="E19" s="22">
        <f t="shared" si="0"/>
        <v>711655</v>
      </c>
      <c r="F19" s="306">
        <f t="shared" si="1"/>
        <v>0.26165200839898334</v>
      </c>
    </row>
    <row r="20" spans="1:11" ht="24" customHeight="1" x14ac:dyDescent="0.2">
      <c r="A20" s="304">
        <v>8</v>
      </c>
      <c r="B20" s="305" t="s">
        <v>23</v>
      </c>
      <c r="C20" s="22">
        <v>4945131</v>
      </c>
      <c r="D20" s="22">
        <v>2297359</v>
      </c>
      <c r="E20" s="22">
        <f t="shared" si="0"/>
        <v>-2647772</v>
      </c>
      <c r="F20" s="306">
        <f t="shared" si="1"/>
        <v>-0.5354301028627958</v>
      </c>
    </row>
    <row r="21" spans="1:11" ht="24" customHeight="1" x14ac:dyDescent="0.2">
      <c r="A21" s="304">
        <v>9</v>
      </c>
      <c r="B21" s="305" t="s">
        <v>24</v>
      </c>
      <c r="C21" s="22">
        <v>7456493</v>
      </c>
      <c r="D21" s="22">
        <v>5479797</v>
      </c>
      <c r="E21" s="22">
        <f t="shared" si="0"/>
        <v>-1976696</v>
      </c>
      <c r="F21" s="306">
        <f t="shared" si="1"/>
        <v>-0.26509727830496188</v>
      </c>
    </row>
    <row r="22" spans="1:11" ht="24" customHeight="1" x14ac:dyDescent="0.25">
      <c r="A22" s="307"/>
      <c r="B22" s="308" t="s">
        <v>25</v>
      </c>
      <c r="C22" s="309">
        <f>SUM(C13:C21)</f>
        <v>75535375</v>
      </c>
      <c r="D22" s="309">
        <f>SUM(D13:D21)</f>
        <v>81182916</v>
      </c>
      <c r="E22" s="309">
        <f t="shared" si="0"/>
        <v>5647541</v>
      </c>
      <c r="F22" s="310">
        <f t="shared" si="1"/>
        <v>7.4766836068530809E-2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13953158</v>
      </c>
      <c r="D25" s="22">
        <v>14799538</v>
      </c>
      <c r="E25" s="22">
        <f>D25-C25</f>
        <v>846380</v>
      </c>
      <c r="F25" s="306">
        <f>IF(C25=0,0,E25/C25)</f>
        <v>6.0658669528432199E-2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0</v>
      </c>
      <c r="D26" s="22">
        <v>0</v>
      </c>
      <c r="E26" s="22">
        <f>D26-C26</f>
        <v>0</v>
      </c>
      <c r="F26" s="306">
        <f>IF(C26=0,0,E26/C26)</f>
        <v>0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6312325</v>
      </c>
      <c r="D27" s="22">
        <v>6307694</v>
      </c>
      <c r="E27" s="22">
        <f>D27-C27</f>
        <v>-4631</v>
      </c>
      <c r="F27" s="306">
        <f>IF(C27=0,0,E27/C27)</f>
        <v>-7.3364410102458289E-4</v>
      </c>
    </row>
    <row r="28" spans="1:11" ht="35.1" customHeight="1" x14ac:dyDescent="0.2">
      <c r="A28" s="304">
        <v>4</v>
      </c>
      <c r="B28" s="305" t="s">
        <v>31</v>
      </c>
      <c r="C28" s="22">
        <v>62809</v>
      </c>
      <c r="D28" s="22">
        <v>41986</v>
      </c>
      <c r="E28" s="22">
        <f>D28-C28</f>
        <v>-20823</v>
      </c>
      <c r="F28" s="306">
        <f>IF(C28=0,0,E28/C28)</f>
        <v>-0.33152892101450426</v>
      </c>
    </row>
    <row r="29" spans="1:11" ht="35.1" customHeight="1" x14ac:dyDescent="0.25">
      <c r="A29" s="307"/>
      <c r="B29" s="308" t="s">
        <v>32</v>
      </c>
      <c r="C29" s="309">
        <f>SUM(C25:C28)</f>
        <v>20328292</v>
      </c>
      <c r="D29" s="309">
        <f>SUM(D25:D28)</f>
        <v>21149218</v>
      </c>
      <c r="E29" s="309">
        <f>D29-C29</f>
        <v>820926</v>
      </c>
      <c r="F29" s="310">
        <f>IF(C29=0,0,E29/C29)</f>
        <v>4.0383422276696931E-2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38819627</v>
      </c>
      <c r="D31" s="22">
        <v>42123273</v>
      </c>
      <c r="E31" s="22">
        <f>D31-C31</f>
        <v>3303646</v>
      </c>
      <c r="F31" s="306">
        <f>IF(C31=0,0,E31/C31)</f>
        <v>8.510246633745347E-2</v>
      </c>
    </row>
    <row r="32" spans="1:11" ht="24" customHeight="1" x14ac:dyDescent="0.2">
      <c r="A32" s="304">
        <v>6</v>
      </c>
      <c r="B32" s="305" t="s">
        <v>34</v>
      </c>
      <c r="C32" s="22">
        <v>0</v>
      </c>
      <c r="D32" s="22">
        <v>0</v>
      </c>
      <c r="E32" s="22">
        <f>D32-C32</f>
        <v>0</v>
      </c>
      <c r="F32" s="306">
        <f>IF(C32=0,0,E32/C32)</f>
        <v>0</v>
      </c>
    </row>
    <row r="33" spans="1:8" ht="24" customHeight="1" x14ac:dyDescent="0.2">
      <c r="A33" s="304">
        <v>7</v>
      </c>
      <c r="B33" s="305" t="s">
        <v>35</v>
      </c>
      <c r="C33" s="22">
        <v>15933679</v>
      </c>
      <c r="D33" s="22">
        <v>17029004</v>
      </c>
      <c r="E33" s="22">
        <f>D33-C33</f>
        <v>1095325</v>
      </c>
      <c r="F33" s="306">
        <f>IF(C33=0,0,E33/C33)</f>
        <v>6.8742755518044513E-2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255439409</v>
      </c>
      <c r="D36" s="22">
        <v>263193906</v>
      </c>
      <c r="E36" s="22">
        <f>D36-C36</f>
        <v>7754497</v>
      </c>
      <c r="F36" s="306">
        <f>IF(C36=0,0,E36/C36)</f>
        <v>3.0357480978982377E-2</v>
      </c>
    </row>
    <row r="37" spans="1:8" ht="24" customHeight="1" x14ac:dyDescent="0.2">
      <c r="A37" s="304">
        <v>2</v>
      </c>
      <c r="B37" s="305" t="s">
        <v>39</v>
      </c>
      <c r="C37" s="22">
        <v>134829314</v>
      </c>
      <c r="D37" s="22">
        <v>147817759</v>
      </c>
      <c r="E37" s="22">
        <f>D37-C37</f>
        <v>12988445</v>
      </c>
      <c r="F37" s="22">
        <f>IF(C37=0,0,E37/C37)</f>
        <v>9.6332500809134136E-2</v>
      </c>
    </row>
    <row r="38" spans="1:8" ht="24" customHeight="1" x14ac:dyDescent="0.25">
      <c r="A38" s="307"/>
      <c r="B38" s="308" t="s">
        <v>40</v>
      </c>
      <c r="C38" s="309">
        <f>C36-C37</f>
        <v>120610095</v>
      </c>
      <c r="D38" s="309">
        <f>D36-D37</f>
        <v>115376147</v>
      </c>
      <c r="E38" s="309">
        <f>D38-C38</f>
        <v>-5233948</v>
      </c>
      <c r="F38" s="310">
        <f>IF(C38=0,0,E38/C38)</f>
        <v>-4.3395604654817656E-2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1879662</v>
      </c>
      <c r="D40" s="22">
        <v>584432</v>
      </c>
      <c r="E40" s="22">
        <f>D40-C40</f>
        <v>-1295230</v>
      </c>
      <c r="F40" s="306">
        <f>IF(C40=0,0,E40/C40)</f>
        <v>-0.68907601473030788</v>
      </c>
    </row>
    <row r="41" spans="1:8" ht="24" customHeight="1" x14ac:dyDescent="0.25">
      <c r="A41" s="307"/>
      <c r="B41" s="308" t="s">
        <v>42</v>
      </c>
      <c r="C41" s="309">
        <f>+C38+C40</f>
        <v>122489757</v>
      </c>
      <c r="D41" s="309">
        <f>+D38+D40</f>
        <v>115960579</v>
      </c>
      <c r="E41" s="309">
        <f>D41-C41</f>
        <v>-6529178</v>
      </c>
      <c r="F41" s="310">
        <f>IF(C41=0,0,E41/C41)</f>
        <v>-5.330386931864025E-2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273106730</v>
      </c>
      <c r="D43" s="309">
        <f>D22+D29+D31+D32+D33+D41</f>
        <v>277444990</v>
      </c>
      <c r="E43" s="309">
        <f>D43-C43</f>
        <v>4338260</v>
      </c>
      <c r="F43" s="310">
        <f>IF(C43=0,0,E43/C43)</f>
        <v>1.5884852050332118E-2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13352496</v>
      </c>
      <c r="D49" s="22">
        <v>3147145</v>
      </c>
      <c r="E49" s="22">
        <f t="shared" ref="E49:E56" si="2">D49-C49</f>
        <v>-10205351</v>
      </c>
      <c r="F49" s="306">
        <f t="shared" ref="F49:F56" si="3">IF(C49=0,0,E49/C49)</f>
        <v>-0.76430286891679278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9070645</v>
      </c>
      <c r="D50" s="22">
        <v>7004880</v>
      </c>
      <c r="E50" s="22">
        <f t="shared" si="2"/>
        <v>-2065765</v>
      </c>
      <c r="F50" s="306">
        <f t="shared" si="3"/>
        <v>-0.2277417978545076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0</v>
      </c>
      <c r="D51" s="22">
        <v>4070103</v>
      </c>
      <c r="E51" s="22">
        <f t="shared" si="2"/>
        <v>4070103</v>
      </c>
      <c r="F51" s="306">
        <f t="shared" si="3"/>
        <v>0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1445398</v>
      </c>
      <c r="D52" s="22">
        <v>3582982</v>
      </c>
      <c r="E52" s="22">
        <f t="shared" si="2"/>
        <v>2137584</v>
      </c>
      <c r="F52" s="306">
        <f t="shared" si="3"/>
        <v>1.478889551528368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669578</v>
      </c>
      <c r="D53" s="22">
        <v>757808</v>
      </c>
      <c r="E53" s="22">
        <f t="shared" si="2"/>
        <v>88230</v>
      </c>
      <c r="F53" s="306">
        <f t="shared" si="3"/>
        <v>0.13176956232134271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0</v>
      </c>
      <c r="D54" s="22">
        <v>0</v>
      </c>
      <c r="E54" s="22">
        <f t="shared" si="2"/>
        <v>0</v>
      </c>
      <c r="F54" s="306">
        <f t="shared" si="3"/>
        <v>0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6458439</v>
      </c>
      <c r="D55" s="22">
        <v>8394597</v>
      </c>
      <c r="E55" s="22">
        <f t="shared" si="2"/>
        <v>1936158</v>
      </c>
      <c r="F55" s="306">
        <f t="shared" si="3"/>
        <v>0.29978730154453731</v>
      </c>
    </row>
    <row r="56" spans="1:6" ht="24" customHeight="1" x14ac:dyDescent="0.25">
      <c r="A56" s="307"/>
      <c r="B56" s="308" t="s">
        <v>54</v>
      </c>
      <c r="C56" s="309">
        <f>SUM(C49:C55)</f>
        <v>30996556</v>
      </c>
      <c r="D56" s="309">
        <f>SUM(D49:D55)</f>
        <v>26957515</v>
      </c>
      <c r="E56" s="309">
        <f t="shared" si="2"/>
        <v>-4039041</v>
      </c>
      <c r="F56" s="310">
        <f t="shared" si="3"/>
        <v>-0.13030612175107453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87806192</v>
      </c>
      <c r="D59" s="22">
        <v>86762098</v>
      </c>
      <c r="E59" s="22">
        <f>D59-C59</f>
        <v>-1044094</v>
      </c>
      <c r="F59" s="306">
        <f>IF(C59=0,0,E59/C59)</f>
        <v>-1.1890892614953625E-2</v>
      </c>
    </row>
    <row r="60" spans="1:6" ht="24" customHeight="1" x14ac:dyDescent="0.2">
      <c r="A60" s="304">
        <v>2</v>
      </c>
      <c r="B60" s="305" t="s">
        <v>57</v>
      </c>
      <c r="C60" s="22">
        <v>0</v>
      </c>
      <c r="D60" s="22">
        <v>0</v>
      </c>
      <c r="E60" s="22">
        <f>D60-C60</f>
        <v>0</v>
      </c>
      <c r="F60" s="306">
        <f>IF(C60=0,0,E60/C60)</f>
        <v>0</v>
      </c>
    </row>
    <row r="61" spans="1:6" ht="24" customHeight="1" x14ac:dyDescent="0.25">
      <c r="A61" s="307"/>
      <c r="B61" s="308" t="s">
        <v>58</v>
      </c>
      <c r="C61" s="309">
        <f>SUM(C59:C60)</f>
        <v>87806192</v>
      </c>
      <c r="D61" s="309">
        <f>SUM(D59:D60)</f>
        <v>86762098</v>
      </c>
      <c r="E61" s="309">
        <f>D61-C61</f>
        <v>-1044094</v>
      </c>
      <c r="F61" s="310">
        <f>IF(C61=0,0,E61/C61)</f>
        <v>-1.1890892614953625E-2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18941059</v>
      </c>
      <c r="D63" s="22">
        <v>34688717</v>
      </c>
      <c r="E63" s="22">
        <f>D63-C63</f>
        <v>15747658</v>
      </c>
      <c r="F63" s="306">
        <f>IF(C63=0,0,E63/C63)</f>
        <v>0.8314032494170468</v>
      </c>
    </row>
    <row r="64" spans="1:6" ht="24" customHeight="1" x14ac:dyDescent="0.2">
      <c r="A64" s="304">
        <v>4</v>
      </c>
      <c r="B64" s="305" t="s">
        <v>60</v>
      </c>
      <c r="C64" s="22">
        <v>22700592</v>
      </c>
      <c r="D64" s="22">
        <v>22023821</v>
      </c>
      <c r="E64" s="22">
        <f>D64-C64</f>
        <v>-676771</v>
      </c>
      <c r="F64" s="306">
        <f>IF(C64=0,0,E64/C64)</f>
        <v>-2.9812922940511861E-2</v>
      </c>
    </row>
    <row r="65" spans="1:6" ht="24" customHeight="1" x14ac:dyDescent="0.25">
      <c r="A65" s="307"/>
      <c r="B65" s="308" t="s">
        <v>61</v>
      </c>
      <c r="C65" s="309">
        <f>SUM(C61:C64)</f>
        <v>129447843</v>
      </c>
      <c r="D65" s="309">
        <f>SUM(D61:D64)</f>
        <v>143474636</v>
      </c>
      <c r="E65" s="309">
        <f>D65-C65</f>
        <v>14026793</v>
      </c>
      <c r="F65" s="310">
        <f>IF(C65=0,0,E65/C65)</f>
        <v>0.10835864603784862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0</v>
      </c>
      <c r="D67" s="22">
        <v>0</v>
      </c>
      <c r="E67" s="22">
        <f>D67-C67</f>
        <v>0</v>
      </c>
      <c r="F67" s="321">
        <f>IF(C67=0,0,E67/C67)</f>
        <v>0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95882676</v>
      </c>
      <c r="D70" s="22">
        <v>89335239</v>
      </c>
      <c r="E70" s="22">
        <f>D70-C70</f>
        <v>-6547437</v>
      </c>
      <c r="F70" s="306">
        <f>IF(C70=0,0,E70/C70)</f>
        <v>-6.8285922683259281E-2</v>
      </c>
    </row>
    <row r="71" spans="1:6" ht="24" customHeight="1" x14ac:dyDescent="0.2">
      <c r="A71" s="304">
        <v>2</v>
      </c>
      <c r="B71" s="305" t="s">
        <v>65</v>
      </c>
      <c r="C71" s="22">
        <v>2047687</v>
      </c>
      <c r="D71" s="22">
        <v>2099252</v>
      </c>
      <c r="E71" s="22">
        <f>D71-C71</f>
        <v>51565</v>
      </c>
      <c r="F71" s="306">
        <f>IF(C71=0,0,E71/C71)</f>
        <v>2.5182071283355319E-2</v>
      </c>
    </row>
    <row r="72" spans="1:6" ht="24" customHeight="1" x14ac:dyDescent="0.2">
      <c r="A72" s="304">
        <v>3</v>
      </c>
      <c r="B72" s="305" t="s">
        <v>66</v>
      </c>
      <c r="C72" s="22">
        <v>14731968</v>
      </c>
      <c r="D72" s="22">
        <v>15578348</v>
      </c>
      <c r="E72" s="22">
        <f>D72-C72</f>
        <v>846380</v>
      </c>
      <c r="F72" s="306">
        <f>IF(C72=0,0,E72/C72)</f>
        <v>5.7451930387033154E-2</v>
      </c>
    </row>
    <row r="73" spans="1:6" ht="24" customHeight="1" x14ac:dyDescent="0.25">
      <c r="A73" s="304"/>
      <c r="B73" s="308" t="s">
        <v>67</v>
      </c>
      <c r="C73" s="309">
        <f>SUM(C70:C72)</f>
        <v>112662331</v>
      </c>
      <c r="D73" s="309">
        <f>SUM(D70:D72)</f>
        <v>107012839</v>
      </c>
      <c r="E73" s="309">
        <f>D73-C73</f>
        <v>-5649492</v>
      </c>
      <c r="F73" s="310">
        <f>IF(C73=0,0,E73/C73)</f>
        <v>-5.014534982415729E-2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273106730</v>
      </c>
      <c r="D75" s="309">
        <f>D56+D65+D67+D73</f>
        <v>277444990</v>
      </c>
      <c r="E75" s="309">
        <f>D75-C75</f>
        <v>4338260</v>
      </c>
      <c r="F75" s="310">
        <f>IF(C75=0,0,E75/C75)</f>
        <v>1.5884852050332118E-2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FILING&amp;RMIDSTATE MEDICAL CENTER AND SUBSIDIARIES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505047658</v>
      </c>
      <c r="D11" s="76">
        <v>543429524</v>
      </c>
      <c r="E11" s="76">
        <f t="shared" ref="E11:E20" si="0">D11-C11</f>
        <v>38381866</v>
      </c>
      <c r="F11" s="77">
        <f t="shared" ref="F11:F20" si="1">IF(C11=0,0,E11/C11)</f>
        <v>7.5996523084560078E-2</v>
      </c>
    </row>
    <row r="12" spans="1:7" ht="23.1" customHeight="1" x14ac:dyDescent="0.2">
      <c r="A12" s="74">
        <v>2</v>
      </c>
      <c r="B12" s="75" t="s">
        <v>72</v>
      </c>
      <c r="C12" s="76">
        <v>277904920</v>
      </c>
      <c r="D12" s="76">
        <v>309787045</v>
      </c>
      <c r="E12" s="76">
        <f t="shared" si="0"/>
        <v>31882125</v>
      </c>
      <c r="F12" s="77">
        <f t="shared" si="1"/>
        <v>0.11472313984221653</v>
      </c>
    </row>
    <row r="13" spans="1:7" ht="23.1" customHeight="1" x14ac:dyDescent="0.2">
      <c r="A13" s="74">
        <v>3</v>
      </c>
      <c r="B13" s="75" t="s">
        <v>73</v>
      </c>
      <c r="C13" s="76">
        <v>7131143</v>
      </c>
      <c r="D13" s="76">
        <v>8125010</v>
      </c>
      <c r="E13" s="76">
        <f t="shared" si="0"/>
        <v>993867</v>
      </c>
      <c r="F13" s="77">
        <f t="shared" si="1"/>
        <v>0.13936994392063096</v>
      </c>
    </row>
    <row r="14" spans="1:7" ht="23.1" customHeight="1" x14ac:dyDescent="0.2">
      <c r="A14" s="74">
        <v>4</v>
      </c>
      <c r="B14" s="75" t="s">
        <v>74</v>
      </c>
      <c r="C14" s="76">
        <v>0</v>
      </c>
      <c r="D14" s="76">
        <v>0</v>
      </c>
      <c r="E14" s="76">
        <f t="shared" si="0"/>
        <v>0</v>
      </c>
      <c r="F14" s="77">
        <f t="shared" si="1"/>
        <v>0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220011595</v>
      </c>
      <c r="D15" s="79">
        <f>D11-D12-D13-D14</f>
        <v>225517469</v>
      </c>
      <c r="E15" s="79">
        <f t="shared" si="0"/>
        <v>5505874</v>
      </c>
      <c r="F15" s="80">
        <f t="shared" si="1"/>
        <v>2.5025381048667004E-2</v>
      </c>
    </row>
    <row r="16" spans="1:7" ht="23.1" customHeight="1" x14ac:dyDescent="0.2">
      <c r="A16" s="74">
        <v>5</v>
      </c>
      <c r="B16" s="75" t="s">
        <v>76</v>
      </c>
      <c r="C16" s="76">
        <v>2265391</v>
      </c>
      <c r="D16" s="76">
        <v>6385283</v>
      </c>
      <c r="E16" s="76">
        <f t="shared" si="0"/>
        <v>4119892</v>
      </c>
      <c r="F16" s="77">
        <f t="shared" si="1"/>
        <v>1.8186229220474524</v>
      </c>
      <c r="G16" s="65"/>
    </row>
    <row r="17" spans="1:7" ht="31.5" customHeight="1" x14ac:dyDescent="0.25">
      <c r="A17" s="71"/>
      <c r="B17" s="81" t="s">
        <v>77</v>
      </c>
      <c r="C17" s="79">
        <f>C15-C16</f>
        <v>217746204</v>
      </c>
      <c r="D17" s="79">
        <f>D15-D16</f>
        <v>219132186</v>
      </c>
      <c r="E17" s="79">
        <f t="shared" si="0"/>
        <v>1385982</v>
      </c>
      <c r="F17" s="80">
        <f t="shared" si="1"/>
        <v>6.3651258875677113E-3</v>
      </c>
    </row>
    <row r="18" spans="1:7" ht="23.1" customHeight="1" x14ac:dyDescent="0.2">
      <c r="A18" s="74">
        <v>6</v>
      </c>
      <c r="B18" s="75" t="s">
        <v>78</v>
      </c>
      <c r="C18" s="76">
        <v>18894548</v>
      </c>
      <c r="D18" s="76">
        <v>15841929</v>
      </c>
      <c r="E18" s="76">
        <f t="shared" si="0"/>
        <v>-3052619</v>
      </c>
      <c r="F18" s="77">
        <f t="shared" si="1"/>
        <v>-0.16156083754954076</v>
      </c>
      <c r="G18" s="65"/>
    </row>
    <row r="19" spans="1:7" ht="33" customHeight="1" x14ac:dyDescent="0.2">
      <c r="A19" s="74">
        <v>7</v>
      </c>
      <c r="B19" s="82" t="s">
        <v>79</v>
      </c>
      <c r="C19" s="76">
        <v>245321</v>
      </c>
      <c r="D19" s="76">
        <v>322248</v>
      </c>
      <c r="E19" s="76">
        <f t="shared" si="0"/>
        <v>76927</v>
      </c>
      <c r="F19" s="77">
        <f t="shared" si="1"/>
        <v>0.31357690536073146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236886073</v>
      </c>
      <c r="D20" s="79">
        <f>SUM(D17:D19)</f>
        <v>235296363</v>
      </c>
      <c r="E20" s="79">
        <f t="shared" si="0"/>
        <v>-1589710</v>
      </c>
      <c r="F20" s="80">
        <f t="shared" si="1"/>
        <v>-6.7108630738287427E-3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76115980</v>
      </c>
      <c r="D23" s="76">
        <v>69745355</v>
      </c>
      <c r="E23" s="76">
        <f t="shared" ref="E23:E32" si="2">D23-C23</f>
        <v>-6370625</v>
      </c>
      <c r="F23" s="77">
        <f t="shared" ref="F23:F32" si="3">IF(C23=0,0,E23/C23)</f>
        <v>-8.369628821700778E-2</v>
      </c>
    </row>
    <row r="24" spans="1:7" ht="23.1" customHeight="1" x14ac:dyDescent="0.2">
      <c r="A24" s="74">
        <v>2</v>
      </c>
      <c r="B24" s="75" t="s">
        <v>83</v>
      </c>
      <c r="C24" s="76">
        <v>22947534</v>
      </c>
      <c r="D24" s="76">
        <v>19652817</v>
      </c>
      <c r="E24" s="76">
        <f t="shared" si="2"/>
        <v>-3294717</v>
      </c>
      <c r="F24" s="77">
        <f t="shared" si="3"/>
        <v>-0.14357608098543398</v>
      </c>
    </row>
    <row r="25" spans="1:7" ht="23.1" customHeight="1" x14ac:dyDescent="0.2">
      <c r="A25" s="74">
        <v>3</v>
      </c>
      <c r="B25" s="75" t="s">
        <v>84</v>
      </c>
      <c r="C25" s="76">
        <v>6572446</v>
      </c>
      <c r="D25" s="76">
        <v>6724322</v>
      </c>
      <c r="E25" s="76">
        <f t="shared" si="2"/>
        <v>151876</v>
      </c>
      <c r="F25" s="77">
        <f t="shared" si="3"/>
        <v>2.3107987498109533E-2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32274734</v>
      </c>
      <c r="D26" s="76">
        <v>33088173</v>
      </c>
      <c r="E26" s="76">
        <f t="shared" si="2"/>
        <v>813439</v>
      </c>
      <c r="F26" s="77">
        <f t="shared" si="3"/>
        <v>2.520358494666447E-2</v>
      </c>
    </row>
    <row r="27" spans="1:7" ht="23.1" customHeight="1" x14ac:dyDescent="0.2">
      <c r="A27" s="74">
        <v>5</v>
      </c>
      <c r="B27" s="75" t="s">
        <v>86</v>
      </c>
      <c r="C27" s="76">
        <v>13310897</v>
      </c>
      <c r="D27" s="76">
        <v>13076585</v>
      </c>
      <c r="E27" s="76">
        <f t="shared" si="2"/>
        <v>-234312</v>
      </c>
      <c r="F27" s="77">
        <f t="shared" si="3"/>
        <v>-1.7603021043585569E-2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3987276</v>
      </c>
      <c r="D29" s="76">
        <v>3992280</v>
      </c>
      <c r="E29" s="76">
        <f t="shared" si="2"/>
        <v>5004</v>
      </c>
      <c r="F29" s="77">
        <f t="shared" si="3"/>
        <v>1.2549921299654201E-3</v>
      </c>
    </row>
    <row r="30" spans="1:7" ht="23.1" customHeight="1" x14ac:dyDescent="0.2">
      <c r="A30" s="74">
        <v>8</v>
      </c>
      <c r="B30" s="75" t="s">
        <v>89</v>
      </c>
      <c r="C30" s="76">
        <v>2356019</v>
      </c>
      <c r="D30" s="76">
        <v>2753277</v>
      </c>
      <c r="E30" s="76">
        <f t="shared" si="2"/>
        <v>397258</v>
      </c>
      <c r="F30" s="77">
        <f t="shared" si="3"/>
        <v>0.16861409012406098</v>
      </c>
    </row>
    <row r="31" spans="1:7" ht="23.1" customHeight="1" x14ac:dyDescent="0.2">
      <c r="A31" s="74">
        <v>9</v>
      </c>
      <c r="B31" s="75" t="s">
        <v>90</v>
      </c>
      <c r="C31" s="76">
        <v>65347599</v>
      </c>
      <c r="D31" s="76">
        <v>67582036</v>
      </c>
      <c r="E31" s="76">
        <f t="shared" si="2"/>
        <v>2234437</v>
      </c>
      <c r="F31" s="77">
        <f t="shared" si="3"/>
        <v>3.4193100193321564E-2</v>
      </c>
    </row>
    <row r="32" spans="1:7" ht="23.1" customHeight="1" x14ac:dyDescent="0.25">
      <c r="A32" s="71"/>
      <c r="B32" s="78" t="s">
        <v>91</v>
      </c>
      <c r="C32" s="79">
        <f>SUM(C23:C31)</f>
        <v>222912485</v>
      </c>
      <c r="D32" s="79">
        <f>SUM(D23:D31)</f>
        <v>216614845</v>
      </c>
      <c r="E32" s="79">
        <f t="shared" si="2"/>
        <v>-6297640</v>
      </c>
      <c r="F32" s="80">
        <f t="shared" si="3"/>
        <v>-2.8251625295909289E-2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13973588</v>
      </c>
      <c r="D34" s="79">
        <f>+D20-D32</f>
        <v>18681518</v>
      </c>
      <c r="E34" s="79">
        <f>D34-C34</f>
        <v>4707930</v>
      </c>
      <c r="F34" s="80">
        <f>IF(C34=0,0,E34/C34)</f>
        <v>0.33691633100961615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51290</v>
      </c>
      <c r="D37" s="76">
        <v>17066</v>
      </c>
      <c r="E37" s="76">
        <f>D37-C37</f>
        <v>-34224</v>
      </c>
      <c r="F37" s="77">
        <f>IF(C37=0,0,E37/C37)</f>
        <v>-0.66726457399103134</v>
      </c>
    </row>
    <row r="38" spans="1:6" ht="23.1" customHeight="1" x14ac:dyDescent="0.2">
      <c r="A38" s="85">
        <v>2</v>
      </c>
      <c r="B38" s="75" t="s">
        <v>95</v>
      </c>
      <c r="C38" s="76">
        <v>0</v>
      </c>
      <c r="D38" s="76">
        <v>0</v>
      </c>
      <c r="E38" s="76">
        <f>D38-C38</f>
        <v>0</v>
      </c>
      <c r="F38" s="77">
        <f>IF(C38=0,0,E38/C38)</f>
        <v>0</v>
      </c>
    </row>
    <row r="39" spans="1:6" ht="23.1" customHeight="1" x14ac:dyDescent="0.2">
      <c r="A39" s="85">
        <v>3</v>
      </c>
      <c r="B39" s="75" t="s">
        <v>96</v>
      </c>
      <c r="C39" s="76">
        <v>4886057</v>
      </c>
      <c r="D39" s="76">
        <v>3854108</v>
      </c>
      <c r="E39" s="76">
        <f>D39-C39</f>
        <v>-1031949</v>
      </c>
      <c r="F39" s="77">
        <f>IF(C39=0,0,E39/C39)</f>
        <v>-0.21120281650418732</v>
      </c>
    </row>
    <row r="40" spans="1:6" ht="23.1" customHeight="1" x14ac:dyDescent="0.25">
      <c r="A40" s="83"/>
      <c r="B40" s="78" t="s">
        <v>97</v>
      </c>
      <c r="C40" s="79">
        <f>SUM(C37:C39)</f>
        <v>4937347</v>
      </c>
      <c r="D40" s="79">
        <f>SUM(D37:D39)</f>
        <v>3871174</v>
      </c>
      <c r="E40" s="79">
        <f>D40-C40</f>
        <v>-1066173</v>
      </c>
      <c r="F40" s="80">
        <f>IF(C40=0,0,E40/C40)</f>
        <v>-0.21594046357284591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18910935</v>
      </c>
      <c r="D42" s="79">
        <f>D34+D40</f>
        <v>22552692</v>
      </c>
      <c r="E42" s="79">
        <f>D42-C42</f>
        <v>3641757</v>
      </c>
      <c r="F42" s="80">
        <f>IF(C42=0,0,E42/C42)</f>
        <v>0.19257413766162276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-1295573</v>
      </c>
      <c r="D45" s="76">
        <v>0</v>
      </c>
      <c r="E45" s="76">
        <f>D45-C45</f>
        <v>1295573</v>
      </c>
      <c r="F45" s="77">
        <f>IF(C45=0,0,E45/C45)</f>
        <v>-1</v>
      </c>
    </row>
    <row r="46" spans="1:6" ht="23.1" customHeight="1" x14ac:dyDescent="0.2">
      <c r="A46" s="85"/>
      <c r="B46" s="75" t="s">
        <v>101</v>
      </c>
      <c r="C46" s="76">
        <v>586303</v>
      </c>
      <c r="D46" s="76">
        <v>-723879</v>
      </c>
      <c r="E46" s="76">
        <f>D46-C46</f>
        <v>-1310182</v>
      </c>
      <c r="F46" s="77">
        <f>IF(C46=0,0,E46/C46)</f>
        <v>-2.2346500017908828</v>
      </c>
    </row>
    <row r="47" spans="1:6" ht="23.1" customHeight="1" x14ac:dyDescent="0.25">
      <c r="A47" s="83"/>
      <c r="B47" s="78" t="s">
        <v>102</v>
      </c>
      <c r="C47" s="79">
        <f>SUM(C45:C46)</f>
        <v>-709270</v>
      </c>
      <c r="D47" s="79">
        <f>SUM(D45:D46)</f>
        <v>-723879</v>
      </c>
      <c r="E47" s="79">
        <f>D47-C47</f>
        <v>-14609</v>
      </c>
      <c r="F47" s="80">
        <f>IF(C47=0,0,E47/C47)</f>
        <v>2.0597233775572068E-2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18201665</v>
      </c>
      <c r="D49" s="79">
        <f>D42+D47</f>
        <v>21828813</v>
      </c>
      <c r="E49" s="79">
        <f>D49-C49</f>
        <v>3627148</v>
      </c>
      <c r="F49" s="80">
        <f>IF(C49=0,0,E49/C49)</f>
        <v>0.1992756157197707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paperSize="9" scale="74" orientation="portrait" horizontalDpi="1200" verticalDpi="1200" r:id="rId1"/>
  <headerFooter>
    <oddHeader>&amp;L&amp;8OFFICE OF HEALTH CARE ACCESS&amp;C&amp;8TWELVE MONTHS ACTUAL FILING&amp;R&amp;8MIDSTATE MEDICAL CENTER AND SUBSIDIARIES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Ciesones, Ron</cp:lastModifiedBy>
  <cp:lastPrinted>2015-07-07T13:15:00Z</cp:lastPrinted>
  <dcterms:created xsi:type="dcterms:W3CDTF">2015-07-07T13:09:39Z</dcterms:created>
  <dcterms:modified xsi:type="dcterms:W3CDTF">2015-07-07T13:15:07Z</dcterms:modified>
</cp:coreProperties>
</file>