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7" i="14"/>
  <c r="D226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9" i="14"/>
  <c r="D158" i="14"/>
  <c r="D155" i="14"/>
  <c r="D145" i="14"/>
  <c r="D146" i="14"/>
  <c r="D144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7" i="14"/>
  <c r="D30" i="14"/>
  <c r="D31" i="14"/>
  <c r="D32" i="14"/>
  <c r="D29" i="14"/>
  <c r="D24" i="14"/>
  <c r="D23" i="14"/>
  <c r="D20" i="14"/>
  <c r="D21" i="14"/>
  <c r="D49" i="14"/>
  <c r="D50" i="14"/>
  <c r="D17" i="14"/>
  <c r="E98" i="19"/>
  <c r="E97" i="19"/>
  <c r="D97" i="19"/>
  <c r="C97" i="19"/>
  <c r="E96" i="19"/>
  <c r="D96" i="19"/>
  <c r="D98" i="19"/>
  <c r="C96" i="19"/>
  <c r="C98" i="19"/>
  <c r="E92" i="19"/>
  <c r="E93" i="19"/>
  <c r="D92" i="19"/>
  <c r="C92" i="19"/>
  <c r="E91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1" i="19"/>
  <c r="C83" i="19"/>
  <c r="C102" i="19"/>
  <c r="E76" i="19"/>
  <c r="E102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D23" i="19"/>
  <c r="D46" i="19"/>
  <c r="C23" i="19"/>
  <c r="C46" i="19"/>
  <c r="D22" i="19"/>
  <c r="D53" i="19"/>
  <c r="C22" i="19"/>
  <c r="C45" i="19"/>
  <c r="E21" i="19"/>
  <c r="D21" i="19"/>
  <c r="C21" i="19"/>
  <c r="E12" i="19"/>
  <c r="E34" i="19"/>
  <c r="D12" i="19"/>
  <c r="D33" i="19"/>
  <c r="C12" i="19"/>
  <c r="C34" i="19"/>
  <c r="C33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F45" i="17"/>
  <c r="D44" i="17"/>
  <c r="E44" i="17"/>
  <c r="C44" i="17"/>
  <c r="F44" i="17"/>
  <c r="D43" i="17"/>
  <c r="E43" i="17"/>
  <c r="E46" i="17"/>
  <c r="D46" i="17"/>
  <c r="C43" i="17"/>
  <c r="C46" i="17"/>
  <c r="D36" i="17"/>
  <c r="D40" i="17"/>
  <c r="E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C25" i="17"/>
  <c r="F25" i="17"/>
  <c r="F24" i="17"/>
  <c r="E24" i="17"/>
  <c r="F23" i="17"/>
  <c r="E23" i="17"/>
  <c r="F22" i="17"/>
  <c r="E22" i="17"/>
  <c r="E25" i="17"/>
  <c r="D19" i="17"/>
  <c r="D20" i="17"/>
  <c r="C19" i="17"/>
  <c r="E18" i="17"/>
  <c r="F18" i="17"/>
  <c r="D16" i="17"/>
  <c r="E16" i="17"/>
  <c r="C16" i="17"/>
  <c r="F15" i="17"/>
  <c r="E15" i="17"/>
  <c r="F13" i="17"/>
  <c r="E13" i="17"/>
  <c r="F12" i="17"/>
  <c r="E12" i="17"/>
  <c r="C115" i="16"/>
  <c r="C105" i="16"/>
  <c r="C137" i="16"/>
  <c r="C139" i="16"/>
  <c r="C143" i="16"/>
  <c r="C96" i="16"/>
  <c r="C95" i="16"/>
  <c r="C89" i="16"/>
  <c r="C88" i="16"/>
  <c r="C83" i="16"/>
  <c r="C78" i="16"/>
  <c r="C77" i="16"/>
  <c r="C63" i="16"/>
  <c r="C65" i="16"/>
  <c r="C114" i="16"/>
  <c r="C116" i="16"/>
  <c r="C119" i="16"/>
  <c r="C123" i="16"/>
  <c r="C60" i="16"/>
  <c r="C59" i="16"/>
  <c r="C48" i="16"/>
  <c r="C64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E324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C293" i="15"/>
  <c r="E293" i="15"/>
  <c r="D292" i="15"/>
  <c r="C292" i="15"/>
  <c r="E292" i="15"/>
  <c r="D291" i="15"/>
  <c r="E291" i="15"/>
  <c r="C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C279" i="15"/>
  <c r="E279" i="15"/>
  <c r="D278" i="15"/>
  <c r="E278" i="15"/>
  <c r="C278" i="15"/>
  <c r="D277" i="15"/>
  <c r="E277" i="15"/>
  <c r="C277" i="15"/>
  <c r="D276" i="15"/>
  <c r="E276" i="15"/>
  <c r="C276" i="15"/>
  <c r="E270" i="15"/>
  <c r="D265" i="15"/>
  <c r="D302" i="15"/>
  <c r="C265" i="15"/>
  <c r="E265" i="15"/>
  <c r="D262" i="15"/>
  <c r="E262" i="15"/>
  <c r="C262" i="15"/>
  <c r="D251" i="15"/>
  <c r="C251" i="15"/>
  <c r="D245" i="15"/>
  <c r="D240" i="15"/>
  <c r="D233" i="15"/>
  <c r="D253" i="15"/>
  <c r="C233" i="15"/>
  <c r="D232" i="15"/>
  <c r="C232" i="15"/>
  <c r="E232" i="15"/>
  <c r="D231" i="15"/>
  <c r="C231" i="15"/>
  <c r="D230" i="15"/>
  <c r="E230" i="15"/>
  <c r="C230" i="15"/>
  <c r="D228" i="15"/>
  <c r="C228" i="15"/>
  <c r="E228" i="15"/>
  <c r="D227" i="15"/>
  <c r="C227" i="15"/>
  <c r="E227" i="15"/>
  <c r="D221" i="15"/>
  <c r="C221" i="15"/>
  <c r="C245" i="15"/>
  <c r="D220" i="15"/>
  <c r="D244" i="15"/>
  <c r="C220" i="15"/>
  <c r="C244" i="15"/>
  <c r="D219" i="15"/>
  <c r="C219" i="15"/>
  <c r="D218" i="15"/>
  <c r="D242" i="15"/>
  <c r="C218" i="15"/>
  <c r="C222" i="15"/>
  <c r="D216" i="15"/>
  <c r="C216" i="15"/>
  <c r="C240" i="15"/>
  <c r="D215" i="15"/>
  <c r="E215" i="15"/>
  <c r="C215" i="15"/>
  <c r="C239" i="15"/>
  <c r="E209" i="15"/>
  <c r="E208" i="15"/>
  <c r="E207" i="15"/>
  <c r="E206" i="15"/>
  <c r="D205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C179" i="15"/>
  <c r="E179" i="15"/>
  <c r="D178" i="15"/>
  <c r="C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C164" i="15"/>
  <c r="E164" i="15"/>
  <c r="D162" i="15"/>
  <c r="E162" i="15"/>
  <c r="C162" i="15"/>
  <c r="D161" i="15"/>
  <c r="E161" i="15"/>
  <c r="C161" i="15"/>
  <c r="E155" i="15"/>
  <c r="E154" i="15"/>
  <c r="E153" i="15"/>
  <c r="E152" i="15"/>
  <c r="D151" i="15"/>
  <c r="E151" i="15"/>
  <c r="C151" i="15"/>
  <c r="C156" i="15"/>
  <c r="E150" i="15"/>
  <c r="E149" i="15"/>
  <c r="E143" i="15"/>
  <c r="E142" i="15"/>
  <c r="E141" i="15"/>
  <c r="E140" i="15"/>
  <c r="D139" i="15"/>
  <c r="D144" i="15"/>
  <c r="C139" i="15"/>
  <c r="E138" i="15"/>
  <c r="E137" i="15"/>
  <c r="D75" i="15"/>
  <c r="E75" i="15"/>
  <c r="C75" i="15"/>
  <c r="D74" i="15"/>
  <c r="C74" i="15"/>
  <c r="D73" i="15"/>
  <c r="C73" i="15"/>
  <c r="E73" i="15"/>
  <c r="D72" i="15"/>
  <c r="E72" i="15"/>
  <c r="C72" i="15"/>
  <c r="D70" i="15"/>
  <c r="C70" i="15"/>
  <c r="D69" i="15"/>
  <c r="C69" i="15"/>
  <c r="E69" i="15"/>
  <c r="E64" i="15"/>
  <c r="E63" i="15"/>
  <c r="E62" i="15"/>
  <c r="E61" i="15"/>
  <c r="D60" i="15"/>
  <c r="D65" i="15"/>
  <c r="D66" i="15"/>
  <c r="C60" i="15"/>
  <c r="E59" i="15"/>
  <c r="E58" i="15"/>
  <c r="D54" i="15"/>
  <c r="D55" i="15"/>
  <c r="E55" i="15"/>
  <c r="C54" i="15"/>
  <c r="C55" i="15"/>
  <c r="E53" i="15"/>
  <c r="E52" i="15"/>
  <c r="E51" i="15"/>
  <c r="E50" i="15"/>
  <c r="E49" i="15"/>
  <c r="E48" i="15"/>
  <c r="E47" i="15"/>
  <c r="D42" i="15"/>
  <c r="C42" i="15"/>
  <c r="D41" i="15"/>
  <c r="C41" i="15"/>
  <c r="E41" i="15"/>
  <c r="D40" i="15"/>
  <c r="E40" i="15"/>
  <c r="C40" i="15"/>
  <c r="D39" i="15"/>
  <c r="C39" i="15"/>
  <c r="E39" i="15"/>
  <c r="D38" i="15"/>
  <c r="C38" i="15"/>
  <c r="D37" i="15"/>
  <c r="D43" i="15"/>
  <c r="C37" i="15"/>
  <c r="D36" i="15"/>
  <c r="E36" i="15"/>
  <c r="C36" i="15"/>
  <c r="D32" i="15"/>
  <c r="D33" i="15"/>
  <c r="C32" i="15"/>
  <c r="E31" i="15"/>
  <c r="E30" i="15"/>
  <c r="E29" i="15"/>
  <c r="E28" i="15"/>
  <c r="E27" i="15"/>
  <c r="E26" i="15"/>
  <c r="E25" i="15"/>
  <c r="D21" i="15"/>
  <c r="C21" i="15"/>
  <c r="C283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F329" i="14"/>
  <c r="E329" i="14"/>
  <c r="F316" i="14"/>
  <c r="E316" i="14"/>
  <c r="C311" i="14"/>
  <c r="F308" i="14"/>
  <c r="E308" i="14"/>
  <c r="C307" i="14"/>
  <c r="C299" i="14"/>
  <c r="E299" i="14"/>
  <c r="C298" i="14"/>
  <c r="C297" i="14"/>
  <c r="E297" i="14"/>
  <c r="C296" i="14"/>
  <c r="E296" i="14"/>
  <c r="F296" i="14"/>
  <c r="E295" i="14"/>
  <c r="C295" i="14"/>
  <c r="C294" i="14"/>
  <c r="C250" i="14"/>
  <c r="E250" i="14"/>
  <c r="E249" i="14"/>
  <c r="F249" i="14"/>
  <c r="E248" i="14"/>
  <c r="F248" i="14"/>
  <c r="F245" i="14"/>
  <c r="E245" i="14"/>
  <c r="E244" i="14"/>
  <c r="F244" i="14"/>
  <c r="E243" i="14"/>
  <c r="F243" i="14"/>
  <c r="C238" i="14"/>
  <c r="C237" i="14"/>
  <c r="E234" i="14"/>
  <c r="F234" i="14"/>
  <c r="E233" i="14"/>
  <c r="F233" i="14"/>
  <c r="E230" i="14"/>
  <c r="C230" i="14"/>
  <c r="F230" i="14"/>
  <c r="C229" i="14"/>
  <c r="E228" i="14"/>
  <c r="F228" i="14"/>
  <c r="C226" i="14"/>
  <c r="E226" i="14"/>
  <c r="F226" i="14"/>
  <c r="C227" i="14"/>
  <c r="E227" i="14"/>
  <c r="F227" i="14"/>
  <c r="E225" i="14"/>
  <c r="F225" i="14"/>
  <c r="E224" i="14"/>
  <c r="F224" i="14"/>
  <c r="C223" i="14"/>
  <c r="F222" i="14"/>
  <c r="E222" i="14"/>
  <c r="E221" i="14"/>
  <c r="F221" i="14"/>
  <c r="C204" i="14"/>
  <c r="E204" i="14"/>
  <c r="F204" i="14"/>
  <c r="C269" i="14"/>
  <c r="C203" i="14"/>
  <c r="E203" i="14"/>
  <c r="C198" i="14"/>
  <c r="C191" i="14"/>
  <c r="C280" i="14"/>
  <c r="C189" i="14"/>
  <c r="E189" i="14"/>
  <c r="C188" i="14"/>
  <c r="C180" i="14"/>
  <c r="F180" i="14"/>
  <c r="C179" i="14"/>
  <c r="E179" i="14"/>
  <c r="C171" i="14"/>
  <c r="C172" i="14"/>
  <c r="C170" i="14"/>
  <c r="F170" i="14"/>
  <c r="F169" i="14"/>
  <c r="E169" i="14"/>
  <c r="F168" i="14"/>
  <c r="E168" i="14"/>
  <c r="C165" i="14"/>
  <c r="E165" i="14"/>
  <c r="C164" i="14"/>
  <c r="E164" i="14"/>
  <c r="F163" i="14"/>
  <c r="E163" i="14"/>
  <c r="C158" i="14"/>
  <c r="E158" i="14"/>
  <c r="F157" i="14"/>
  <c r="E157" i="14"/>
  <c r="F156" i="14"/>
  <c r="E156" i="14"/>
  <c r="E155" i="14"/>
  <c r="C155" i="14"/>
  <c r="F155" i="14"/>
  <c r="F154" i="14"/>
  <c r="E154" i="14"/>
  <c r="F153" i="14"/>
  <c r="E153" i="14"/>
  <c r="C145" i="14"/>
  <c r="E145" i="14"/>
  <c r="C144" i="14"/>
  <c r="C136" i="14"/>
  <c r="E136" i="14"/>
  <c r="C135" i="14"/>
  <c r="F134" i="14"/>
  <c r="E134" i="14"/>
  <c r="E133" i="14"/>
  <c r="F133" i="14"/>
  <c r="C130" i="14"/>
  <c r="C129" i="14"/>
  <c r="E129" i="14"/>
  <c r="E128" i="14"/>
  <c r="F128" i="14"/>
  <c r="C123" i="14"/>
  <c r="C124" i="14"/>
  <c r="E122" i="14"/>
  <c r="F122" i="14"/>
  <c r="E121" i="14"/>
  <c r="F121" i="14"/>
  <c r="C120" i="14"/>
  <c r="E120" i="14"/>
  <c r="E119" i="14"/>
  <c r="F119" i="14"/>
  <c r="E118" i="14"/>
  <c r="F118" i="14"/>
  <c r="E110" i="14"/>
  <c r="C110" i="14"/>
  <c r="F110" i="14"/>
  <c r="E109" i="14"/>
  <c r="C109" i="14"/>
  <c r="C111" i="14"/>
  <c r="C101" i="14"/>
  <c r="E101" i="14"/>
  <c r="C100" i="14"/>
  <c r="E100" i="14"/>
  <c r="F100" i="14"/>
  <c r="F99" i="14"/>
  <c r="E99" i="14"/>
  <c r="F98" i="14"/>
  <c r="E98" i="14"/>
  <c r="C95" i="14"/>
  <c r="E95" i="14"/>
  <c r="C94" i="14"/>
  <c r="E94" i="14"/>
  <c r="F93" i="14"/>
  <c r="E93" i="14"/>
  <c r="C88" i="14"/>
  <c r="C89" i="14"/>
  <c r="E89" i="14"/>
  <c r="E87" i="14"/>
  <c r="F87" i="14"/>
  <c r="E86" i="14"/>
  <c r="F86" i="14"/>
  <c r="C85" i="14"/>
  <c r="E85" i="14"/>
  <c r="F85" i="14"/>
  <c r="E84" i="14"/>
  <c r="F84" i="14"/>
  <c r="E83" i="14"/>
  <c r="F83" i="14"/>
  <c r="C76" i="14"/>
  <c r="E76" i="14"/>
  <c r="E74" i="14"/>
  <c r="F74" i="14"/>
  <c r="E73" i="14"/>
  <c r="F73" i="14"/>
  <c r="E67" i="14"/>
  <c r="C67" i="14"/>
  <c r="C66" i="14"/>
  <c r="E66" i="14"/>
  <c r="C59" i="14"/>
  <c r="C58" i="14"/>
  <c r="E58" i="14"/>
  <c r="E57" i="14"/>
  <c r="F57" i="14"/>
  <c r="E56" i="14"/>
  <c r="F56" i="14"/>
  <c r="C53" i="14"/>
  <c r="E53" i="14"/>
  <c r="C52" i="14"/>
  <c r="E52" i="14"/>
  <c r="E51" i="14"/>
  <c r="F51" i="14"/>
  <c r="C47" i="14"/>
  <c r="C48" i="14"/>
  <c r="E46" i="14"/>
  <c r="F46" i="14"/>
  <c r="E45" i="14"/>
  <c r="F45" i="14"/>
  <c r="E44" i="14"/>
  <c r="C44" i="14"/>
  <c r="F43" i="14"/>
  <c r="E43" i="14"/>
  <c r="F42" i="14"/>
  <c r="E42" i="14"/>
  <c r="C36" i="14"/>
  <c r="C35" i="14"/>
  <c r="E35" i="14"/>
  <c r="C30" i="14"/>
  <c r="C31" i="14"/>
  <c r="C29" i="14"/>
  <c r="E29" i="14"/>
  <c r="E28" i="14"/>
  <c r="F28" i="14"/>
  <c r="E27" i="14"/>
  <c r="F27" i="14"/>
  <c r="C24" i="14"/>
  <c r="E24" i="14"/>
  <c r="C23" i="14"/>
  <c r="E23" i="14"/>
  <c r="F23" i="14"/>
  <c r="E22" i="14"/>
  <c r="F22" i="14"/>
  <c r="C20" i="14"/>
  <c r="E19" i="14"/>
  <c r="F19" i="14"/>
  <c r="E18" i="14"/>
  <c r="F18" i="14"/>
  <c r="C17" i="14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E75" i="12"/>
  <c r="F75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E59" i="12"/>
  <c r="F59" i="12"/>
  <c r="E58" i="12"/>
  <c r="E60" i="12"/>
  <c r="F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C37" i="12"/>
  <c r="F36" i="12"/>
  <c r="E36" i="12"/>
  <c r="F35" i="12"/>
  <c r="E35" i="12"/>
  <c r="E34" i="12"/>
  <c r="F34" i="12"/>
  <c r="F33" i="12"/>
  <c r="E33" i="12"/>
  <c r="D30" i="12"/>
  <c r="C30" i="12"/>
  <c r="F29" i="12"/>
  <c r="E29" i="12"/>
  <c r="F28" i="12"/>
  <c r="E28" i="12"/>
  <c r="E27" i="12"/>
  <c r="F27" i="12"/>
  <c r="E26" i="12"/>
  <c r="F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E17" i="11"/>
  <c r="D17" i="11"/>
  <c r="C17" i="11"/>
  <c r="C33" i="11"/>
  <c r="C36" i="11"/>
  <c r="C38" i="11"/>
  <c r="C40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C78" i="10"/>
  <c r="C80" i="10"/>
  <c r="C77" i="10"/>
  <c r="C75" i="10"/>
  <c r="E73" i="10"/>
  <c r="E75" i="10"/>
  <c r="D73" i="10"/>
  <c r="D75" i="10"/>
  <c r="C73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C61" i="10"/>
  <c r="C57" i="10"/>
  <c r="E58" i="10"/>
  <c r="D58" i="10"/>
  <c r="C58" i="10"/>
  <c r="E55" i="10"/>
  <c r="E50" i="10"/>
  <c r="D55" i="10"/>
  <c r="C55" i="10"/>
  <c r="C50" i="10"/>
  <c r="E54" i="10"/>
  <c r="D54" i="10"/>
  <c r="C54" i="10"/>
  <c r="D50" i="10"/>
  <c r="C48" i="10"/>
  <c r="E46" i="10"/>
  <c r="E59" i="10"/>
  <c r="E61" i="10"/>
  <c r="E57" i="10"/>
  <c r="D46" i="10"/>
  <c r="C46" i="10"/>
  <c r="C59" i="10"/>
  <c r="E45" i="10"/>
  <c r="D45" i="10"/>
  <c r="C45" i="10"/>
  <c r="E38" i="10"/>
  <c r="D38" i="10"/>
  <c r="C38" i="10"/>
  <c r="D34" i="10"/>
  <c r="E33" i="10"/>
  <c r="E34" i="10"/>
  <c r="D33" i="10"/>
  <c r="E26" i="10"/>
  <c r="D26" i="10"/>
  <c r="C26" i="10"/>
  <c r="E13" i="10"/>
  <c r="E25" i="10"/>
  <c r="E27" i="10"/>
  <c r="D13" i="10"/>
  <c r="C13" i="10"/>
  <c r="C25" i="10"/>
  <c r="C27" i="10"/>
  <c r="C21" i="10"/>
  <c r="D46" i="9"/>
  <c r="E46" i="9"/>
  <c r="C46" i="9"/>
  <c r="F46" i="9"/>
  <c r="F45" i="9"/>
  <c r="E45" i="9"/>
  <c r="F44" i="9"/>
  <c r="E44" i="9"/>
  <c r="D39" i="9"/>
  <c r="C39" i="9"/>
  <c r="E38" i="9"/>
  <c r="F38" i="9"/>
  <c r="F37" i="9"/>
  <c r="E37" i="9"/>
  <c r="E36" i="9"/>
  <c r="F36" i="9"/>
  <c r="D31" i="9"/>
  <c r="E31" i="9"/>
  <c r="C31" i="9"/>
  <c r="F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C16" i="9"/>
  <c r="F15" i="9"/>
  <c r="E15" i="9"/>
  <c r="E14" i="9"/>
  <c r="F14" i="9"/>
  <c r="E13" i="9"/>
  <c r="F13" i="9"/>
  <c r="E12" i="9"/>
  <c r="F12" i="9"/>
  <c r="D73" i="8"/>
  <c r="E73" i="8"/>
  <c r="C73" i="8"/>
  <c r="F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C61" i="8"/>
  <c r="F60" i="8"/>
  <c r="E60" i="8"/>
  <c r="F59" i="8"/>
  <c r="E59" i="8"/>
  <c r="D56" i="8"/>
  <c r="E56" i="8"/>
  <c r="F56" i="8"/>
  <c r="C56" i="8"/>
  <c r="E55" i="8"/>
  <c r="F55" i="8"/>
  <c r="E54" i="8"/>
  <c r="F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C38" i="8"/>
  <c r="F37" i="8"/>
  <c r="E37" i="8"/>
  <c r="F36" i="8"/>
  <c r="E36" i="8"/>
  <c r="F33" i="8"/>
  <c r="E33" i="8"/>
  <c r="F32" i="8"/>
  <c r="E32" i="8"/>
  <c r="F31" i="8"/>
  <c r="E31" i="8"/>
  <c r="D29" i="8"/>
  <c r="E29" i="8"/>
  <c r="F29" i="8"/>
  <c r="C29" i="8"/>
  <c r="F28" i="8"/>
  <c r="E28" i="8"/>
  <c r="F27" i="8"/>
  <c r="E27" i="8"/>
  <c r="F26" i="8"/>
  <c r="E26" i="8"/>
  <c r="F25" i="8"/>
  <c r="E25" i="8"/>
  <c r="D22" i="8"/>
  <c r="E22" i="8"/>
  <c r="F22" i="8"/>
  <c r="C22" i="8"/>
  <c r="F21" i="8"/>
  <c r="E21" i="8"/>
  <c r="E20" i="8"/>
  <c r="F20" i="8"/>
  <c r="E19" i="8"/>
  <c r="F19" i="8"/>
  <c r="E18" i="8"/>
  <c r="F18" i="8"/>
  <c r="F17" i="8"/>
  <c r="E17" i="8"/>
  <c r="E16" i="8"/>
  <c r="F16" i="8"/>
  <c r="E15" i="8"/>
  <c r="F15" i="8"/>
  <c r="F14" i="8"/>
  <c r="E14" i="8"/>
  <c r="E13" i="8"/>
  <c r="F13" i="8"/>
  <c r="D120" i="7"/>
  <c r="E120" i="7"/>
  <c r="C120" i="7"/>
  <c r="F120" i="7"/>
  <c r="D119" i="7"/>
  <c r="C119" i="7"/>
  <c r="D118" i="7"/>
  <c r="E118" i="7"/>
  <c r="C118" i="7"/>
  <c r="F118" i="7"/>
  <c r="D117" i="7"/>
  <c r="C117" i="7"/>
  <c r="D116" i="7"/>
  <c r="E116" i="7"/>
  <c r="C116" i="7"/>
  <c r="F116" i="7"/>
  <c r="D115" i="7"/>
  <c r="C115" i="7"/>
  <c r="D114" i="7"/>
  <c r="E114" i="7"/>
  <c r="C114" i="7"/>
  <c r="F114" i="7"/>
  <c r="D113" i="7"/>
  <c r="C113" i="7"/>
  <c r="D112" i="7"/>
  <c r="E112" i="7"/>
  <c r="F112" i="7"/>
  <c r="C112" i="7"/>
  <c r="C121" i="7"/>
  <c r="D108" i="7"/>
  <c r="C108" i="7"/>
  <c r="D107" i="7"/>
  <c r="E107" i="7"/>
  <c r="C107" i="7"/>
  <c r="F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D95" i="7"/>
  <c r="E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E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E35" i="7"/>
  <c r="C35" i="7"/>
  <c r="F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F206" i="6"/>
  <c r="C206" i="6"/>
  <c r="D205" i="6"/>
  <c r="E205" i="6"/>
  <c r="F205" i="6"/>
  <c r="C205" i="6"/>
  <c r="D204" i="6"/>
  <c r="E204" i="6"/>
  <c r="F204" i="6"/>
  <c r="C204" i="6"/>
  <c r="D203" i="6"/>
  <c r="E203" i="6"/>
  <c r="F203" i="6"/>
  <c r="C203" i="6"/>
  <c r="D202" i="6"/>
  <c r="E202" i="6"/>
  <c r="F202" i="6"/>
  <c r="C202" i="6"/>
  <c r="D201" i="6"/>
  <c r="E201" i="6"/>
  <c r="F201" i="6"/>
  <c r="C201" i="6"/>
  <c r="D200" i="6"/>
  <c r="E200" i="6"/>
  <c r="F200" i="6"/>
  <c r="C200" i="6"/>
  <c r="D199" i="6"/>
  <c r="D208" i="6"/>
  <c r="E199" i="6"/>
  <c r="F199" i="6"/>
  <c r="C199" i="6"/>
  <c r="C208" i="6"/>
  <c r="D198" i="6"/>
  <c r="C198" i="6"/>
  <c r="F193" i="6"/>
  <c r="D193" i="6"/>
  <c r="E193" i="6"/>
  <c r="C193" i="6"/>
  <c r="F192" i="6"/>
  <c r="D192" i="6"/>
  <c r="E192" i="6"/>
  <c r="C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F141" i="6"/>
  <c r="C141" i="6"/>
  <c r="D140" i="6"/>
  <c r="E140" i="6"/>
  <c r="F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F128" i="6"/>
  <c r="C128" i="6"/>
  <c r="D127" i="6"/>
  <c r="E127" i="6"/>
  <c r="F127" i="6"/>
  <c r="C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E115" i="6"/>
  <c r="F115" i="6"/>
  <c r="C115" i="6"/>
  <c r="D114" i="6"/>
  <c r="E114" i="6"/>
  <c r="F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F102" i="6"/>
  <c r="C102" i="6"/>
  <c r="D101" i="6"/>
  <c r="E101" i="6"/>
  <c r="F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89" i="6"/>
  <c r="D89" i="6"/>
  <c r="E89" i="6"/>
  <c r="C89" i="6"/>
  <c r="F88" i="6"/>
  <c r="D88" i="6"/>
  <c r="E88" i="6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F76" i="6"/>
  <c r="C76" i="6"/>
  <c r="D75" i="6"/>
  <c r="E75" i="6"/>
  <c r="F75" i="6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F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F50" i="6"/>
  <c r="C50" i="6"/>
  <c r="D49" i="6"/>
  <c r="E49" i="6"/>
  <c r="F49" i="6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/>
  <c r="F37" i="6"/>
  <c r="C37" i="6"/>
  <c r="D36" i="6"/>
  <c r="E36" i="6"/>
  <c r="F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E166" i="5"/>
  <c r="D161" i="5"/>
  <c r="C161" i="5"/>
  <c r="E160" i="5"/>
  <c r="C160" i="5"/>
  <c r="C166" i="5"/>
  <c r="E147" i="5"/>
  <c r="E143" i="5"/>
  <c r="E149" i="5"/>
  <c r="D147" i="5"/>
  <c r="D143" i="5"/>
  <c r="C147" i="5"/>
  <c r="E145" i="5"/>
  <c r="D145" i="5"/>
  <c r="C145" i="5"/>
  <c r="E144" i="5"/>
  <c r="D144" i="5"/>
  <c r="C144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C94" i="5"/>
  <c r="D94" i="5"/>
  <c r="E89" i="5"/>
  <c r="D89" i="5"/>
  <c r="C89" i="5"/>
  <c r="C88" i="5"/>
  <c r="C90" i="5"/>
  <c r="C86" i="5"/>
  <c r="E87" i="5"/>
  <c r="D87" i="5"/>
  <c r="C87" i="5"/>
  <c r="E84" i="5"/>
  <c r="D84" i="5"/>
  <c r="D79" i="5"/>
  <c r="C84" i="5"/>
  <c r="E83" i="5"/>
  <c r="E79" i="5"/>
  <c r="D83" i="5"/>
  <c r="C83" i="5"/>
  <c r="E75" i="5"/>
  <c r="E88" i="5"/>
  <c r="E90" i="5"/>
  <c r="E86" i="5"/>
  <c r="D75" i="5"/>
  <c r="C75" i="5"/>
  <c r="C77" i="5"/>
  <c r="C71" i="5"/>
  <c r="E74" i="5"/>
  <c r="D74" i="5"/>
  <c r="C74" i="5"/>
  <c r="E67" i="5"/>
  <c r="D67" i="5"/>
  <c r="C67" i="5"/>
  <c r="E49" i="5"/>
  <c r="E38" i="5"/>
  <c r="D38" i="5"/>
  <c r="D53" i="5"/>
  <c r="C38" i="5"/>
  <c r="E33" i="5"/>
  <c r="E34" i="5"/>
  <c r="D33" i="5"/>
  <c r="D34" i="5"/>
  <c r="E26" i="5"/>
  <c r="D26" i="5"/>
  <c r="C26" i="5"/>
  <c r="E25" i="5"/>
  <c r="E27" i="5"/>
  <c r="E21" i="5"/>
  <c r="C15" i="5"/>
  <c r="E13" i="5"/>
  <c r="E15" i="5"/>
  <c r="D13" i="5"/>
  <c r="C13" i="5"/>
  <c r="C25" i="5"/>
  <c r="C27" i="5"/>
  <c r="F186" i="4"/>
  <c r="E186" i="4"/>
  <c r="D183" i="4"/>
  <c r="E183" i="4"/>
  <c r="F183" i="4"/>
  <c r="C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D167" i="4"/>
  <c r="E167" i="4"/>
  <c r="F167" i="4"/>
  <c r="C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E157" i="4"/>
  <c r="F157" i="4"/>
  <c r="F156" i="4"/>
  <c r="E156" i="4"/>
  <c r="E155" i="4"/>
  <c r="F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E145" i="4"/>
  <c r="F145" i="4"/>
  <c r="F144" i="4"/>
  <c r="E144" i="4"/>
  <c r="F143" i="4"/>
  <c r="E143" i="4"/>
  <c r="F142" i="4"/>
  <c r="E142" i="4"/>
  <c r="E141" i="4"/>
  <c r="F141" i="4"/>
  <c r="F140" i="4"/>
  <c r="E140" i="4"/>
  <c r="F139" i="4"/>
  <c r="E139" i="4"/>
  <c r="F138" i="4"/>
  <c r="E138" i="4"/>
  <c r="E137" i="4"/>
  <c r="F137" i="4"/>
  <c r="F136" i="4"/>
  <c r="E136" i="4"/>
  <c r="E135" i="4"/>
  <c r="F135" i="4"/>
  <c r="F134" i="4"/>
  <c r="E134" i="4"/>
  <c r="E133" i="4"/>
  <c r="F133" i="4"/>
  <c r="D130" i="4"/>
  <c r="E130" i="4"/>
  <c r="C130" i="4"/>
  <c r="F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D121" i="4"/>
  <c r="C121" i="4"/>
  <c r="F120" i="4"/>
  <c r="E120" i="4"/>
  <c r="E119" i="4"/>
  <c r="F119" i="4"/>
  <c r="F118" i="4"/>
  <c r="E118" i="4"/>
  <c r="E117" i="4"/>
  <c r="F117" i="4"/>
  <c r="F116" i="4"/>
  <c r="E116" i="4"/>
  <c r="E115" i="4"/>
  <c r="F115" i="4"/>
  <c r="F114" i="4"/>
  <c r="E114" i="4"/>
  <c r="E113" i="4"/>
  <c r="F113" i="4"/>
  <c r="F112" i="4"/>
  <c r="E112" i="4"/>
  <c r="E111" i="4"/>
  <c r="F111" i="4"/>
  <c r="F110" i="4"/>
  <c r="E110" i="4"/>
  <c r="E109" i="4"/>
  <c r="F109" i="4"/>
  <c r="F108" i="4"/>
  <c r="E108" i="4"/>
  <c r="E107" i="4"/>
  <c r="F107" i="4"/>
  <c r="F106" i="4"/>
  <c r="E106" i="4"/>
  <c r="E105" i="4"/>
  <c r="F105" i="4"/>
  <c r="F104" i="4"/>
  <c r="E104" i="4"/>
  <c r="E103" i="4"/>
  <c r="F103" i="4"/>
  <c r="F93" i="4"/>
  <c r="E93" i="4"/>
  <c r="D90" i="4"/>
  <c r="E90" i="4"/>
  <c r="F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C41" i="4"/>
  <c r="F40" i="4"/>
  <c r="E40" i="4"/>
  <c r="E39" i="4"/>
  <c r="F39" i="4"/>
  <c r="E38" i="4"/>
  <c r="F38" i="4"/>
  <c r="D35" i="4"/>
  <c r="E35" i="4"/>
  <c r="C35" i="4"/>
  <c r="C95" i="4"/>
  <c r="E34" i="4"/>
  <c r="F34" i="4"/>
  <c r="E33" i="4"/>
  <c r="F33" i="4"/>
  <c r="D30" i="4"/>
  <c r="E30" i="4"/>
  <c r="C30" i="4"/>
  <c r="F29" i="4"/>
  <c r="E29" i="4"/>
  <c r="E28" i="4"/>
  <c r="F28" i="4"/>
  <c r="F27" i="4"/>
  <c r="E27" i="4"/>
  <c r="D24" i="4"/>
  <c r="E24" i="4"/>
  <c r="C24" i="4"/>
  <c r="F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C179" i="3"/>
  <c r="F178" i="3"/>
  <c r="E178" i="3"/>
  <c r="F177" i="3"/>
  <c r="E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F165" i="3"/>
  <c r="E165" i="3"/>
  <c r="F164" i="3"/>
  <c r="E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C124" i="3"/>
  <c r="F123" i="3"/>
  <c r="E123" i="3"/>
  <c r="F122" i="3"/>
  <c r="E122" i="3"/>
  <c r="F121" i="3"/>
  <c r="E121" i="3"/>
  <c r="E120" i="3"/>
  <c r="F120" i="3"/>
  <c r="F119" i="3"/>
  <c r="E119" i="3"/>
  <c r="E118" i="3"/>
  <c r="F118" i="3"/>
  <c r="F117" i="3"/>
  <c r="E117" i="3"/>
  <c r="E116" i="3"/>
  <c r="F116" i="3"/>
  <c r="F115" i="3"/>
  <c r="E115" i="3"/>
  <c r="E114" i="3"/>
  <c r="F114" i="3"/>
  <c r="F113" i="3"/>
  <c r="E113" i="3"/>
  <c r="D111" i="3"/>
  <c r="E111" i="3"/>
  <c r="C111" i="3"/>
  <c r="F111" i="3"/>
  <c r="F110" i="3"/>
  <c r="E110" i="3"/>
  <c r="F109" i="3"/>
  <c r="E109" i="3"/>
  <c r="E108" i="3"/>
  <c r="F108" i="3"/>
  <c r="F107" i="3"/>
  <c r="E107" i="3"/>
  <c r="E106" i="3"/>
  <c r="F106" i="3"/>
  <c r="F105" i="3"/>
  <c r="E105" i="3"/>
  <c r="E104" i="3"/>
  <c r="F104" i="3"/>
  <c r="F103" i="3"/>
  <c r="E103" i="3"/>
  <c r="E102" i="3"/>
  <c r="F102" i="3"/>
  <c r="F101" i="3"/>
  <c r="E101" i="3"/>
  <c r="E100" i="3"/>
  <c r="F100" i="3"/>
  <c r="D94" i="3"/>
  <c r="C94" i="3"/>
  <c r="F94" i="3"/>
  <c r="D93" i="3"/>
  <c r="E93" i="3"/>
  <c r="C93" i="3"/>
  <c r="F93" i="3"/>
  <c r="D92" i="3"/>
  <c r="C92" i="3"/>
  <c r="D91" i="3"/>
  <c r="E91" i="3"/>
  <c r="C91" i="3"/>
  <c r="F91" i="3"/>
  <c r="D90" i="3"/>
  <c r="C90" i="3"/>
  <c r="D89" i="3"/>
  <c r="C89" i="3"/>
  <c r="D88" i="3"/>
  <c r="C88" i="3"/>
  <c r="D87" i="3"/>
  <c r="E87" i="3"/>
  <c r="C87" i="3"/>
  <c r="F87" i="3"/>
  <c r="D86" i="3"/>
  <c r="C86" i="3"/>
  <c r="D85" i="3"/>
  <c r="C85" i="3"/>
  <c r="D84" i="3"/>
  <c r="C84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F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1" i="3"/>
  <c r="D51" i="3"/>
  <c r="E51" i="3"/>
  <c r="C51" i="3"/>
  <c r="F50" i="3"/>
  <c r="D50" i="3"/>
  <c r="E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E41" i="3"/>
  <c r="F41" i="3"/>
  <c r="C41" i="3"/>
  <c r="C52" i="3"/>
  <c r="D38" i="3"/>
  <c r="C38" i="3"/>
  <c r="F37" i="3"/>
  <c r="E37" i="3"/>
  <c r="F36" i="3"/>
  <c r="E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F24" i="3"/>
  <c r="E24" i="3"/>
  <c r="F23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F45" i="2"/>
  <c r="E45" i="2"/>
  <c r="F44" i="2"/>
  <c r="E44" i="2"/>
  <c r="D39" i="2"/>
  <c r="C39" i="2"/>
  <c r="E38" i="2"/>
  <c r="F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F60" i="1"/>
  <c r="E60" i="1"/>
  <c r="F59" i="1"/>
  <c r="E59" i="1"/>
  <c r="D56" i="1"/>
  <c r="D75" i="1"/>
  <c r="C56" i="1"/>
  <c r="E55" i="1"/>
  <c r="F55" i="1"/>
  <c r="E54" i="1"/>
  <c r="F54" i="1"/>
  <c r="E53" i="1"/>
  <c r="F53" i="1"/>
  <c r="E52" i="1"/>
  <c r="F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C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E22" i="1"/>
  <c r="F22" i="1"/>
  <c r="C22" i="1"/>
  <c r="F21" i="1"/>
  <c r="E21" i="1"/>
  <c r="E20" i="1"/>
  <c r="F20" i="1"/>
  <c r="E19" i="1"/>
  <c r="F19" i="1"/>
  <c r="E18" i="1"/>
  <c r="F18" i="1"/>
  <c r="E17" i="1"/>
  <c r="F17" i="1"/>
  <c r="E16" i="1"/>
  <c r="F16" i="1"/>
  <c r="E15" i="1"/>
  <c r="F15" i="1"/>
  <c r="F14" i="1"/>
  <c r="E14" i="1"/>
  <c r="E13" i="1"/>
  <c r="F13" i="1"/>
  <c r="F44" i="14"/>
  <c r="F67" i="14"/>
  <c r="D205" i="14"/>
  <c r="E172" i="14"/>
  <c r="D111" i="14"/>
  <c r="D190" i="14"/>
  <c r="D239" i="14"/>
  <c r="D199" i="14"/>
  <c r="C21" i="5"/>
  <c r="E19" i="2"/>
  <c r="D33" i="2"/>
  <c r="C33" i="2"/>
  <c r="F19" i="2"/>
  <c r="E137" i="5"/>
  <c r="E139" i="5"/>
  <c r="E135" i="5"/>
  <c r="E136" i="5"/>
  <c r="E140" i="5"/>
  <c r="E141" i="5"/>
  <c r="E138" i="5"/>
  <c r="C139" i="5"/>
  <c r="C135" i="5"/>
  <c r="C137" i="5"/>
  <c r="C140" i="5"/>
  <c r="C138" i="5"/>
  <c r="C136" i="5"/>
  <c r="C156" i="5"/>
  <c r="C152" i="5"/>
  <c r="C154" i="5"/>
  <c r="C157" i="5"/>
  <c r="C155" i="5"/>
  <c r="C153" i="5"/>
  <c r="E21" i="10"/>
  <c r="E43" i="5"/>
  <c r="E53" i="5"/>
  <c r="E154" i="5"/>
  <c r="E156" i="5"/>
  <c r="E152" i="5"/>
  <c r="D59" i="10"/>
  <c r="D61" i="10"/>
  <c r="D57" i="10"/>
  <c r="D48" i="10"/>
  <c r="D42" i="10"/>
  <c r="F33" i="11"/>
  <c r="F31" i="11"/>
  <c r="C90" i="14"/>
  <c r="E48" i="14"/>
  <c r="F48" i="14"/>
  <c r="C125" i="14"/>
  <c r="D95" i="3"/>
  <c r="D188" i="4"/>
  <c r="E208" i="6"/>
  <c r="F208" i="6"/>
  <c r="D41" i="8"/>
  <c r="D19" i="9"/>
  <c r="D25" i="5"/>
  <c r="D27" i="5"/>
  <c r="D15" i="5"/>
  <c r="D52" i="3"/>
  <c r="E52" i="3"/>
  <c r="F52" i="3"/>
  <c r="E56" i="1"/>
  <c r="F56" i="1"/>
  <c r="E61" i="1"/>
  <c r="F61" i="1"/>
  <c r="E16" i="2"/>
  <c r="F16" i="2"/>
  <c r="E88" i="3"/>
  <c r="F88" i="3"/>
  <c r="E92" i="3"/>
  <c r="F92" i="3"/>
  <c r="E124" i="3"/>
  <c r="F124" i="3"/>
  <c r="E41" i="4"/>
  <c r="F41" i="4"/>
  <c r="E57" i="5"/>
  <c r="E62" i="5"/>
  <c r="E155" i="5"/>
  <c r="D122" i="7"/>
  <c r="E24" i="5"/>
  <c r="E17" i="5"/>
  <c r="C53" i="5"/>
  <c r="C43" i="5"/>
  <c r="D15" i="10"/>
  <c r="D25" i="10"/>
  <c r="D27" i="10"/>
  <c r="D31" i="11"/>
  <c r="D33" i="11"/>
  <c r="D36" i="11"/>
  <c r="D38" i="11"/>
  <c r="D40" i="11"/>
  <c r="D295" i="15"/>
  <c r="C188" i="4"/>
  <c r="C49" i="5"/>
  <c r="C57" i="5"/>
  <c r="C62" i="5"/>
  <c r="D149" i="5"/>
  <c r="D207" i="6"/>
  <c r="D43" i="8"/>
  <c r="D65" i="8"/>
  <c r="C42" i="10"/>
  <c r="H17" i="11"/>
  <c r="C24" i="5"/>
  <c r="C20" i="5"/>
  <c r="C17" i="5"/>
  <c r="D88" i="5"/>
  <c r="D90" i="5"/>
  <c r="D86" i="5"/>
  <c r="D77" i="5"/>
  <c r="D71" i="5"/>
  <c r="D145" i="15"/>
  <c r="D41" i="1"/>
  <c r="D95" i="4"/>
  <c r="E95" i="4"/>
  <c r="F95" i="4"/>
  <c r="E90" i="3"/>
  <c r="F90" i="3"/>
  <c r="E94" i="3"/>
  <c r="E179" i="3"/>
  <c r="F179" i="3"/>
  <c r="E121" i="4"/>
  <c r="F121" i="4"/>
  <c r="E20" i="5"/>
  <c r="C79" i="5"/>
  <c r="D166" i="5"/>
  <c r="D121" i="7"/>
  <c r="E121" i="7"/>
  <c r="F121" i="7"/>
  <c r="C290" i="14"/>
  <c r="C199" i="14"/>
  <c r="E294" i="14"/>
  <c r="F294" i="14"/>
  <c r="C43" i="15"/>
  <c r="E37" i="15"/>
  <c r="E260" i="15"/>
  <c r="D41" i="17"/>
  <c r="E109" i="19"/>
  <c r="E108" i="19"/>
  <c r="D254" i="14"/>
  <c r="F29" i="14"/>
  <c r="F35" i="14"/>
  <c r="C37" i="14"/>
  <c r="F58" i="14"/>
  <c r="F89" i="14"/>
  <c r="C102" i="14"/>
  <c r="C159" i="14"/>
  <c r="C160" i="14"/>
  <c r="F171" i="14"/>
  <c r="C181" i="14"/>
  <c r="C274" i="14"/>
  <c r="C306" i="14"/>
  <c r="C157" i="15"/>
  <c r="C278" i="14"/>
  <c r="C215" i="14"/>
  <c r="F189" i="14"/>
  <c r="C283" i="14"/>
  <c r="C205" i="14"/>
  <c r="F203" i="14"/>
  <c r="C239" i="14"/>
  <c r="E237" i="14"/>
  <c r="F237" i="14"/>
  <c r="D22" i="15"/>
  <c r="D283" i="15"/>
  <c r="E283" i="15"/>
  <c r="D289" i="15"/>
  <c r="E60" i="15"/>
  <c r="D303" i="15"/>
  <c r="D109" i="19"/>
  <c r="D108" i="19"/>
  <c r="D175" i="14"/>
  <c r="D62" i="14"/>
  <c r="D105" i="14"/>
  <c r="C21" i="14"/>
  <c r="C32" i="14"/>
  <c r="E47" i="14"/>
  <c r="F47" i="14"/>
  <c r="C77" i="14"/>
  <c r="E77" i="14"/>
  <c r="F101" i="14"/>
  <c r="F136" i="14"/>
  <c r="F158" i="14"/>
  <c r="F165" i="14"/>
  <c r="E171" i="14"/>
  <c r="C173" i="14"/>
  <c r="F173" i="14"/>
  <c r="E180" i="14"/>
  <c r="C192" i="14"/>
  <c r="C214" i="14"/>
  <c r="C255" i="14"/>
  <c r="E38" i="15"/>
  <c r="D71" i="15"/>
  <c r="E74" i="15"/>
  <c r="F40" i="17"/>
  <c r="E269" i="14"/>
  <c r="F269" i="14"/>
  <c r="F250" i="14"/>
  <c r="F311" i="14"/>
  <c r="E311" i="14"/>
  <c r="D294" i="15"/>
  <c r="E32" i="15"/>
  <c r="C71" i="15"/>
  <c r="C65" i="15"/>
  <c r="C66" i="15"/>
  <c r="C289" i="15"/>
  <c r="D76" i="15"/>
  <c r="E70" i="15"/>
  <c r="D163" i="15"/>
  <c r="D175" i="15"/>
  <c r="E139" i="15"/>
  <c r="D104" i="14"/>
  <c r="D174" i="14"/>
  <c r="E283" i="14"/>
  <c r="C304" i="14"/>
  <c r="F52" i="14"/>
  <c r="F66" i="14"/>
  <c r="C68" i="14"/>
  <c r="F76" i="14"/>
  <c r="F94" i="14"/>
  <c r="F95" i="14"/>
  <c r="F120" i="14"/>
  <c r="F129" i="14"/>
  <c r="C146" i="14"/>
  <c r="F172" i="14"/>
  <c r="F198" i="14"/>
  <c r="F299" i="14"/>
  <c r="E111" i="14"/>
  <c r="F111" i="14"/>
  <c r="C261" i="14"/>
  <c r="C254" i="14"/>
  <c r="E188" i="14"/>
  <c r="F188" i="14"/>
  <c r="F298" i="14"/>
  <c r="E298" i="14"/>
  <c r="C33" i="15"/>
  <c r="C144" i="15"/>
  <c r="E144" i="15"/>
  <c r="C175" i="15"/>
  <c r="C163" i="15"/>
  <c r="D320" i="15"/>
  <c r="E320" i="15"/>
  <c r="E316" i="15"/>
  <c r="D207" i="14"/>
  <c r="D138" i="14"/>
  <c r="D139" i="14"/>
  <c r="E20" i="14"/>
  <c r="F20" i="14"/>
  <c r="E88" i="14"/>
  <c r="F88" i="14"/>
  <c r="F109" i="14"/>
  <c r="C137" i="14"/>
  <c r="F145" i="14"/>
  <c r="E170" i="14"/>
  <c r="F179" i="14"/>
  <c r="C190" i="14"/>
  <c r="C193" i="14"/>
  <c r="C266" i="14"/>
  <c r="E198" i="14"/>
  <c r="C200" i="14"/>
  <c r="E223" i="14"/>
  <c r="F223" i="14"/>
  <c r="E238" i="14"/>
  <c r="F238" i="14"/>
  <c r="C262" i="14"/>
  <c r="C267" i="14"/>
  <c r="C277" i="14"/>
  <c r="C285" i="14"/>
  <c r="F295" i="14"/>
  <c r="C44" i="15"/>
  <c r="C95" i="15"/>
  <c r="E42" i="15"/>
  <c r="E54" i="15"/>
  <c r="C76" i="15"/>
  <c r="C77" i="15"/>
  <c r="E189" i="15"/>
  <c r="C223" i="15"/>
  <c r="C247" i="15"/>
  <c r="C253" i="15"/>
  <c r="E245" i="15"/>
  <c r="F46" i="17"/>
  <c r="E90" i="14"/>
  <c r="E192" i="14"/>
  <c r="C22" i="15"/>
  <c r="C284" i="15"/>
  <c r="E188" i="15"/>
  <c r="D217" i="15"/>
  <c r="E218" i="15"/>
  <c r="E233" i="15"/>
  <c r="D239" i="15"/>
  <c r="E239" i="15"/>
  <c r="C242" i="15"/>
  <c r="E242" i="15"/>
  <c r="E251" i="15"/>
  <c r="D261" i="15"/>
  <c r="C22" i="16"/>
  <c r="C39" i="17"/>
  <c r="E39" i="17"/>
  <c r="E22" i="19"/>
  <c r="D34" i="19"/>
  <c r="C53" i="19"/>
  <c r="D54" i="19"/>
  <c r="C101" i="19"/>
  <c r="C103" i="19"/>
  <c r="D102" i="19"/>
  <c r="D103" i="19"/>
  <c r="C109" i="19"/>
  <c r="D110" i="19"/>
  <c r="D161" i="14"/>
  <c r="D193" i="14"/>
  <c r="D267" i="14"/>
  <c r="D277" i="14"/>
  <c r="D285" i="14"/>
  <c r="E285" i="14"/>
  <c r="D306" i="14"/>
  <c r="E306" i="14"/>
  <c r="E195" i="15"/>
  <c r="D222" i="15"/>
  <c r="C261" i="15"/>
  <c r="C302" i="15"/>
  <c r="C303" i="15"/>
  <c r="E314" i="15"/>
  <c r="C49" i="16"/>
  <c r="F43" i="17"/>
  <c r="E23" i="19"/>
  <c r="D29" i="19"/>
  <c r="D35" i="19"/>
  <c r="D39" i="19"/>
  <c r="D45" i="19"/>
  <c r="C110" i="19"/>
  <c r="D111" i="19"/>
  <c r="D124" i="14"/>
  <c r="E124" i="14"/>
  <c r="F124" i="14"/>
  <c r="D160" i="14"/>
  <c r="D200" i="14"/>
  <c r="E200" i="14"/>
  <c r="F200" i="14"/>
  <c r="D206" i="14"/>
  <c r="D262" i="14"/>
  <c r="D266" i="14"/>
  <c r="D265" i="14"/>
  <c r="D274" i="14"/>
  <c r="E274" i="14"/>
  <c r="F274" i="14"/>
  <c r="D280" i="14"/>
  <c r="C29" i="19"/>
  <c r="D30" i="19"/>
  <c r="E33" i="19"/>
  <c r="C35" i="19"/>
  <c r="D36" i="19"/>
  <c r="C39" i="19"/>
  <c r="D40" i="19"/>
  <c r="E101" i="19"/>
  <c r="E103" i="19"/>
  <c r="C111" i="19"/>
  <c r="D91" i="14"/>
  <c r="D215" i="14"/>
  <c r="E215" i="14"/>
  <c r="F215" i="14"/>
  <c r="D261" i="14"/>
  <c r="E221" i="15"/>
  <c r="C30" i="19"/>
  <c r="C36" i="19"/>
  <c r="C40" i="19"/>
  <c r="C99" i="15"/>
  <c r="C88" i="15"/>
  <c r="C100" i="15"/>
  <c r="C89" i="15"/>
  <c r="C83" i="15"/>
  <c r="C86" i="15"/>
  <c r="C87" i="15"/>
  <c r="C270" i="14"/>
  <c r="D208" i="14"/>
  <c r="F146" i="14"/>
  <c r="E146" i="14"/>
  <c r="C216" i="14"/>
  <c r="E214" i="14"/>
  <c r="F214" i="14"/>
  <c r="C175" i="14"/>
  <c r="E175" i="14"/>
  <c r="F175" i="14"/>
  <c r="E32" i="14"/>
  <c r="F32" i="14"/>
  <c r="D106" i="14"/>
  <c r="D176" i="14"/>
  <c r="C286" i="14"/>
  <c r="F283" i="14"/>
  <c r="C28" i="5"/>
  <c r="C112" i="5"/>
  <c r="C111" i="5"/>
  <c r="D21" i="5"/>
  <c r="F36" i="11"/>
  <c r="F38" i="11"/>
  <c r="F40" i="11"/>
  <c r="H33" i="11"/>
  <c r="H36" i="11"/>
  <c r="H38" i="11"/>
  <c r="H40" i="11"/>
  <c r="C41" i="2"/>
  <c r="E261" i="15"/>
  <c r="E253" i="15"/>
  <c r="D286" i="14"/>
  <c r="E286" i="14"/>
  <c r="E76" i="15"/>
  <c r="E289" i="15"/>
  <c r="C56" i="19"/>
  <c r="C48" i="19"/>
  <c r="C38" i="19"/>
  <c r="C113" i="19"/>
  <c r="E280" i="14"/>
  <c r="F280" i="14"/>
  <c r="D162" i="14"/>
  <c r="D255" i="14"/>
  <c r="E255" i="14"/>
  <c r="F255" i="14"/>
  <c r="D272" i="14"/>
  <c r="E262" i="14"/>
  <c r="E54" i="19"/>
  <c r="E46" i="19"/>
  <c r="E40" i="19"/>
  <c r="E36" i="19"/>
  <c r="E30" i="19"/>
  <c r="E111" i="19"/>
  <c r="D194" i="14"/>
  <c r="E193" i="14"/>
  <c r="C287" i="14"/>
  <c r="C279" i="14"/>
  <c r="C284" i="14"/>
  <c r="E190" i="14"/>
  <c r="F190" i="14"/>
  <c r="C138" i="14"/>
  <c r="E137" i="14"/>
  <c r="F137" i="14"/>
  <c r="C207" i="14"/>
  <c r="E207" i="14"/>
  <c r="F207" i="14"/>
  <c r="C168" i="15"/>
  <c r="C145" i="15"/>
  <c r="E145" i="15"/>
  <c r="D306" i="15"/>
  <c r="E205" i="14"/>
  <c r="F205" i="14"/>
  <c r="C288" i="14"/>
  <c r="E278" i="14"/>
  <c r="F278" i="14"/>
  <c r="E181" i="14"/>
  <c r="F181" i="14"/>
  <c r="E254" i="14"/>
  <c r="E290" i="14"/>
  <c r="F290" i="14"/>
  <c r="D157" i="5"/>
  <c r="D153" i="5"/>
  <c r="D155" i="5"/>
  <c r="D154" i="5"/>
  <c r="D152" i="5"/>
  <c r="D156" i="5"/>
  <c r="D75" i="8"/>
  <c r="D17" i="10"/>
  <c r="D28" i="10"/>
  <c r="D70" i="10"/>
  <c r="D72" i="10"/>
  <c r="D69" i="10"/>
  <c r="D24" i="10"/>
  <c r="D24" i="5"/>
  <c r="D20" i="5"/>
  <c r="D17" i="5"/>
  <c r="E160" i="14"/>
  <c r="F160" i="14"/>
  <c r="E138" i="14"/>
  <c r="D259" i="15"/>
  <c r="D300" i="14"/>
  <c r="D140" i="14"/>
  <c r="D77" i="15"/>
  <c r="C259" i="15"/>
  <c r="C263" i="15"/>
  <c r="E263" i="15"/>
  <c r="C141" i="5"/>
  <c r="D268" i="14"/>
  <c r="E261" i="14"/>
  <c r="D271" i="14"/>
  <c r="D263" i="14"/>
  <c r="D241" i="15"/>
  <c r="F193" i="14"/>
  <c r="C194" i="14"/>
  <c r="C268" i="14"/>
  <c r="C263" i="14"/>
  <c r="C271" i="14"/>
  <c r="F261" i="14"/>
  <c r="E68" i="14"/>
  <c r="F68" i="14"/>
  <c r="D63" i="14"/>
  <c r="D284" i="15"/>
  <c r="E284" i="15"/>
  <c r="E22" i="15"/>
  <c r="E102" i="14"/>
  <c r="F102" i="14"/>
  <c r="C103" i="14"/>
  <c r="E37" i="14"/>
  <c r="F37" i="14"/>
  <c r="E199" i="14"/>
  <c r="F199" i="14"/>
  <c r="D140" i="5"/>
  <c r="D136" i="5"/>
  <c r="D138" i="5"/>
  <c r="D139" i="5"/>
  <c r="D137" i="5"/>
  <c r="D135" i="5"/>
  <c r="E28" i="5"/>
  <c r="E112" i="5"/>
  <c r="E111" i="5"/>
  <c r="D288" i="14"/>
  <c r="E288" i="14"/>
  <c r="F288" i="14"/>
  <c r="F285" i="14"/>
  <c r="E163" i="15"/>
  <c r="C246" i="15"/>
  <c r="D216" i="14"/>
  <c r="E216" i="14"/>
  <c r="F216" i="14"/>
  <c r="E33" i="15"/>
  <c r="D43" i="1"/>
  <c r="C112" i="19"/>
  <c r="C55" i="19"/>
  <c r="C47" i="19"/>
  <c r="C37" i="19"/>
  <c r="D47" i="19"/>
  <c r="D37" i="19"/>
  <c r="D112" i="19"/>
  <c r="D55" i="19"/>
  <c r="D270" i="14"/>
  <c r="E270" i="14"/>
  <c r="F270" i="14"/>
  <c r="E267" i="14"/>
  <c r="F267" i="14"/>
  <c r="C41" i="17"/>
  <c r="D92" i="14"/>
  <c r="D113" i="19"/>
  <c r="D56" i="19"/>
  <c r="D48" i="19"/>
  <c r="D38" i="19"/>
  <c r="D246" i="15"/>
  <c r="E246" i="15"/>
  <c r="E222" i="15"/>
  <c r="D287" i="14"/>
  <c r="D279" i="14"/>
  <c r="E279" i="14"/>
  <c r="F279" i="14"/>
  <c r="D284" i="14"/>
  <c r="E284" i="14"/>
  <c r="F284" i="14"/>
  <c r="E277" i="14"/>
  <c r="F277" i="14"/>
  <c r="E110" i="19"/>
  <c r="E53" i="19"/>
  <c r="E45" i="19"/>
  <c r="E39" i="19"/>
  <c r="E35" i="19"/>
  <c r="E29" i="19"/>
  <c r="C272" i="14"/>
  <c r="C273" i="14"/>
  <c r="F262" i="14"/>
  <c r="F254" i="14"/>
  <c r="C161" i="14"/>
  <c r="E161" i="14"/>
  <c r="F161" i="14"/>
  <c r="C126" i="14"/>
  <c r="C91" i="14"/>
  <c r="C196" i="14"/>
  <c r="C49" i="14"/>
  <c r="E21" i="14"/>
  <c r="F21" i="14"/>
  <c r="E239" i="14"/>
  <c r="F239" i="14"/>
  <c r="F159" i="14"/>
  <c r="E159" i="14"/>
  <c r="D33" i="9"/>
  <c r="E33" i="2"/>
  <c r="F33" i="2"/>
  <c r="D41" i="2"/>
  <c r="E266" i="14"/>
  <c r="F266" i="14"/>
  <c r="D125" i="14"/>
  <c r="E125" i="14"/>
  <c r="F125" i="14"/>
  <c r="D282" i="14"/>
  <c r="D281" i="14"/>
  <c r="D126" i="14"/>
  <c r="D223" i="15"/>
  <c r="E175" i="15"/>
  <c r="E71" i="15"/>
  <c r="F192" i="14"/>
  <c r="E173" i="14"/>
  <c r="C282" i="14"/>
  <c r="E43" i="15"/>
  <c r="E188" i="4"/>
  <c r="F188" i="4"/>
  <c r="F90" i="14"/>
  <c r="C158" i="5"/>
  <c r="D304" i="14"/>
  <c r="D273" i="14"/>
  <c r="E271" i="14"/>
  <c r="F271" i="14"/>
  <c r="D310" i="15"/>
  <c r="E194" i="14"/>
  <c r="D195" i="14"/>
  <c r="E195" i="14"/>
  <c r="F195" i="14"/>
  <c r="D196" i="14"/>
  <c r="D183" i="14"/>
  <c r="D323" i="14"/>
  <c r="C99" i="5"/>
  <c r="C101" i="5"/>
  <c r="C98" i="5"/>
  <c r="C22" i="5"/>
  <c r="F138" i="14"/>
  <c r="E272" i="14"/>
  <c r="C140" i="14"/>
  <c r="E140" i="14"/>
  <c r="F140" i="14"/>
  <c r="D70" i="14"/>
  <c r="F194" i="14"/>
  <c r="C195" i="14"/>
  <c r="D141" i="14"/>
  <c r="D263" i="15"/>
  <c r="E259" i="15"/>
  <c r="D141" i="5"/>
  <c r="E263" i="14"/>
  <c r="F263" i="14"/>
  <c r="D158" i="5"/>
  <c r="C281" i="14"/>
  <c r="E281" i="14"/>
  <c r="F281" i="14"/>
  <c r="D48" i="2"/>
  <c r="E41" i="2"/>
  <c r="F41" i="2"/>
  <c r="C127" i="14"/>
  <c r="E223" i="15"/>
  <c r="D247" i="15"/>
  <c r="E247" i="15"/>
  <c r="C92" i="14"/>
  <c r="E92" i="14"/>
  <c r="F92" i="14"/>
  <c r="E99" i="5"/>
  <c r="E101" i="5"/>
  <c r="E98" i="5"/>
  <c r="E22" i="5"/>
  <c r="D41" i="9"/>
  <c r="C162" i="14"/>
  <c r="E162" i="14"/>
  <c r="E287" i="14"/>
  <c r="F287" i="14"/>
  <c r="D291" i="14"/>
  <c r="D289" i="14"/>
  <c r="D324" i="14"/>
  <c r="D113" i="14"/>
  <c r="D127" i="15"/>
  <c r="D123" i="15"/>
  <c r="D112" i="15"/>
  <c r="D124" i="15"/>
  <c r="D113" i="15"/>
  <c r="D109" i="15"/>
  <c r="D122" i="15"/>
  <c r="D111" i="15"/>
  <c r="D125" i="15"/>
  <c r="D114" i="15"/>
  <c r="D126" i="15"/>
  <c r="D115" i="15"/>
  <c r="D121" i="15"/>
  <c r="D110" i="15"/>
  <c r="C169" i="15"/>
  <c r="C291" i="14"/>
  <c r="C289" i="14"/>
  <c r="E48" i="19"/>
  <c r="E38" i="19"/>
  <c r="E113" i="19"/>
  <c r="E56" i="19"/>
  <c r="C176" i="14"/>
  <c r="F176" i="14"/>
  <c r="F272" i="14"/>
  <c r="F268" i="14"/>
  <c r="E268" i="14"/>
  <c r="F286" i="14"/>
  <c r="D127" i="14"/>
  <c r="D148" i="14"/>
  <c r="E148" i="14"/>
  <c r="E126" i="14"/>
  <c r="F126" i="14"/>
  <c r="E49" i="14"/>
  <c r="F49" i="14"/>
  <c r="C50" i="14"/>
  <c r="E47" i="19"/>
  <c r="E37" i="19"/>
  <c r="E112" i="19"/>
  <c r="E55" i="19"/>
  <c r="E103" i="14"/>
  <c r="F103" i="14"/>
  <c r="D112" i="5"/>
  <c r="D111" i="5"/>
  <c r="D28" i="5"/>
  <c r="C208" i="14"/>
  <c r="C48" i="2"/>
  <c r="E48" i="2"/>
  <c r="D210" i="14"/>
  <c r="D209" i="14"/>
  <c r="E282" i="14"/>
  <c r="F282" i="14"/>
  <c r="E91" i="14"/>
  <c r="F91" i="14"/>
  <c r="C105" i="14"/>
  <c r="D211" i="14"/>
  <c r="C210" i="14"/>
  <c r="E210" i="14"/>
  <c r="F210" i="14"/>
  <c r="E50" i="14"/>
  <c r="F50" i="14"/>
  <c r="E127" i="14"/>
  <c r="F127" i="14"/>
  <c r="D116" i="15"/>
  <c r="D117" i="15"/>
  <c r="C141" i="14"/>
  <c r="E289" i="14"/>
  <c r="C197" i="14"/>
  <c r="F197" i="14"/>
  <c r="C148" i="14"/>
  <c r="D197" i="14"/>
  <c r="E197" i="14"/>
  <c r="E196" i="14"/>
  <c r="F196" i="14"/>
  <c r="D128" i="15"/>
  <c r="C183" i="14"/>
  <c r="F183" i="14"/>
  <c r="C323" i="14"/>
  <c r="F323" i="14"/>
  <c r="F162" i="14"/>
  <c r="C106" i="14"/>
  <c r="C324" i="14"/>
  <c r="C325" i="14"/>
  <c r="E105" i="14"/>
  <c r="F105" i="14"/>
  <c r="D99" i="5"/>
  <c r="D101" i="5"/>
  <c r="D98" i="5"/>
  <c r="D22" i="5"/>
  <c r="C305" i="14"/>
  <c r="D129" i="15"/>
  <c r="E291" i="14"/>
  <c r="F291" i="14"/>
  <c r="D305" i="14"/>
  <c r="D48" i="9"/>
  <c r="D322" i="14"/>
  <c r="D325" i="14"/>
  <c r="E141" i="14"/>
  <c r="F141" i="14"/>
  <c r="E304" i="14"/>
  <c r="F304" i="14"/>
  <c r="F289" i="14"/>
  <c r="E208" i="14"/>
  <c r="F208" i="14"/>
  <c r="E176" i="14"/>
  <c r="F324" i="14"/>
  <c r="E324" i="14"/>
  <c r="D131" i="15"/>
  <c r="C322" i="14"/>
  <c r="C211" i="14"/>
  <c r="E322" i="14"/>
  <c r="E106" i="14"/>
  <c r="F106" i="14"/>
  <c r="C309" i="14"/>
  <c r="D309" i="14"/>
  <c r="E305" i="14"/>
  <c r="F305" i="14"/>
  <c r="C113" i="14"/>
  <c r="E323" i="14"/>
  <c r="F148" i="14"/>
  <c r="C310" i="14"/>
  <c r="C312" i="14"/>
  <c r="D310" i="14"/>
  <c r="F322" i="14"/>
  <c r="E325" i="14"/>
  <c r="D312" i="14"/>
  <c r="E312" i="14"/>
  <c r="C313" i="14"/>
  <c r="C256" i="14"/>
  <c r="C257" i="14"/>
  <c r="C251" i="14"/>
  <c r="C314" i="14"/>
  <c r="F312" i="14"/>
  <c r="F325" i="14"/>
  <c r="C122" i="15"/>
  <c r="C111" i="15"/>
  <c r="C123" i="15"/>
  <c r="E123" i="15"/>
  <c r="C125" i="15"/>
  <c r="E125" i="15"/>
  <c r="C109" i="15"/>
  <c r="C110" i="15"/>
  <c r="C113" i="15"/>
  <c r="E113" i="15"/>
  <c r="E77" i="15"/>
  <c r="C126" i="15"/>
  <c r="E126" i="15"/>
  <c r="C115" i="15"/>
  <c r="C127" i="15"/>
  <c r="E127" i="15"/>
  <c r="C112" i="15"/>
  <c r="E112" i="15"/>
  <c r="C114" i="15"/>
  <c r="C121" i="15"/>
  <c r="C124" i="15"/>
  <c r="E66" i="15"/>
  <c r="C295" i="15"/>
  <c r="E295" i="15"/>
  <c r="C75" i="1"/>
  <c r="C315" i="14"/>
  <c r="D313" i="14"/>
  <c r="E310" i="14"/>
  <c r="F310" i="14"/>
  <c r="E113" i="14"/>
  <c r="F113" i="14"/>
  <c r="E211" i="14"/>
  <c r="F211" i="14"/>
  <c r="E309" i="14"/>
  <c r="F309" i="14"/>
  <c r="E115" i="15"/>
  <c r="E114" i="15"/>
  <c r="E111" i="15"/>
  <c r="E124" i="15"/>
  <c r="E273" i="14"/>
  <c r="F273" i="14"/>
  <c r="C306" i="15"/>
  <c r="E303" i="15"/>
  <c r="E41" i="17"/>
  <c r="F41" i="17"/>
  <c r="F39" i="17"/>
  <c r="D20" i="10"/>
  <c r="D22" i="10"/>
  <c r="D21" i="10"/>
  <c r="F38" i="1"/>
  <c r="E75" i="1"/>
  <c r="E65" i="1"/>
  <c r="F65" i="1"/>
  <c r="E38" i="1"/>
  <c r="E73" i="1"/>
  <c r="F73" i="1"/>
  <c r="E31" i="2"/>
  <c r="F31" i="2"/>
  <c r="E39" i="2"/>
  <c r="F39" i="2"/>
  <c r="E25" i="3"/>
  <c r="F25" i="3"/>
  <c r="E38" i="3"/>
  <c r="F38" i="3"/>
  <c r="E84" i="3"/>
  <c r="F84" i="3"/>
  <c r="E85" i="3"/>
  <c r="F85" i="3"/>
  <c r="E86" i="3"/>
  <c r="F86" i="3"/>
  <c r="E89" i="3"/>
  <c r="F89" i="3"/>
  <c r="E153" i="5"/>
  <c r="E157" i="5"/>
  <c r="E183" i="14"/>
  <c r="F48" i="2"/>
  <c r="E302" i="15"/>
  <c r="C101" i="15"/>
  <c r="C98" i="15"/>
  <c r="C97" i="15"/>
  <c r="C85" i="15"/>
  <c r="C96" i="15"/>
  <c r="C102" i="15"/>
  <c r="C103" i="15"/>
  <c r="C258" i="15"/>
  <c r="C84" i="15"/>
  <c r="C90" i="15"/>
  <c r="C91" i="15"/>
  <c r="E65" i="15"/>
  <c r="C294" i="15"/>
  <c r="E294" i="15"/>
  <c r="C41" i="1"/>
  <c r="C95" i="3"/>
  <c r="E95" i="3"/>
  <c r="F153" i="3"/>
  <c r="E166" i="3"/>
  <c r="F166" i="3"/>
  <c r="E18" i="4"/>
  <c r="F18" i="4"/>
  <c r="F30" i="4"/>
  <c r="F95" i="7"/>
  <c r="F38" i="8"/>
  <c r="F16" i="9"/>
  <c r="F35" i="4"/>
  <c r="D43" i="5"/>
  <c r="E198" i="6"/>
  <c r="F198" i="6"/>
  <c r="E36" i="7"/>
  <c r="F36" i="7"/>
  <c r="E96" i="7"/>
  <c r="F96" i="7"/>
  <c r="E108" i="7"/>
  <c r="F108" i="7"/>
  <c r="E113" i="7"/>
  <c r="F113" i="7"/>
  <c r="E115" i="7"/>
  <c r="F115" i="7"/>
  <c r="E117" i="7"/>
  <c r="F117" i="7"/>
  <c r="E119" i="7"/>
  <c r="F119" i="7"/>
  <c r="E38" i="8"/>
  <c r="E61" i="8"/>
  <c r="F61" i="8"/>
  <c r="E16" i="9"/>
  <c r="E39" i="9"/>
  <c r="F39" i="9"/>
  <c r="E15" i="10"/>
  <c r="E31" i="11"/>
  <c r="E33" i="11"/>
  <c r="E36" i="11"/>
  <c r="E38" i="11"/>
  <c r="E40" i="11"/>
  <c r="G33" i="11"/>
  <c r="I17" i="11"/>
  <c r="G31" i="11"/>
  <c r="I31" i="11"/>
  <c r="D57" i="5"/>
  <c r="D62" i="5"/>
  <c r="D49" i="5"/>
  <c r="E77" i="5"/>
  <c r="E71" i="5"/>
  <c r="C207" i="6"/>
  <c r="C122" i="7"/>
  <c r="C41" i="8"/>
  <c r="C65" i="8"/>
  <c r="C19" i="9"/>
  <c r="C15" i="10"/>
  <c r="E48" i="10"/>
  <c r="E42" i="10"/>
  <c r="D80" i="10"/>
  <c r="D77" i="10"/>
  <c r="C31" i="11"/>
  <c r="H31" i="11"/>
  <c r="F16" i="12"/>
  <c r="F65" i="12"/>
  <c r="F31" i="14"/>
  <c r="E31" i="14"/>
  <c r="F307" i="14"/>
  <c r="E16" i="12"/>
  <c r="E23" i="12"/>
  <c r="F23" i="12"/>
  <c r="E30" i="12"/>
  <c r="F30" i="12"/>
  <c r="E37" i="12"/>
  <c r="F37" i="12"/>
  <c r="E65" i="12"/>
  <c r="E70" i="12"/>
  <c r="F70" i="12"/>
  <c r="E84" i="12"/>
  <c r="F84" i="12"/>
  <c r="E92" i="12"/>
  <c r="F92" i="12"/>
  <c r="E99" i="12"/>
  <c r="F99" i="12"/>
  <c r="E13" i="13"/>
  <c r="F13" i="13"/>
  <c r="E17" i="13"/>
  <c r="F17" i="13"/>
  <c r="E21" i="13"/>
  <c r="F21" i="13"/>
  <c r="E17" i="14"/>
  <c r="F17" i="14"/>
  <c r="E30" i="14"/>
  <c r="E36" i="14"/>
  <c r="F36" i="14"/>
  <c r="E59" i="14"/>
  <c r="F59" i="14"/>
  <c r="C60" i="14"/>
  <c r="E123" i="14"/>
  <c r="E130" i="14"/>
  <c r="F130" i="14"/>
  <c r="E144" i="14"/>
  <c r="F144" i="14"/>
  <c r="F164" i="14"/>
  <c r="E191" i="14"/>
  <c r="C206" i="14"/>
  <c r="E229" i="14"/>
  <c r="F229" i="14"/>
  <c r="C264" i="14"/>
  <c r="F297" i="14"/>
  <c r="E307" i="14"/>
  <c r="E21" i="15"/>
  <c r="C210" i="15"/>
  <c r="C217" i="15"/>
  <c r="C243" i="15"/>
  <c r="C252" i="15"/>
  <c r="C254" i="15"/>
  <c r="E240" i="15"/>
  <c r="F19" i="17"/>
  <c r="F58" i="12"/>
  <c r="F73" i="12"/>
  <c r="F24" i="14"/>
  <c r="F30" i="14"/>
  <c r="F53" i="14"/>
  <c r="F123" i="14"/>
  <c r="E135" i="14"/>
  <c r="F135" i="14"/>
  <c r="F191" i="14"/>
  <c r="D44" i="15"/>
  <c r="D156" i="15"/>
  <c r="E178" i="15"/>
  <c r="E205" i="15"/>
  <c r="D210" i="15"/>
  <c r="D229" i="15"/>
  <c r="E229" i="15"/>
  <c r="E216" i="15"/>
  <c r="E219" i="15"/>
  <c r="D243" i="15"/>
  <c r="E244" i="15"/>
  <c r="F16" i="17"/>
  <c r="E220" i="15"/>
  <c r="E231" i="15"/>
  <c r="E19" i="17"/>
  <c r="C54" i="19"/>
  <c r="D326" i="15"/>
  <c r="C20" i="17"/>
  <c r="E20" i="17"/>
  <c r="F36" i="17"/>
  <c r="D330" i="15"/>
  <c r="E330" i="15"/>
  <c r="E326" i="15"/>
  <c r="D252" i="15"/>
  <c r="E243" i="15"/>
  <c r="D180" i="15"/>
  <c r="E210" i="15"/>
  <c r="D234" i="15"/>
  <c r="D211" i="15"/>
  <c r="D95" i="15"/>
  <c r="D98" i="15"/>
  <c r="E98" i="15"/>
  <c r="D100" i="15"/>
  <c r="E100" i="15"/>
  <c r="D89" i="15"/>
  <c r="E89" i="15"/>
  <c r="D258" i="15"/>
  <c r="D97" i="15"/>
  <c r="E97" i="15"/>
  <c r="D99" i="15"/>
  <c r="E99" i="15"/>
  <c r="E44" i="15"/>
  <c r="D87" i="15"/>
  <c r="E87" i="15"/>
  <c r="D84" i="15"/>
  <c r="D96" i="15"/>
  <c r="D85" i="15"/>
  <c r="E85" i="15"/>
  <c r="D101" i="15"/>
  <c r="E101" i="15"/>
  <c r="D86" i="15"/>
  <c r="E86" i="15"/>
  <c r="D83" i="15"/>
  <c r="D88" i="15"/>
  <c r="E88" i="15"/>
  <c r="C234" i="15"/>
  <c r="C211" i="15"/>
  <c r="C180" i="15"/>
  <c r="E264" i="14"/>
  <c r="F264" i="14"/>
  <c r="C300" i="14"/>
  <c r="C265" i="14"/>
  <c r="E60" i="14"/>
  <c r="C61" i="14"/>
  <c r="F60" i="14"/>
  <c r="C33" i="9"/>
  <c r="F19" i="9"/>
  <c r="E19" i="9"/>
  <c r="C43" i="8"/>
  <c r="F207" i="6"/>
  <c r="E207" i="6"/>
  <c r="E24" i="10"/>
  <c r="E20" i="10"/>
  <c r="E17" i="10"/>
  <c r="E28" i="10"/>
  <c r="C43" i="1"/>
  <c r="E41" i="1"/>
  <c r="F41" i="1"/>
  <c r="C264" i="15"/>
  <c r="C266" i="15"/>
  <c r="C267" i="15"/>
  <c r="E158" i="5"/>
  <c r="C310" i="15"/>
  <c r="E310" i="15"/>
  <c r="E306" i="15"/>
  <c r="E109" i="15"/>
  <c r="E122" i="15"/>
  <c r="C128" i="15"/>
  <c r="E128" i="15"/>
  <c r="F20" i="17"/>
  <c r="E156" i="15"/>
  <c r="D157" i="15"/>
  <c r="D168" i="15"/>
  <c r="E168" i="15"/>
  <c r="C241" i="15"/>
  <c r="E241" i="15"/>
  <c r="E217" i="15"/>
  <c r="C24" i="10"/>
  <c r="C20" i="10"/>
  <c r="C17" i="10"/>
  <c r="C28" i="10"/>
  <c r="C75" i="8"/>
  <c r="F65" i="8"/>
  <c r="E65" i="8"/>
  <c r="G36" i="11"/>
  <c r="G38" i="11"/>
  <c r="G40" i="11"/>
  <c r="I33" i="11"/>
  <c r="I36" i="11"/>
  <c r="I38" i="11"/>
  <c r="I40" i="11"/>
  <c r="F95" i="3"/>
  <c r="C105" i="15"/>
  <c r="E122" i="7"/>
  <c r="F122" i="7"/>
  <c r="E206" i="14"/>
  <c r="F206" i="14"/>
  <c r="D315" i="14"/>
  <c r="E315" i="14"/>
  <c r="D251" i="14"/>
  <c r="E251" i="14"/>
  <c r="F251" i="14"/>
  <c r="D256" i="14"/>
  <c r="D314" i="14"/>
  <c r="E313" i="14"/>
  <c r="F313" i="14"/>
  <c r="F315" i="14"/>
  <c r="F75" i="1"/>
  <c r="E41" i="8"/>
  <c r="F41" i="8"/>
  <c r="C129" i="15"/>
  <c r="E129" i="15"/>
  <c r="E121" i="15"/>
  <c r="C116" i="15"/>
  <c r="E116" i="15"/>
  <c r="E110" i="15"/>
  <c r="C318" i="14"/>
  <c r="E256" i="14"/>
  <c r="F256" i="14"/>
  <c r="D257" i="14"/>
  <c r="E257" i="14"/>
  <c r="F257" i="14"/>
  <c r="E75" i="8"/>
  <c r="F75" i="8"/>
  <c r="E157" i="15"/>
  <c r="D169" i="15"/>
  <c r="E169" i="15"/>
  <c r="E43" i="1"/>
  <c r="F43" i="1"/>
  <c r="E70" i="10"/>
  <c r="E72" i="10"/>
  <c r="E69" i="10"/>
  <c r="E22" i="10"/>
  <c r="C41" i="9"/>
  <c r="E33" i="9"/>
  <c r="F33" i="9"/>
  <c r="C62" i="14"/>
  <c r="C104" i="14"/>
  <c r="C139" i="14"/>
  <c r="E61" i="14"/>
  <c r="C174" i="14"/>
  <c r="F61" i="14"/>
  <c r="C209" i="14"/>
  <c r="E300" i="14"/>
  <c r="F300" i="14"/>
  <c r="C235" i="15"/>
  <c r="C181" i="15"/>
  <c r="D90" i="15"/>
  <c r="E90" i="15"/>
  <c r="E84" i="15"/>
  <c r="D181" i="15"/>
  <c r="D235" i="15"/>
  <c r="E235" i="15"/>
  <c r="E211" i="15"/>
  <c r="F318" i="14"/>
  <c r="D318" i="14"/>
  <c r="E318" i="14"/>
  <c r="E314" i="14"/>
  <c r="F314" i="14"/>
  <c r="C70" i="10"/>
  <c r="C72" i="10"/>
  <c r="C69" i="10"/>
  <c r="C22" i="10"/>
  <c r="C117" i="15"/>
  <c r="C268" i="15"/>
  <c r="C271" i="15"/>
  <c r="C269" i="15"/>
  <c r="F43" i="8"/>
  <c r="E43" i="8"/>
  <c r="F265" i="14"/>
  <c r="E265" i="14"/>
  <c r="E83" i="15"/>
  <c r="D91" i="15"/>
  <c r="E96" i="15"/>
  <c r="D102" i="15"/>
  <c r="E102" i="15"/>
  <c r="E258" i="15"/>
  <c r="D264" i="15"/>
  <c r="D103" i="15"/>
  <c r="E103" i="15"/>
  <c r="E95" i="15"/>
  <c r="E234" i="15"/>
  <c r="E180" i="15"/>
  <c r="E252" i="15"/>
  <c r="D254" i="15"/>
  <c r="E254" i="15"/>
  <c r="E174" i="14"/>
  <c r="F174" i="14"/>
  <c r="C63" i="14"/>
  <c r="E62" i="14"/>
  <c r="F62" i="14"/>
  <c r="E209" i="14"/>
  <c r="F209" i="14"/>
  <c r="E139" i="14"/>
  <c r="F139" i="14"/>
  <c r="E264" i="15"/>
  <c r="D266" i="15"/>
  <c r="D105" i="15"/>
  <c r="E105" i="15"/>
  <c r="E91" i="15"/>
  <c r="C131" i="15"/>
  <c r="E131" i="15"/>
  <c r="E117" i="15"/>
  <c r="E181" i="15"/>
  <c r="E104" i="14"/>
  <c r="F104" i="14"/>
  <c r="C48" i="9"/>
  <c r="E41" i="9"/>
  <c r="F41" i="9"/>
  <c r="E48" i="9"/>
  <c r="F48" i="9"/>
  <c r="E266" i="15"/>
  <c r="D267" i="15"/>
  <c r="C70" i="14"/>
  <c r="E63" i="14"/>
  <c r="F63" i="14"/>
  <c r="E70" i="14"/>
  <c r="F70" i="14"/>
  <c r="E267" i="15"/>
  <c r="D268" i="15"/>
  <c r="D269" i="15"/>
  <c r="E269" i="15"/>
  <c r="E268" i="15"/>
  <c r="D271" i="15"/>
  <c r="E271" i="15"/>
</calcChain>
</file>

<file path=xl/sharedStrings.xml><?xml version="1.0" encoding="utf-8"?>
<sst xmlns="http://schemas.openxmlformats.org/spreadsheetml/2006/main" count="2320" uniqueCount="997">
  <si>
    <t>MANCHESTER MEMORIAL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</si>
  <si>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</si>
  <si>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</si>
  <si>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</si>
  <si>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</si>
  <si>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</si>
  <si>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</si>
  <si>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</si>
  <si>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</si>
  <si>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</si>
  <si>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</si>
  <si>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</si>
  <si>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</si>
  <si>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</si>
  <si>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</si>
  <si>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</si>
  <si>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</si>
  <si>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</si>
  <si>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</si>
  <si>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</si>
  <si>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</si>
  <si>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</si>
  <si>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</si>
  <si>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</si>
  <si>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</si>
  <si>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</si>
  <si>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</si>
  <si>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</si>
  <si>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</si>
  <si>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</si>
  <si>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</si>
  <si>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</si>
  <si>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</si>
  <si>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</si>
  <si>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</si>
  <si>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</si>
  <si>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</si>
  <si>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</si>
  <si>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</si>
  <si>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</si>
  <si>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</si>
  <si>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</si>
  <si>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</si>
  <si>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</si>
  <si>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</si>
  <si>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</si>
  <si>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</si>
  <si>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</si>
  <si>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</si>
  <si>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</si>
  <si>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</si>
  <si>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</si>
  <si>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</si>
  <si>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</si>
  <si>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</si>
  <si>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</si>
  <si>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</si>
  <si>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</si>
  <si>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</si>
  <si>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</si>
  <si>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</si>
  <si>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</si>
  <si>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</si>
  <si>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</si>
  <si>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</si>
  <si>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</si>
  <si>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</si>
  <si>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</si>
  <si>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</si>
  <si>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</si>
  <si>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</si>
  <si>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</si>
  <si>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</si>
  <si>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</si>
  <si>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</si>
  <si>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</si>
  <si>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</si>
  <si>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</si>
  <si>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</si>
  <si>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</si>
  <si>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</si>
  <si>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</si>
  <si>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</si>
  <si>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</si>
  <si>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</si>
  <si>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</si>
  <si>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</si>
  <si>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</si>
  <si>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</si>
  <si>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</si>
  <si>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</si>
  <si>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</si>
  <si>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</si>
  <si>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</si>
  <si>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</si>
  <si>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</si>
  <si>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</si>
  <si>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</si>
  <si>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</si>
  <si>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</si>
  <si>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</si>
  <si>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</si>
  <si>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</si>
  <si>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</si>
  <si>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</si>
  <si>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</si>
  <si>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</si>
  <si>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</si>
  <si>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</si>
  <si>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</si>
  <si>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</si>
  <si>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</si>
  <si>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</si>
  <si>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</si>
  <si>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</si>
  <si>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</si>
  <si>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</si>
  <si>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</si>
  <si>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</si>
  <si>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</si>
  <si>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</si>
  <si>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</si>
  <si>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</si>
  <si>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</si>
  <si>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</si>
  <si>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</si>
  <si>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</si>
  <si>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</si>
  <si>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</si>
  <si>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</si>
  <si>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</si>
  <si>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</si>
  <si>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</si>
  <si>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</si>
  <si>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</si>
  <si>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</si>
  <si>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</si>
  <si>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</si>
  <si>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</si>
  <si>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</si>
  <si>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</si>
  <si>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</si>
  <si>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</si>
  <si>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</si>
  <si>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</si>
  <si>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</si>
  <si>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</si>
  <si>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</si>
  <si>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</si>
  <si>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</si>
  <si>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</si>
  <si>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</si>
  <si>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</si>
  <si>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</si>
  <si>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</si>
  <si>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</si>
  <si>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</si>
  <si>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</si>
  <si>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</si>
  <si>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</si>
  <si>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</si>
  <si>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</si>
  <si>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</si>
  <si>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</si>
  <si>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</si>
  <si>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</si>
  <si>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</si>
  <si>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</si>
  <si>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</si>
  <si>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</si>
  <si>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</si>
  <si>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</si>
  <si>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</si>
  <si>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</si>
  <si>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</si>
  <si>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</si>
  <si>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</si>
  <si>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</si>
  <si>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</si>
  <si>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</si>
  <si>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</si>
  <si>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</si>
  <si>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</si>
  <si>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</si>
  <si>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</si>
  <si>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</si>
  <si>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</si>
  <si>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</si>
  <si>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</si>
  <si>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</si>
  <si>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</si>
  <si>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</si>
  <si>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</si>
  <si>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</si>
  <si>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</si>
  <si>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</si>
  <si>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</si>
  <si>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</si>
  <si>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</si>
  <si>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</si>
  <si>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</si>
  <si>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</si>
  <si>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</si>
  <si>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</si>
  <si>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</si>
  <si>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</si>
  <si>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</si>
  <si>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</si>
  <si>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</si>
  <si>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</si>
  <si>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</si>
  <si>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</si>
  <si>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</si>
  <si>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</si>
  <si>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</si>
  <si>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</si>
  <si>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</si>
  <si>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</si>
  <si>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</si>
  <si>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</si>
  <si>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</si>
  <si>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</si>
  <si>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</si>
  <si>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</si>
  <si>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</si>
  <si>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</si>
  <si>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</si>
  <si>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</si>
  <si>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</si>
  <si>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</si>
  <si>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</si>
  <si>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</si>
  <si>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</si>
  <si>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</si>
  <si>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</si>
  <si>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</si>
  <si>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</si>
  <si>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</si>
  <si>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</si>
  <si>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</si>
  <si>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</si>
  <si>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</si>
  <si>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</si>
  <si>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</si>
  <si>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</si>
  <si>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</si>
  <si>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</si>
  <si>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</si>
  <si>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</si>
  <si>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</si>
  <si>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</si>
  <si>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</si>
  <si>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</si>
  <si>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</si>
  <si>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</si>
  <si>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</si>
  <si>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</si>
  <si>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</si>
  <si>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</si>
  <si>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</si>
  <si>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</si>
  <si>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</si>
  <si>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</si>
  <si>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</si>
  <si>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</si>
  <si>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</si>
  <si>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</si>
  <si>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</si>
  <si>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</si>
  <si>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</si>
  <si>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</si>
  <si>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</si>
  <si>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</si>
  <si>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</si>
  <si>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</si>
  <si>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</si>
  <si>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</si>
  <si>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</si>
  <si>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</si>
  <si>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</si>
  <si>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</si>
  <si>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</si>
  <si>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</si>
  <si>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</si>
  <si>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</si>
  <si>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</si>
  <si>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</si>
  <si>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</si>
  <si>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</si>
  <si>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</si>
  <si>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</si>
  <si>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</si>
  <si>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</si>
  <si>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</si>
  <si>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</si>
  <si>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</si>
  <si>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</si>
  <si>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</si>
  <si>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</si>
  <si>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</si>
  <si>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</si>
  <si>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</si>
  <si>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</si>
  <si>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</si>
  <si>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</si>
  <si>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</si>
  <si>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</si>
  <si>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</si>
  <si>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</si>
  <si>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</si>
  <si>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</si>
  <si>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</si>
  <si>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</si>
  <si>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</si>
  <si>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</si>
  <si>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</si>
  <si>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</si>
  <si>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</si>
  <si>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</si>
  <si>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</si>
  <si>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</si>
  <si>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</si>
  <si>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</si>
  <si>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</si>
  <si>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</si>
  <si>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</si>
  <si>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</si>
  <si>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</si>
  <si>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</si>
  <si>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</si>
  <si>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</si>
  <si>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</si>
  <si>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</si>
  <si>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</si>
  <si>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</si>
  <si>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</si>
  <si>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</si>
  <si>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</si>
  <si>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</si>
  <si>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</si>
  <si>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</si>
  <si>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</si>
  <si>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</si>
  <si>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</si>
  <si>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</si>
  <si>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</si>
  <si>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</si>
  <si>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</si>
  <si>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</si>
  <si>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</si>
  <si>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</si>
  <si>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</si>
  <si>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</si>
  <si>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</si>
  <si>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</si>
  <si>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</si>
  <si>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</si>
  <si>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</si>
  <si>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</si>
  <si>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</si>
  <si>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</si>
  <si>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</si>
  <si>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</si>
  <si>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</si>
  <si>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</si>
  <si>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</si>
  <si>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</si>
  <si>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</si>
  <si>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</si>
  <si>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</si>
  <si>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</si>
  <si>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</si>
  <si>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</si>
  <si>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</si>
  <si>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</si>
  <si>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</si>
  <si>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</si>
  <si>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</si>
  <si>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</si>
  <si>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</si>
  <si>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</si>
  <si>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</si>
  <si>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</si>
  <si>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</si>
  <si>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</si>
  <si>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</si>
  <si>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</si>
  <si>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</si>
  <si>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</si>
  <si>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</si>
  <si>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</si>
  <si>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</si>
  <si>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</si>
  <si>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</si>
  <si>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</si>
  <si>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</si>
  <si>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</si>
  <si>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</si>
  <si>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</si>
  <si>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</si>
  <si>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</si>
  <si>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</si>
  <si>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</si>
  <si>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</si>
  <si>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</si>
  <si>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</si>
  <si>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</si>
  <si>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</si>
  <si>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</si>
  <si>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</si>
  <si>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</si>
  <si>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</si>
  <si>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</si>
  <si>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</si>
  <si>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</si>
  <si>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</si>
  <si>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</si>
  <si>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</si>
  <si>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</si>
  <si>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</si>
  <si>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</si>
  <si>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</si>
  <si>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</si>
  <si>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</si>
  <si>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</si>
  <si>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</si>
  <si>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</si>
  <si>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</si>
  <si>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</si>
  <si>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</si>
  <si>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</si>
  <si>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</si>
  <si>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</si>
  <si>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</si>
  <si>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</si>
  <si>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</si>
  <si>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</si>
  <si>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</si>
  <si>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</si>
  <si>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</si>
  <si>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</si>
  <si>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</si>
  <si>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</si>
  <si>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</si>
  <si>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</si>
  <si>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</si>
  <si>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</si>
  <si>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</si>
  <si>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</si>
  <si>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</si>
  <si>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</si>
  <si>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</si>
  <si>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</si>
  <si>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</si>
  <si>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</si>
  <si>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</si>
  <si>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</si>
  <si>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</si>
  <si>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</si>
  <si>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</si>
  <si>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</si>
  <si>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</si>
  <si>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</si>
  <si>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</si>
  <si>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</si>
  <si>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</si>
  <si>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</si>
  <si>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</si>
  <si>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</si>
  <si>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</si>
  <si>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</si>
  <si>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</si>
  <si>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</si>
  <si>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</si>
  <si>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</si>
  <si>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</si>
  <si>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</si>
  <si>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</si>
  <si>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</si>
  <si>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</si>
  <si>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</si>
  <si>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</si>
  <si>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</si>
  <si>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</si>
  <si>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</si>
  <si>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</si>
  <si>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</si>
  <si>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</si>
  <si>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</si>
  <si>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</si>
  <si>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</si>
  <si>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CONNECTICUT HEALTH NETWORK,INC.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</si>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</sst>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10880739</v>
      </c>
      <c r="D13" s="23">
        <v>6414687</v>
      </c>
      <c r="E13" s="23">
        <f t="shared" ref="E13:E22" si="0">D13-C13</f>
        <v>-4466052</v>
      </c>
      <c r="F13" s="24">
        <f t="shared" ref="F13:F22" si="1">IF(C13=0,0,E13/C13)</f>
        <v>-0.41045484134855176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24700330</v>
      </c>
      <c r="D15" s="23">
        <v>26534856</v>
      </c>
      <c r="E15" s="23">
        <f t="shared" si="0"/>
        <v>1834526</v>
      </c>
      <c r="F15" s="24">
        <f t="shared" si="1"/>
        <v>7.4271315403478422E-2</v>
      </c>
    </row>
    <row r="16" spans="1:8" ht="24" customHeight="1" x14ac:dyDescent="0.2">
      <c r="A16" s="21">
        <v>4</v>
      </c>
      <c r="B16" s="22" t="s">
        <v>19</v>
      </c>
      <c r="C16" s="23">
        <v>803195</v>
      </c>
      <c r="D16" s="23">
        <v>4781749</v>
      </c>
      <c r="E16" s="23">
        <f t="shared" si="0"/>
        <v>3978554</v>
      </c>
      <c r="F16" s="24">
        <f t="shared" si="1"/>
        <v>4.9534098195332392</v>
      </c>
    </row>
    <row r="17" spans="1:11" ht="24" customHeight="1" x14ac:dyDescent="0.2">
      <c r="A17" s="21">
        <v>5</v>
      </c>
      <c r="B17" s="22" t="s">
        <v>20</v>
      </c>
      <c r="C17" s="23">
        <v>419887</v>
      </c>
      <c r="D17" s="23">
        <v>484258</v>
      </c>
      <c r="E17" s="23">
        <f t="shared" si="0"/>
        <v>64371</v>
      </c>
      <c r="F17" s="24">
        <f t="shared" si="1"/>
        <v>0.15330553220271168</v>
      </c>
    </row>
    <row r="18" spans="1:11" ht="24" customHeight="1" x14ac:dyDescent="0.2">
      <c r="A18" s="21">
        <v>6</v>
      </c>
      <c r="B18" s="22" t="s">
        <v>21</v>
      </c>
      <c r="C18" s="23">
        <v>432832</v>
      </c>
      <c r="D18" s="23">
        <v>3549365</v>
      </c>
      <c r="E18" s="23">
        <f t="shared" si="0"/>
        <v>3116533</v>
      </c>
      <c r="F18" s="24">
        <f t="shared" si="1"/>
        <v>7.2003294580807333</v>
      </c>
    </row>
    <row r="19" spans="1:11" ht="24" customHeight="1" x14ac:dyDescent="0.2">
      <c r="A19" s="21">
        <v>7</v>
      </c>
      <c r="B19" s="22" t="s">
        <v>22</v>
      </c>
      <c r="C19" s="23">
        <v>2591838</v>
      </c>
      <c r="D19" s="23">
        <v>2660785</v>
      </c>
      <c r="E19" s="23">
        <f t="shared" si="0"/>
        <v>68947</v>
      </c>
      <c r="F19" s="24">
        <f t="shared" si="1"/>
        <v>2.6601585438596084E-2</v>
      </c>
    </row>
    <row r="20" spans="1:11" ht="24" customHeight="1" x14ac:dyDescent="0.2">
      <c r="A20" s="21">
        <v>8</v>
      </c>
      <c r="B20" s="22" t="s">
        <v>23</v>
      </c>
      <c r="C20" s="23">
        <v>1380570</v>
      </c>
      <c r="D20" s="23">
        <v>2028449</v>
      </c>
      <c r="E20" s="23">
        <f t="shared" si="0"/>
        <v>647879</v>
      </c>
      <c r="F20" s="24">
        <f t="shared" si="1"/>
        <v>0.46928370165945948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41209391</v>
      </c>
      <c r="D22" s="27">
        <f>SUM(D13:D21)</f>
        <v>46454149</v>
      </c>
      <c r="E22" s="27">
        <f t="shared" si="0"/>
        <v>5244758</v>
      </c>
      <c r="F22" s="28">
        <f t="shared" si="1"/>
        <v>0.12727094171326142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3259163</v>
      </c>
      <c r="D25" s="23">
        <v>8555283</v>
      </c>
      <c r="E25" s="23">
        <f>D25-C25</f>
        <v>5296120</v>
      </c>
      <c r="F25" s="24">
        <f>IF(C25=0,0,E25/C25)</f>
        <v>1.6249939018085318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15263421</v>
      </c>
      <c r="D28" s="23">
        <v>11603808</v>
      </c>
      <c r="E28" s="23">
        <f>D28-C28</f>
        <v>-3659613</v>
      </c>
      <c r="F28" s="24">
        <f>IF(C28=0,0,E28/C28)</f>
        <v>-0.23976361524719786</v>
      </c>
    </row>
    <row r="29" spans="1:11" ht="24" customHeight="1" x14ac:dyDescent="0.25">
      <c r="A29" s="25"/>
      <c r="B29" s="26" t="s">
        <v>32</v>
      </c>
      <c r="C29" s="27">
        <f>SUM(C25:C28)</f>
        <v>18522584</v>
      </c>
      <c r="D29" s="27">
        <f>SUM(D25:D28)</f>
        <v>20159091</v>
      </c>
      <c r="E29" s="27">
        <f>D29-C29</f>
        <v>1636507</v>
      </c>
      <c r="F29" s="28">
        <f>IF(C29=0,0,E29/C29)</f>
        <v>8.8351981559376375E-2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3872533</v>
      </c>
      <c r="D31" s="23">
        <v>6199192</v>
      </c>
      <c r="E31" s="23">
        <f>D31-C31</f>
        <v>2326659</v>
      </c>
      <c r="F31" s="24">
        <f>IF(C31=0,0,E31/C31)</f>
        <v>0.60081063221410891</v>
      </c>
    </row>
    <row r="32" spans="1:11" ht="24" customHeight="1" x14ac:dyDescent="0.2">
      <c r="A32" s="21">
        <v>6</v>
      </c>
      <c r="B32" s="22" t="s">
        <v>34</v>
      </c>
      <c r="C32" s="23">
        <v>10937437</v>
      </c>
      <c r="D32" s="23">
        <v>12113908</v>
      </c>
      <c r="E32" s="23">
        <f>D32-C32</f>
        <v>1176471</v>
      </c>
      <c r="F32" s="24">
        <f>IF(C32=0,0,E32/C32)</f>
        <v>0.10756368242395362</v>
      </c>
    </row>
    <row r="33" spans="1:8" ht="24" customHeight="1" x14ac:dyDescent="0.2">
      <c r="A33" s="21">
        <v>7</v>
      </c>
      <c r="B33" s="22" t="s">
        <v>35</v>
      </c>
      <c r="C33" s="23">
        <v>21408045</v>
      </c>
      <c r="D33" s="23">
        <v>33827422</v>
      </c>
      <c r="E33" s="23">
        <f>D33-C33</f>
        <v>12419377</v>
      </c>
      <c r="F33" s="24">
        <f>IF(C33=0,0,E33/C33)</f>
        <v>0.58012662996551068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187641424</v>
      </c>
      <c r="D36" s="23">
        <v>192484982</v>
      </c>
      <c r="E36" s="23">
        <f>D36-C36</f>
        <v>4843558</v>
      </c>
      <c r="F36" s="24">
        <f>IF(C36=0,0,E36/C36)</f>
        <v>2.5812839706439234E-2</v>
      </c>
    </row>
    <row r="37" spans="1:8" ht="24" customHeight="1" x14ac:dyDescent="0.2">
      <c r="A37" s="21">
        <v>2</v>
      </c>
      <c r="B37" s="22" t="s">
        <v>39</v>
      </c>
      <c r="C37" s="23">
        <v>137494546</v>
      </c>
      <c r="D37" s="23">
        <v>143593394</v>
      </c>
      <c r="E37" s="23">
        <f>D37-C37</f>
        <v>6098848</v>
      </c>
      <c r="F37" s="24">
        <f>IF(C37=0,0,E37/C37)</f>
        <v>4.4357017623084485E-2</v>
      </c>
    </row>
    <row r="38" spans="1:8" ht="24" customHeight="1" x14ac:dyDescent="0.25">
      <c r="A38" s="25"/>
      <c r="B38" s="26" t="s">
        <v>40</v>
      </c>
      <c r="C38" s="27">
        <f>C36-C37</f>
        <v>50146878</v>
      </c>
      <c r="D38" s="27">
        <f>D36-D37</f>
        <v>48891588</v>
      </c>
      <c r="E38" s="27">
        <f>D38-C38</f>
        <v>-1255290</v>
      </c>
      <c r="F38" s="28">
        <f>IF(C38=0,0,E38/C38)</f>
        <v>-2.5032266216054366E-2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1937620</v>
      </c>
      <c r="D40" s="23">
        <v>2426034</v>
      </c>
      <c r="E40" s="23">
        <f>D40-C40</f>
        <v>488414</v>
      </c>
      <c r="F40" s="24">
        <f>IF(C40=0,0,E40/C40)</f>
        <v>0.25206903314375367</v>
      </c>
    </row>
    <row r="41" spans="1:8" ht="24" customHeight="1" x14ac:dyDescent="0.25">
      <c r="A41" s="25"/>
      <c r="B41" s="26" t="s">
        <v>42</v>
      </c>
      <c r="C41" s="27">
        <f>+C38+C40</f>
        <v>52084498</v>
      </c>
      <c r="D41" s="27">
        <f>+D38+D40</f>
        <v>51317622</v>
      </c>
      <c r="E41" s="27">
        <f>D41-C41</f>
        <v>-766876</v>
      </c>
      <c r="F41" s="28">
        <f>IF(C41=0,0,E41/C41)</f>
        <v>-1.4723689954734708E-2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148034488</v>
      </c>
      <c r="D43" s="27">
        <f>D22+D29+D31+D32+D33+D41</f>
        <v>170071384</v>
      </c>
      <c r="E43" s="27">
        <f>D43-C43</f>
        <v>22036896</v>
      </c>
      <c r="F43" s="28">
        <f>IF(C43=0,0,E43/C43)</f>
        <v>0.14886325678378406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13253092</v>
      </c>
      <c r="D49" s="23">
        <v>14802176</v>
      </c>
      <c r="E49" s="23">
        <f t="shared" ref="E49:E56" si="2">D49-C49</f>
        <v>1549084</v>
      </c>
      <c r="F49" s="24">
        <f t="shared" ref="F49:F56" si="3">IF(C49=0,0,E49/C49)</f>
        <v>0.11688472395724711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2445753</v>
      </c>
      <c r="D50" s="23">
        <v>2900006</v>
      </c>
      <c r="E50" s="23">
        <f t="shared" si="2"/>
        <v>454253</v>
      </c>
      <c r="F50" s="24">
        <f t="shared" si="3"/>
        <v>0.18573134736009728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1420022</v>
      </c>
      <c r="D51" s="23">
        <v>1343126</v>
      </c>
      <c r="E51" s="23">
        <f t="shared" si="2"/>
        <v>-76896</v>
      </c>
      <c r="F51" s="24">
        <f t="shared" si="3"/>
        <v>-5.4151273712660791E-2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2283655</v>
      </c>
      <c r="D52" s="23">
        <v>818583</v>
      </c>
      <c r="E52" s="23">
        <f t="shared" si="2"/>
        <v>-1465072</v>
      </c>
      <c r="F52" s="24">
        <f t="shared" si="3"/>
        <v>-0.64154699374467683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8797182</v>
      </c>
      <c r="D53" s="23">
        <v>7675582</v>
      </c>
      <c r="E53" s="23">
        <f t="shared" si="2"/>
        <v>-1121600</v>
      </c>
      <c r="F53" s="24">
        <f t="shared" si="3"/>
        <v>-0.12749537295011062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1169961</v>
      </c>
      <c r="D54" s="23">
        <v>2723177</v>
      </c>
      <c r="E54" s="23">
        <f t="shared" si="2"/>
        <v>1553216</v>
      </c>
      <c r="F54" s="24">
        <f t="shared" si="3"/>
        <v>1.3275792953782219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11236219</v>
      </c>
      <c r="D55" s="23">
        <v>5159945</v>
      </c>
      <c r="E55" s="23">
        <f t="shared" si="2"/>
        <v>-6076274</v>
      </c>
      <c r="F55" s="24">
        <f t="shared" si="3"/>
        <v>-0.54077568263843911</v>
      </c>
    </row>
    <row r="56" spans="1:6" ht="24" customHeight="1" x14ac:dyDescent="0.25">
      <c r="A56" s="25"/>
      <c r="B56" s="26" t="s">
        <v>54</v>
      </c>
      <c r="C56" s="27">
        <f>SUM(C49:C55)</f>
        <v>40605884</v>
      </c>
      <c r="D56" s="27">
        <f>SUM(D49:D55)</f>
        <v>35422595</v>
      </c>
      <c r="E56" s="27">
        <f t="shared" si="2"/>
        <v>-5183289</v>
      </c>
      <c r="F56" s="28">
        <f t="shared" si="3"/>
        <v>-0.12764871711695772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43315158</v>
      </c>
      <c r="D59" s="23">
        <v>42025800</v>
      </c>
      <c r="E59" s="23">
        <f>D59-C59</f>
        <v>-1289358</v>
      </c>
      <c r="F59" s="24">
        <f>IF(C59=0,0,E59/C59)</f>
        <v>-2.9766900538605909E-2</v>
      </c>
    </row>
    <row r="60" spans="1:6" ht="24" customHeight="1" x14ac:dyDescent="0.2">
      <c r="A60" s="21">
        <v>2</v>
      </c>
      <c r="B60" s="22" t="s">
        <v>57</v>
      </c>
      <c r="C60" s="23">
        <v>6393587</v>
      </c>
      <c r="D60" s="23">
        <v>9646833</v>
      </c>
      <c r="E60" s="23">
        <f>D60-C60</f>
        <v>3253246</v>
      </c>
      <c r="F60" s="24">
        <f>IF(C60=0,0,E60/C60)</f>
        <v>0.50882955061063528</v>
      </c>
    </row>
    <row r="61" spans="1:6" ht="24" customHeight="1" x14ac:dyDescent="0.25">
      <c r="A61" s="25"/>
      <c r="B61" s="26" t="s">
        <v>58</v>
      </c>
      <c r="C61" s="27">
        <f>SUM(C59:C60)</f>
        <v>49708745</v>
      </c>
      <c r="D61" s="27">
        <f>SUM(D59:D60)</f>
        <v>51672633</v>
      </c>
      <c r="E61" s="27">
        <f>D61-C61</f>
        <v>1963888</v>
      </c>
      <c r="F61" s="28">
        <f>IF(C61=0,0,E61/C61)</f>
        <v>3.9507897453456127E-2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43370197</v>
      </c>
      <c r="D63" s="23">
        <v>57470806</v>
      </c>
      <c r="E63" s="23">
        <f>D63-C63</f>
        <v>14100609</v>
      </c>
      <c r="F63" s="24">
        <f>IF(C63=0,0,E63/C63)</f>
        <v>0.32512208787061769</v>
      </c>
    </row>
    <row r="64" spans="1:6" ht="24" customHeight="1" x14ac:dyDescent="0.2">
      <c r="A64" s="21">
        <v>4</v>
      </c>
      <c r="B64" s="22" t="s">
        <v>60</v>
      </c>
      <c r="C64" s="23">
        <v>2208020</v>
      </c>
      <c r="D64" s="23">
        <v>10499577</v>
      </c>
      <c r="E64" s="23">
        <f>D64-C64</f>
        <v>8291557</v>
      </c>
      <c r="F64" s="24">
        <f>IF(C64=0,0,E64/C64)</f>
        <v>3.7552001340567567</v>
      </c>
    </row>
    <row r="65" spans="1:6" ht="24" customHeight="1" x14ac:dyDescent="0.25">
      <c r="A65" s="25"/>
      <c r="B65" s="26" t="s">
        <v>61</v>
      </c>
      <c r="C65" s="27">
        <f>SUM(C61:C64)</f>
        <v>95286962</v>
      </c>
      <c r="D65" s="27">
        <f>SUM(D61:D64)</f>
        <v>119643016</v>
      </c>
      <c r="E65" s="27">
        <f>D65-C65</f>
        <v>24356054</v>
      </c>
      <c r="F65" s="28">
        <f>IF(C65=0,0,E65/C65)</f>
        <v>0.2556074145799716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3473307</v>
      </c>
      <c r="D70" s="23">
        <v>4925515</v>
      </c>
      <c r="E70" s="23">
        <f>D70-C70</f>
        <v>1452208</v>
      </c>
      <c r="F70" s="24">
        <f>IF(C70=0,0,E70/C70)</f>
        <v>0.41810528122046225</v>
      </c>
    </row>
    <row r="71" spans="1:6" ht="24" customHeight="1" x14ac:dyDescent="0.2">
      <c r="A71" s="21">
        <v>2</v>
      </c>
      <c r="B71" s="22" t="s">
        <v>65</v>
      </c>
      <c r="C71" s="23">
        <v>988702</v>
      </c>
      <c r="D71" s="23">
        <v>1905069</v>
      </c>
      <c r="E71" s="23">
        <f>D71-C71</f>
        <v>916367</v>
      </c>
      <c r="F71" s="24">
        <f>IF(C71=0,0,E71/C71)</f>
        <v>0.92683842047452114</v>
      </c>
    </row>
    <row r="72" spans="1:6" ht="24" customHeight="1" x14ac:dyDescent="0.2">
      <c r="A72" s="21">
        <v>3</v>
      </c>
      <c r="B72" s="22" t="s">
        <v>66</v>
      </c>
      <c r="C72" s="23">
        <v>7679633</v>
      </c>
      <c r="D72" s="23">
        <v>8175189</v>
      </c>
      <c r="E72" s="23">
        <f>D72-C72</f>
        <v>495556</v>
      </c>
      <c r="F72" s="24">
        <f>IF(C72=0,0,E72/C72)</f>
        <v>6.4528604426800085E-2</v>
      </c>
    </row>
    <row r="73" spans="1:6" ht="24" customHeight="1" x14ac:dyDescent="0.25">
      <c r="A73" s="21"/>
      <c r="B73" s="26" t="s">
        <v>67</v>
      </c>
      <c r="C73" s="27">
        <f>SUM(C70:C72)</f>
        <v>12141642</v>
      </c>
      <c r="D73" s="27">
        <f>SUM(D70:D72)</f>
        <v>15005773</v>
      </c>
      <c r="E73" s="27">
        <f>D73-C73</f>
        <v>2864131</v>
      </c>
      <c r="F73" s="28">
        <f>IF(C73=0,0,E73/C73)</f>
        <v>0.23589321773776561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148034488</v>
      </c>
      <c r="D75" s="27">
        <f>D56+D65+D67+D73</f>
        <v>170071384</v>
      </c>
      <c r="E75" s="27">
        <f>D75-C75</f>
        <v>22036896</v>
      </c>
      <c r="F75" s="28">
        <f>IF(C75=0,0,E75/C75)</f>
        <v>0.14886325678378406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262817891</v>
      </c>
      <c r="D11" s="51">
        <v>261348876</v>
      </c>
      <c r="E11" s="51">
        <v>277042997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17826849</v>
      </c>
      <c r="D12" s="49">
        <v>19641309</v>
      </c>
      <c r="E12" s="49">
        <v>28839184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280644740</v>
      </c>
      <c r="D13" s="51">
        <f>+D11+D12</f>
        <v>280990185</v>
      </c>
      <c r="E13" s="51">
        <f>+E11+E12</f>
        <v>305882181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274106412</v>
      </c>
      <c r="D14" s="49">
        <v>280947508</v>
      </c>
      <c r="E14" s="49">
        <v>300954489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6538328</v>
      </c>
      <c r="D15" s="51">
        <f>+D13-D14</f>
        <v>42677</v>
      </c>
      <c r="E15" s="51">
        <f>+E13-E14</f>
        <v>4927692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-1785503</v>
      </c>
      <c r="D16" s="49">
        <v>-1341596</v>
      </c>
      <c r="E16" s="49">
        <v>-1200536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4752825</v>
      </c>
      <c r="D17" s="51">
        <f>D15+D16</f>
        <v>-1298919</v>
      </c>
      <c r="E17" s="51">
        <f>E15+E16</f>
        <v>3727156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2.3446696872372205E-2</v>
      </c>
      <c r="D20" s="169">
        <f>IF(+D27=0,0,+D24/+D27)</f>
        <v>1.5260938792006565E-4</v>
      </c>
      <c r="E20" s="169">
        <f>IF(+E27=0,0,+E24/+E27)</f>
        <v>1.6173248637934852E-2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-6.4028827562201216E-3</v>
      </c>
      <c r="D21" s="169">
        <f>IF(+D27=0,0,+D26/+D27)</f>
        <v>-4.7974352554305214E-3</v>
      </c>
      <c r="E21" s="169">
        <f>IF(+E27=0,0,+E26/+E27)</f>
        <v>-3.9402964363015698E-3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1.7043814116152085E-2</v>
      </c>
      <c r="D22" s="169">
        <f>IF(+D27=0,0,+D28/+D27)</f>
        <v>-4.6448258675104558E-3</v>
      </c>
      <c r="E22" s="169">
        <f>IF(+E27=0,0,+E28/+E27)</f>
        <v>1.2232952201633281E-2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6538328</v>
      </c>
      <c r="D24" s="51">
        <f>+D15</f>
        <v>42677</v>
      </c>
      <c r="E24" s="51">
        <f>+E15</f>
        <v>4927692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280644740</v>
      </c>
      <c r="D25" s="51">
        <f>+D13</f>
        <v>280990185</v>
      </c>
      <c r="E25" s="51">
        <f>+E13</f>
        <v>305882181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-1785503</v>
      </c>
      <c r="D26" s="51">
        <f>+D16</f>
        <v>-1341596</v>
      </c>
      <c r="E26" s="51">
        <f>+E16</f>
        <v>-1200536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278859237</v>
      </c>
      <c r="D27" s="51">
        <f>SUM(D25:D26)</f>
        <v>279648589</v>
      </c>
      <c r="E27" s="51">
        <f>SUM(E25:E26)</f>
        <v>304681645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4752825</v>
      </c>
      <c r="D28" s="51">
        <f>+D17</f>
        <v>-1298919</v>
      </c>
      <c r="E28" s="51">
        <f>+E17</f>
        <v>3727156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54654325</v>
      </c>
      <c r="D31" s="51">
        <v>41815956</v>
      </c>
      <c r="E31" s="52">
        <v>36549384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71476482</v>
      </c>
      <c r="D32" s="51">
        <v>55161657</v>
      </c>
      <c r="E32" s="51">
        <v>51601261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-3957194</v>
      </c>
      <c r="D33" s="51">
        <f>+D32-C32</f>
        <v>-16314825</v>
      </c>
      <c r="E33" s="51">
        <f>+E32-D32</f>
        <v>-3560396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0.94750000000000001</v>
      </c>
      <c r="D34" s="171">
        <f>IF(C32=0,0,+D33/C32)</f>
        <v>-0.22825444878498638</v>
      </c>
      <c r="E34" s="171">
        <f>IF(D32=0,0,+E33/D32)</f>
        <v>-6.4544761590464919E-2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1.3887115137181509</v>
      </c>
      <c r="D38" s="269">
        <f>IF(+D40=0,0,+D39/+D40)</f>
        <v>1.2552876757622056</v>
      </c>
      <c r="E38" s="269">
        <f>IF(+E40=0,0,+E39/+E40)</f>
        <v>1.456033453204683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69908525</v>
      </c>
      <c r="D39" s="270">
        <v>71146925</v>
      </c>
      <c r="E39" s="270">
        <v>85875895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50340567</v>
      </c>
      <c r="D40" s="270">
        <v>56677785</v>
      </c>
      <c r="E40" s="270">
        <v>58979342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27.266321899246435</v>
      </c>
      <c r="D42" s="271">
        <f>IF((D48/365)=0,0,+D45/(D48/365))</f>
        <v>28.477312220814834</v>
      </c>
      <c r="E42" s="271">
        <f>IF((E48/365)=0,0,+E45/(E48/365))</f>
        <v>25.31276254323226</v>
      </c>
    </row>
    <row r="43" spans="1:14" ht="24" customHeight="1" x14ac:dyDescent="0.2">
      <c r="A43" s="17">
        <v>5</v>
      </c>
      <c r="B43" s="188" t="s">
        <v>16</v>
      </c>
      <c r="C43" s="272">
        <v>19538406</v>
      </c>
      <c r="D43" s="272">
        <v>20991180</v>
      </c>
      <c r="E43" s="272">
        <v>20052067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19538406</v>
      </c>
      <c r="D45" s="270">
        <f>+D43+D44</f>
        <v>20991180</v>
      </c>
      <c r="E45" s="270">
        <f>+E43+E44</f>
        <v>20052067</v>
      </c>
    </row>
    <row r="46" spans="1:14" ht="24" customHeight="1" x14ac:dyDescent="0.2">
      <c r="A46" s="17">
        <v>8</v>
      </c>
      <c r="B46" s="45" t="s">
        <v>336</v>
      </c>
      <c r="C46" s="270">
        <f>+C14</f>
        <v>274106412</v>
      </c>
      <c r="D46" s="270">
        <f>+D14</f>
        <v>280947508</v>
      </c>
      <c r="E46" s="270">
        <f>+E14</f>
        <v>300954489</v>
      </c>
    </row>
    <row r="47" spans="1:14" ht="24" customHeight="1" x14ac:dyDescent="0.2">
      <c r="A47" s="17">
        <v>9</v>
      </c>
      <c r="B47" s="45" t="s">
        <v>359</v>
      </c>
      <c r="C47" s="270">
        <v>12555983</v>
      </c>
      <c r="D47" s="270">
        <v>11898918</v>
      </c>
      <c r="E47" s="270">
        <v>11811633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261550429</v>
      </c>
      <c r="D48" s="270">
        <f>+D46-D47</f>
        <v>269048590</v>
      </c>
      <c r="E48" s="270">
        <f>+E46-E47</f>
        <v>289142856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55.147395654278348</v>
      </c>
      <c r="D50" s="278">
        <f>IF((D55/365)=0,0,+D54/(D55/365))</f>
        <v>53.031335746016367</v>
      </c>
      <c r="E50" s="278">
        <f>IF((E55/365)=0,0,+E54/(E55/365))</f>
        <v>63.661404749386243</v>
      </c>
    </row>
    <row r="51" spans="1:5" ht="24" customHeight="1" x14ac:dyDescent="0.2">
      <c r="A51" s="17">
        <v>12</v>
      </c>
      <c r="B51" s="188" t="s">
        <v>362</v>
      </c>
      <c r="C51" s="279">
        <v>39411447</v>
      </c>
      <c r="D51" s="279">
        <v>39643428</v>
      </c>
      <c r="E51" s="279">
        <v>46711256</v>
      </c>
    </row>
    <row r="52" spans="1:5" ht="24" customHeight="1" x14ac:dyDescent="0.2">
      <c r="A52" s="17">
        <v>13</v>
      </c>
      <c r="B52" s="188" t="s">
        <v>21</v>
      </c>
      <c r="C52" s="270">
        <v>721274</v>
      </c>
      <c r="D52" s="270">
        <v>432832</v>
      </c>
      <c r="E52" s="270">
        <v>4402920</v>
      </c>
    </row>
    <row r="53" spans="1:5" ht="24" customHeight="1" x14ac:dyDescent="0.2">
      <c r="A53" s="17">
        <v>14</v>
      </c>
      <c r="B53" s="188" t="s">
        <v>49</v>
      </c>
      <c r="C53" s="270">
        <v>423893</v>
      </c>
      <c r="D53" s="270">
        <v>2104534</v>
      </c>
      <c r="E53" s="270">
        <v>2793775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39708828</v>
      </c>
      <c r="D54" s="280">
        <f>+D51+D52-D53</f>
        <v>37971726</v>
      </c>
      <c r="E54" s="280">
        <f>+E51+E52-E53</f>
        <v>48320401</v>
      </c>
    </row>
    <row r="55" spans="1:5" ht="24" customHeight="1" x14ac:dyDescent="0.2">
      <c r="A55" s="17">
        <v>16</v>
      </c>
      <c r="B55" s="45" t="s">
        <v>75</v>
      </c>
      <c r="C55" s="270">
        <f>+C11</f>
        <v>262817891</v>
      </c>
      <c r="D55" s="270">
        <f>+D11</f>
        <v>261348876</v>
      </c>
      <c r="E55" s="270">
        <f>+E11</f>
        <v>277042997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70.25148849975696</v>
      </c>
      <c r="D57" s="283">
        <f>IF((D61/365)=0,0,+D58/(D61/365))</f>
        <v>76.890912251203403</v>
      </c>
      <c r="E57" s="283">
        <f>IF((E61/365)=0,0,+E58/(E61/365))</f>
        <v>74.452677571947333</v>
      </c>
    </row>
    <row r="58" spans="1:5" ht="24" customHeight="1" x14ac:dyDescent="0.2">
      <c r="A58" s="17">
        <v>18</v>
      </c>
      <c r="B58" s="45" t="s">
        <v>54</v>
      </c>
      <c r="C58" s="281">
        <f>+C40</f>
        <v>50340567</v>
      </c>
      <c r="D58" s="281">
        <f>+D40</f>
        <v>56677785</v>
      </c>
      <c r="E58" s="281">
        <f>+E40</f>
        <v>58979342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274106412</v>
      </c>
      <c r="D59" s="281">
        <f t="shared" si="0"/>
        <v>280947508</v>
      </c>
      <c r="E59" s="281">
        <f t="shared" si="0"/>
        <v>300954489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12555983</v>
      </c>
      <c r="D60" s="176">
        <f t="shared" si="0"/>
        <v>11898918</v>
      </c>
      <c r="E60" s="176">
        <f t="shared" si="0"/>
        <v>11811633</v>
      </c>
    </row>
    <row r="61" spans="1:5" ht="24" customHeight="1" x14ac:dyDescent="0.2">
      <c r="A61" s="17">
        <v>21</v>
      </c>
      <c r="B61" s="45" t="s">
        <v>365</v>
      </c>
      <c r="C61" s="281">
        <f>+C59-C60</f>
        <v>261550429</v>
      </c>
      <c r="D61" s="281">
        <f>+D59-D60</f>
        <v>269048590</v>
      </c>
      <c r="E61" s="281">
        <f>+E59-E60</f>
        <v>289142856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27.142618567265377</v>
      </c>
      <c r="D65" s="284">
        <f>IF(D67=0,0,(D66/D67)*100)</f>
        <v>21.030814139247386</v>
      </c>
      <c r="E65" s="284">
        <f>IF(E67=0,0,(E66/E67)*100)</f>
        <v>18.214987550307306</v>
      </c>
    </row>
    <row r="66" spans="1:5" ht="24" customHeight="1" x14ac:dyDescent="0.2">
      <c r="A66" s="17">
        <v>2</v>
      </c>
      <c r="B66" s="45" t="s">
        <v>67</v>
      </c>
      <c r="C66" s="281">
        <f>+C32</f>
        <v>71476482</v>
      </c>
      <c r="D66" s="281">
        <f>+D32</f>
        <v>55161657</v>
      </c>
      <c r="E66" s="281">
        <f>+E32</f>
        <v>51601261</v>
      </c>
    </row>
    <row r="67" spans="1:5" ht="24" customHeight="1" x14ac:dyDescent="0.2">
      <c r="A67" s="17">
        <v>3</v>
      </c>
      <c r="B67" s="45" t="s">
        <v>43</v>
      </c>
      <c r="C67" s="281">
        <v>263336722</v>
      </c>
      <c r="D67" s="281">
        <v>262289689</v>
      </c>
      <c r="E67" s="281">
        <v>283290125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13.105421203286358</v>
      </c>
      <c r="D69" s="284">
        <f>IF(D75=0,0,(D72/D75)*100)</f>
        <v>7.3963999764152506</v>
      </c>
      <c r="E69" s="284">
        <f>IF(E75=0,0,(E72/E75)*100)</f>
        <v>10.605155130874639</v>
      </c>
    </row>
    <row r="70" spans="1:5" ht="24" customHeight="1" x14ac:dyDescent="0.2">
      <c r="A70" s="17">
        <v>5</v>
      </c>
      <c r="B70" s="45" t="s">
        <v>370</v>
      </c>
      <c r="C70" s="281">
        <f>+C28</f>
        <v>4752825</v>
      </c>
      <c r="D70" s="281">
        <f>+D28</f>
        <v>-1298919</v>
      </c>
      <c r="E70" s="281">
        <f>+E28</f>
        <v>3727156</v>
      </c>
    </row>
    <row r="71" spans="1:5" ht="24" customHeight="1" x14ac:dyDescent="0.2">
      <c r="A71" s="17">
        <v>6</v>
      </c>
      <c r="B71" s="45" t="s">
        <v>359</v>
      </c>
      <c r="C71" s="176">
        <f>+C47</f>
        <v>12555983</v>
      </c>
      <c r="D71" s="176">
        <f>+D47</f>
        <v>11898918</v>
      </c>
      <c r="E71" s="176">
        <f>+E47</f>
        <v>11811633</v>
      </c>
    </row>
    <row r="72" spans="1:5" ht="24" customHeight="1" x14ac:dyDescent="0.2">
      <c r="A72" s="17">
        <v>7</v>
      </c>
      <c r="B72" s="45" t="s">
        <v>371</v>
      </c>
      <c r="C72" s="281">
        <f>+C70+C71</f>
        <v>17308808</v>
      </c>
      <c r="D72" s="281">
        <f>+D70+D71</f>
        <v>10599999</v>
      </c>
      <c r="E72" s="281">
        <f>+E70+E71</f>
        <v>15538789</v>
      </c>
    </row>
    <row r="73" spans="1:5" ht="24" customHeight="1" x14ac:dyDescent="0.2">
      <c r="A73" s="17">
        <v>8</v>
      </c>
      <c r="B73" s="45" t="s">
        <v>54</v>
      </c>
      <c r="C73" s="270">
        <f>+C40</f>
        <v>50340567</v>
      </c>
      <c r="D73" s="270">
        <f>+D40</f>
        <v>56677785</v>
      </c>
      <c r="E73" s="270">
        <f>+E40</f>
        <v>58979342</v>
      </c>
    </row>
    <row r="74" spans="1:5" ht="24" customHeight="1" x14ac:dyDescent="0.2">
      <c r="A74" s="17">
        <v>9</v>
      </c>
      <c r="B74" s="45" t="s">
        <v>58</v>
      </c>
      <c r="C74" s="281">
        <v>81733082</v>
      </c>
      <c r="D74" s="281">
        <v>86635165</v>
      </c>
      <c r="E74" s="281">
        <v>87541749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132073649</v>
      </c>
      <c r="D75" s="270">
        <f>+D73+D74</f>
        <v>143312950</v>
      </c>
      <c r="E75" s="270">
        <f>+E73+E74</f>
        <v>146521091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53.347245345597351</v>
      </c>
      <c r="D77" s="286">
        <f>IF(D80=0,0,(D78/D80)*100)</f>
        <v>61.098100633031116</v>
      </c>
      <c r="E77" s="286">
        <f>IF(E80=0,0,(E78/E80)*100)</f>
        <v>62.914945565716884</v>
      </c>
    </row>
    <row r="78" spans="1:5" ht="24" customHeight="1" x14ac:dyDescent="0.2">
      <c r="A78" s="17">
        <v>12</v>
      </c>
      <c r="B78" s="45" t="s">
        <v>58</v>
      </c>
      <c r="C78" s="270">
        <f>+C74</f>
        <v>81733082</v>
      </c>
      <c r="D78" s="270">
        <f>+D74</f>
        <v>86635165</v>
      </c>
      <c r="E78" s="270">
        <f>+E74</f>
        <v>87541749</v>
      </c>
    </row>
    <row r="79" spans="1:5" ht="24" customHeight="1" x14ac:dyDescent="0.2">
      <c r="A79" s="17">
        <v>13</v>
      </c>
      <c r="B79" s="45" t="s">
        <v>67</v>
      </c>
      <c r="C79" s="270">
        <f>+C32</f>
        <v>71476482</v>
      </c>
      <c r="D79" s="270">
        <f>+D32</f>
        <v>55161657</v>
      </c>
      <c r="E79" s="270">
        <f>+E32</f>
        <v>51601261</v>
      </c>
    </row>
    <row r="80" spans="1:5" ht="24" customHeight="1" x14ac:dyDescent="0.2">
      <c r="A80" s="17">
        <v>14</v>
      </c>
      <c r="B80" s="45" t="s">
        <v>374</v>
      </c>
      <c r="C80" s="270">
        <f>+C78+C79</f>
        <v>153209564</v>
      </c>
      <c r="D80" s="270">
        <f>+D78+D79</f>
        <v>141796822</v>
      </c>
      <c r="E80" s="270">
        <f>+E78+E79</f>
        <v>139143010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22399</v>
      </c>
      <c r="D11" s="296">
        <v>5123</v>
      </c>
      <c r="E11" s="296">
        <v>4862</v>
      </c>
      <c r="F11" s="297">
        <v>82</v>
      </c>
      <c r="G11" s="297">
        <v>158</v>
      </c>
      <c r="H11" s="298">
        <f>IF(F11=0,0,$C11/(F11*365))</f>
        <v>0.74837955228867359</v>
      </c>
      <c r="I11" s="298">
        <f>IF(G11=0,0,$C11/(G11*365))</f>
        <v>0.38839951447893184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6059</v>
      </c>
      <c r="D13" s="296">
        <v>761</v>
      </c>
      <c r="E13" s="296">
        <v>0</v>
      </c>
      <c r="F13" s="297">
        <v>22</v>
      </c>
      <c r="G13" s="297">
        <v>25</v>
      </c>
      <c r="H13" s="298">
        <f>IF(F13=0,0,$C13/(F13*365))</f>
        <v>0.75454545454545452</v>
      </c>
      <c r="I13" s="298">
        <f>IF(G13=0,0,$C13/(G13*365))</f>
        <v>0.66400000000000003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1318</v>
      </c>
      <c r="D15" s="296">
        <v>223</v>
      </c>
      <c r="E15" s="296">
        <v>220</v>
      </c>
      <c r="F15" s="297">
        <v>5</v>
      </c>
      <c r="G15" s="297">
        <v>10</v>
      </c>
      <c r="H15" s="298">
        <f t="shared" ref="H15:I17" si="0">IF(F15=0,0,$C15/(F15*365))</f>
        <v>0.72219178082191782</v>
      </c>
      <c r="I15" s="298">
        <f t="shared" si="0"/>
        <v>0.36109589041095891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8095</v>
      </c>
      <c r="D16" s="296">
        <v>1170</v>
      </c>
      <c r="E16" s="296">
        <v>1152</v>
      </c>
      <c r="F16" s="297">
        <v>26</v>
      </c>
      <c r="G16" s="297">
        <v>26</v>
      </c>
      <c r="H16" s="298">
        <f t="shared" si="0"/>
        <v>0.85300316122233932</v>
      </c>
      <c r="I16" s="298">
        <f t="shared" si="0"/>
        <v>0.85300316122233932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9413</v>
      </c>
      <c r="D17" s="300">
        <f>SUM(D15:D16)</f>
        <v>1393</v>
      </c>
      <c r="E17" s="300">
        <f>SUM(E15:E16)</f>
        <v>1372</v>
      </c>
      <c r="F17" s="300">
        <f>SUM(F15:F16)</f>
        <v>31</v>
      </c>
      <c r="G17" s="300">
        <f>SUM(G15:G16)</f>
        <v>36</v>
      </c>
      <c r="H17" s="301">
        <f t="shared" si="0"/>
        <v>0.83190455148033582</v>
      </c>
      <c r="I17" s="301">
        <f t="shared" si="0"/>
        <v>0.71636225266362252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3453</v>
      </c>
      <c r="D21" s="296">
        <v>1261</v>
      </c>
      <c r="E21" s="296">
        <v>1261</v>
      </c>
      <c r="F21" s="297">
        <v>15</v>
      </c>
      <c r="G21" s="297">
        <v>30</v>
      </c>
      <c r="H21" s="298">
        <f>IF(F21=0,0,$C21/(F21*365))</f>
        <v>0.63068493150684934</v>
      </c>
      <c r="I21" s="298">
        <f>IF(G21=0,0,$C21/(G21*365))</f>
        <v>0.31534246575342467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4221</v>
      </c>
      <c r="D23" s="296">
        <v>1054</v>
      </c>
      <c r="E23" s="296">
        <v>1248</v>
      </c>
      <c r="F23" s="297">
        <v>21</v>
      </c>
      <c r="G23" s="297">
        <v>34</v>
      </c>
      <c r="H23" s="298">
        <f>IF(F23=0,0,$C23/(F23*365))</f>
        <v>0.55068493150684927</v>
      </c>
      <c r="I23" s="298">
        <f>IF(G23=0,0,$C23/(G23*365))</f>
        <v>0.34012892828364222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41324</v>
      </c>
      <c r="D31" s="300">
        <f>SUM(D10:D29)-D13-D17-D23</f>
        <v>7777</v>
      </c>
      <c r="E31" s="300">
        <f>SUM(E10:E29)-E17-E23</f>
        <v>7495</v>
      </c>
      <c r="F31" s="300">
        <f>SUM(F10:F29)-F17-F23</f>
        <v>150</v>
      </c>
      <c r="G31" s="300">
        <f>SUM(G10:G29)-G17-G23</f>
        <v>249</v>
      </c>
      <c r="H31" s="301">
        <f>IF(F31=0,0,$C31/(F31*365))</f>
        <v>0.75477625570776252</v>
      </c>
      <c r="I31" s="301">
        <f>IF(G31=0,0,$C31/(G31*365))</f>
        <v>0.45468449139021838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45545</v>
      </c>
      <c r="D33" s="300">
        <f>SUM(D10:D29)-D13-D17</f>
        <v>8831</v>
      </c>
      <c r="E33" s="300">
        <f>SUM(E10:E29)-E17</f>
        <v>8743</v>
      </c>
      <c r="F33" s="300">
        <f>SUM(F10:F29)-F17</f>
        <v>171</v>
      </c>
      <c r="G33" s="300">
        <f>SUM(G10:G29)-G17</f>
        <v>283</v>
      </c>
      <c r="H33" s="301">
        <f>IF(F33=0,0,$C33/(F33*365))</f>
        <v>0.72971240887607147</v>
      </c>
      <c r="I33" s="301">
        <f>IF(G33=0,0,$C33/(G33*365))</f>
        <v>0.44092163221840358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45545</v>
      </c>
      <c r="D36" s="300">
        <f t="shared" si="1"/>
        <v>8831</v>
      </c>
      <c r="E36" s="300">
        <f t="shared" si="1"/>
        <v>8743</v>
      </c>
      <c r="F36" s="300">
        <f t="shared" si="1"/>
        <v>171</v>
      </c>
      <c r="G36" s="300">
        <f t="shared" si="1"/>
        <v>283</v>
      </c>
      <c r="H36" s="301">
        <f t="shared" si="1"/>
        <v>0.72971240887607147</v>
      </c>
      <c r="I36" s="301">
        <f t="shared" si="1"/>
        <v>0.44092163221840358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43475</v>
      </c>
      <c r="D37" s="300">
        <v>9281</v>
      </c>
      <c r="E37" s="300">
        <v>9092</v>
      </c>
      <c r="F37" s="302">
        <v>171</v>
      </c>
      <c r="G37" s="302">
        <v>283</v>
      </c>
      <c r="H37" s="301">
        <f>IF(F37=0,0,$C37/(F37*365))</f>
        <v>0.69654730433389411</v>
      </c>
      <c r="I37" s="301">
        <f>IF(G37=0,0,$C37/(G37*365))</f>
        <v>0.42088194007454377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2070</v>
      </c>
      <c r="D38" s="300">
        <f t="shared" si="2"/>
        <v>-450</v>
      </c>
      <c r="E38" s="300">
        <f t="shared" si="2"/>
        <v>-349</v>
      </c>
      <c r="F38" s="300">
        <f t="shared" si="2"/>
        <v>0</v>
      </c>
      <c r="G38" s="300">
        <f t="shared" si="2"/>
        <v>0</v>
      </c>
      <c r="H38" s="301">
        <f t="shared" si="2"/>
        <v>3.3165104542177359E-2</v>
      </c>
      <c r="I38" s="301">
        <f t="shared" si="2"/>
        <v>2.0039692143859811E-2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4.7613571017826338E-2</v>
      </c>
      <c r="D40" s="148">
        <f t="shared" si="3"/>
        <v>-4.848615450921237E-2</v>
      </c>
      <c r="E40" s="148">
        <f t="shared" si="3"/>
        <v>-3.8385393752749672E-2</v>
      </c>
      <c r="F40" s="148">
        <f t="shared" si="3"/>
        <v>0</v>
      </c>
      <c r="G40" s="148">
        <f t="shared" si="3"/>
        <v>0</v>
      </c>
      <c r="H40" s="148">
        <f t="shared" si="3"/>
        <v>4.7613571017826331E-2</v>
      </c>
      <c r="I40" s="148">
        <f t="shared" si="3"/>
        <v>4.7613571017826317E-2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283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4253</v>
      </c>
      <c r="D12" s="296">
        <v>3821</v>
      </c>
      <c r="E12" s="296">
        <f>+D12-C12</f>
        <v>-432</v>
      </c>
      <c r="F12" s="316">
        <f>IF(C12=0,0,+E12/C12)</f>
        <v>-0.10157535857042088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10204</v>
      </c>
      <c r="D13" s="296">
        <v>9033</v>
      </c>
      <c r="E13" s="296">
        <f>+D13-C13</f>
        <v>-1171</v>
      </c>
      <c r="F13" s="316">
        <f>IF(C13=0,0,+E13/C13)</f>
        <v>-0.11475891807134457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3695</v>
      </c>
      <c r="D14" s="296">
        <v>3270</v>
      </c>
      <c r="E14" s="296">
        <f>+D14-C14</f>
        <v>-425</v>
      </c>
      <c r="F14" s="316">
        <f>IF(C14=0,0,+E14/C14)</f>
        <v>-0.11502029769959404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18152</v>
      </c>
      <c r="D16" s="300">
        <f>SUM(D12:D15)</f>
        <v>16124</v>
      </c>
      <c r="E16" s="300">
        <f>+D16-C16</f>
        <v>-2028</v>
      </c>
      <c r="F16" s="309">
        <f>IF(C16=0,0,+E16/C16)</f>
        <v>-0.1117232260907889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524</v>
      </c>
      <c r="D19" s="296">
        <v>520</v>
      </c>
      <c r="E19" s="296">
        <f>+D19-C19</f>
        <v>-4</v>
      </c>
      <c r="F19" s="316">
        <f>IF(C19=0,0,+E19/C19)</f>
        <v>-7.6335877862595417E-3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3143</v>
      </c>
      <c r="D20" s="296">
        <v>2714</v>
      </c>
      <c r="E20" s="296">
        <f>+D20-C20</f>
        <v>-429</v>
      </c>
      <c r="F20" s="316">
        <f>IF(C20=0,0,+E20/C20)</f>
        <v>-0.13649379573655743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64</v>
      </c>
      <c r="D21" s="296">
        <v>56</v>
      </c>
      <c r="E21" s="296">
        <f>+D21-C21</f>
        <v>-8</v>
      </c>
      <c r="F21" s="316">
        <f>IF(C21=0,0,+E21/C21)</f>
        <v>-0.125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3731</v>
      </c>
      <c r="D23" s="300">
        <f>SUM(D19:D22)</f>
        <v>3290</v>
      </c>
      <c r="E23" s="300">
        <f>+D23-C23</f>
        <v>-441</v>
      </c>
      <c r="F23" s="309">
        <f>IF(C23=0,0,+E23/C23)</f>
        <v>-0.11819887429643527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2</v>
      </c>
      <c r="D26" s="296">
        <v>0</v>
      </c>
      <c r="E26" s="296">
        <f>+D26-C26</f>
        <v>-2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2</v>
      </c>
      <c r="D27" s="296">
        <v>1</v>
      </c>
      <c r="E27" s="296">
        <f>+D27-C27</f>
        <v>-1</v>
      </c>
      <c r="F27" s="316">
        <f>IF(C27=0,0,+E27/C27)</f>
        <v>-0.5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4</v>
      </c>
      <c r="D30" s="300">
        <f>SUM(D26:D29)</f>
        <v>1</v>
      </c>
      <c r="E30" s="300">
        <f>+D30-C30</f>
        <v>-3</v>
      </c>
      <c r="F30" s="309">
        <f>IF(C30=0,0,+E30/C30)</f>
        <v>-0.75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1</v>
      </c>
      <c r="E33" s="296">
        <f>+D33-C33</f>
        <v>1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409</v>
      </c>
      <c r="D34" s="296">
        <v>468</v>
      </c>
      <c r="E34" s="296">
        <f>+D34-C34</f>
        <v>59</v>
      </c>
      <c r="F34" s="316">
        <f>IF(C34=0,0,+E34/C34)</f>
        <v>0.14425427872860636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409</v>
      </c>
      <c r="D37" s="300">
        <f>SUM(D33:D36)</f>
        <v>469</v>
      </c>
      <c r="E37" s="300">
        <f>+D37-C37</f>
        <v>60</v>
      </c>
      <c r="F37" s="309">
        <f>IF(C37=0,0,+E37/C37)</f>
        <v>0.14669926650366749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2</v>
      </c>
      <c r="D58" s="296">
        <v>0</v>
      </c>
      <c r="E58" s="296">
        <f>+D58-C58</f>
        <v>-2</v>
      </c>
      <c r="F58" s="316">
        <f>IF(C58=0,0,+E58/C58)</f>
        <v>-1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98</v>
      </c>
      <c r="D59" s="296">
        <v>86</v>
      </c>
      <c r="E59" s="296">
        <f>+D59-C59</f>
        <v>-12</v>
      </c>
      <c r="F59" s="316">
        <f>IF(C59=0,0,+E59/C59)</f>
        <v>-0.12244897959183673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100</v>
      </c>
      <c r="D60" s="300">
        <f>SUM(D58:D59)</f>
        <v>86</v>
      </c>
      <c r="E60" s="300">
        <f>SUM(E58:E59)</f>
        <v>-14</v>
      </c>
      <c r="F60" s="309">
        <f>IF(C60=0,0,+E60/C60)</f>
        <v>-0.14000000000000001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1596</v>
      </c>
      <c r="D63" s="296">
        <v>1283</v>
      </c>
      <c r="E63" s="296">
        <f>+D63-C63</f>
        <v>-313</v>
      </c>
      <c r="F63" s="316">
        <f>IF(C63=0,0,+E63/C63)</f>
        <v>-0.19611528822055138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5099</v>
      </c>
      <c r="D64" s="296">
        <v>5274</v>
      </c>
      <c r="E64" s="296">
        <f>+D64-C64</f>
        <v>175</v>
      </c>
      <c r="F64" s="316">
        <f>IF(C64=0,0,+E64/C64)</f>
        <v>3.432045499117474E-2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6695</v>
      </c>
      <c r="D65" s="300">
        <f>SUM(D63:D64)</f>
        <v>6557</v>
      </c>
      <c r="E65" s="300">
        <f>+D65-C65</f>
        <v>-138</v>
      </c>
      <c r="F65" s="309">
        <f>IF(C65=0,0,+E65/C65)</f>
        <v>-2.0612397311426438E-2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520</v>
      </c>
      <c r="D68" s="296">
        <v>500</v>
      </c>
      <c r="E68" s="296">
        <f>+D68-C68</f>
        <v>-20</v>
      </c>
      <c r="F68" s="316">
        <f>IF(C68=0,0,+E68/C68)</f>
        <v>-3.8461538461538464E-2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6418</v>
      </c>
      <c r="D69" s="296">
        <v>6043</v>
      </c>
      <c r="E69" s="296">
        <f>+D69-C69</f>
        <v>-375</v>
      </c>
      <c r="F69" s="318">
        <f>IF(C69=0,0,+E69/C69)</f>
        <v>-5.8429417263945155E-2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6938</v>
      </c>
      <c r="D70" s="300">
        <f>SUM(D68:D69)</f>
        <v>6543</v>
      </c>
      <c r="E70" s="300">
        <f>+D70-C70</f>
        <v>-395</v>
      </c>
      <c r="F70" s="309">
        <f>IF(C70=0,0,+E70/C70)</f>
        <v>-5.6932833669645432E-2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5332</v>
      </c>
      <c r="D73" s="319">
        <v>5028</v>
      </c>
      <c r="E73" s="296">
        <f>+D73-C73</f>
        <v>-304</v>
      </c>
      <c r="F73" s="316">
        <f>IF(C73=0,0,+E73/C73)</f>
        <v>-5.7014253563390849E-2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42502</v>
      </c>
      <c r="D74" s="319">
        <v>41475</v>
      </c>
      <c r="E74" s="296">
        <f>+D74-C74</f>
        <v>-1027</v>
      </c>
      <c r="F74" s="316">
        <f>IF(C74=0,0,+E74/C74)</f>
        <v>-2.4163568773234202E-2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47834</v>
      </c>
      <c r="D75" s="300">
        <f>SUM(D73:D74)</f>
        <v>46503</v>
      </c>
      <c r="E75" s="300">
        <f>SUM(E73:E74)</f>
        <v>-1331</v>
      </c>
      <c r="F75" s="309">
        <f>IF(C75=0,0,+E75/C75)</f>
        <v>-2.7825396161725968E-2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75062</v>
      </c>
      <c r="D81" s="319">
        <v>79870</v>
      </c>
      <c r="E81" s="296">
        <f t="shared" si="0"/>
        <v>4808</v>
      </c>
      <c r="F81" s="316">
        <f t="shared" si="1"/>
        <v>6.4053715595108043E-2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75062</v>
      </c>
      <c r="D84" s="320">
        <f>SUM(D79:D83)</f>
        <v>79870</v>
      </c>
      <c r="E84" s="300">
        <f t="shared" si="0"/>
        <v>4808</v>
      </c>
      <c r="F84" s="309">
        <f t="shared" si="1"/>
        <v>6.4053715595108043E-2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67913</v>
      </c>
      <c r="D87" s="322">
        <v>70415</v>
      </c>
      <c r="E87" s="323">
        <f t="shared" ref="E87:E92" si="2">+D87-C87</f>
        <v>2502</v>
      </c>
      <c r="F87" s="318">
        <f t="shared" ref="F87:F92" si="3">IF(C87=0,0,+E87/C87)</f>
        <v>3.684125277929115E-2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7230</v>
      </c>
      <c r="D88" s="322">
        <v>6788</v>
      </c>
      <c r="E88" s="296">
        <f t="shared" si="2"/>
        <v>-442</v>
      </c>
      <c r="F88" s="316">
        <f t="shared" si="3"/>
        <v>-6.1134163208852003E-2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538</v>
      </c>
      <c r="D89" s="322">
        <v>611</v>
      </c>
      <c r="E89" s="296">
        <f t="shared" si="2"/>
        <v>73</v>
      </c>
      <c r="F89" s="316">
        <f t="shared" si="3"/>
        <v>0.13568773234200743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6418</v>
      </c>
      <c r="D90" s="322">
        <v>6043</v>
      </c>
      <c r="E90" s="296">
        <f t="shared" si="2"/>
        <v>-375</v>
      </c>
      <c r="F90" s="316">
        <f t="shared" si="3"/>
        <v>-5.8429417263945155E-2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39867</v>
      </c>
      <c r="D91" s="322">
        <v>41412</v>
      </c>
      <c r="E91" s="296">
        <f t="shared" si="2"/>
        <v>1545</v>
      </c>
      <c r="F91" s="316">
        <f t="shared" si="3"/>
        <v>3.8753856573105573E-2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121966</v>
      </c>
      <c r="D92" s="320">
        <f>SUM(D87:D91)</f>
        <v>125269</v>
      </c>
      <c r="E92" s="300">
        <f t="shared" si="2"/>
        <v>3303</v>
      </c>
      <c r="F92" s="309">
        <f t="shared" si="3"/>
        <v>2.7081317744289391E-2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321</v>
      </c>
      <c r="D96" s="325">
        <v>325</v>
      </c>
      <c r="E96" s="326">
        <f>+D96-C96</f>
        <v>4</v>
      </c>
      <c r="F96" s="316">
        <f>IF(C96=0,0,+E96/C96)</f>
        <v>1.2461059190031152E-2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16.7</v>
      </c>
      <c r="D97" s="325">
        <v>14.6</v>
      </c>
      <c r="E97" s="326">
        <f>+D97-C97</f>
        <v>-2.0999999999999996</v>
      </c>
      <c r="F97" s="316">
        <f>IF(C97=0,0,+E97/C97)</f>
        <v>-0.12574850299401197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801.2</v>
      </c>
      <c r="D98" s="325">
        <v>736.2</v>
      </c>
      <c r="E98" s="326">
        <f>+D98-C98</f>
        <v>-65</v>
      </c>
      <c r="F98" s="316">
        <f>IF(C98=0,0,+E98/C98)</f>
        <v>-8.1128307538691963E-2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1138.9000000000001</v>
      </c>
      <c r="D99" s="327">
        <f>SUM(D96:D98)</f>
        <v>1075.8000000000002</v>
      </c>
      <c r="E99" s="327">
        <f>+D99-C99</f>
        <v>-63.099999999999909</v>
      </c>
      <c r="F99" s="309">
        <f>IF(C99=0,0,+E99/C99)</f>
        <v>-5.5404337518658267E-2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5099</v>
      </c>
      <c r="D12" s="296">
        <v>5274</v>
      </c>
      <c r="E12" s="296">
        <f>+D12-C12</f>
        <v>175</v>
      </c>
      <c r="F12" s="316">
        <f>IF(C12=0,0,+E12/C12)</f>
        <v>3.432045499117474E-2</v>
      </c>
    </row>
    <row r="13" spans="1:16" ht="15.75" customHeight="1" x14ac:dyDescent="0.25">
      <c r="A13" s="294"/>
      <c r="B13" s="135" t="s">
        <v>602</v>
      </c>
      <c r="C13" s="300">
        <f>SUM(C11:C12)</f>
        <v>5099</v>
      </c>
      <c r="D13" s="300">
        <f>SUM(D11:D12)</f>
        <v>5274</v>
      </c>
      <c r="E13" s="300">
        <f>+D13-C13</f>
        <v>175</v>
      </c>
      <c r="F13" s="309">
        <f>IF(C13=0,0,+E13/C13)</f>
        <v>3.432045499117474E-2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6418</v>
      </c>
      <c r="D16" s="296">
        <v>6043</v>
      </c>
      <c r="E16" s="296">
        <f>+D16-C16</f>
        <v>-375</v>
      </c>
      <c r="F16" s="316">
        <f>IF(C16=0,0,+E16/C16)</f>
        <v>-5.8429417263945155E-2</v>
      </c>
    </row>
    <row r="17" spans="1:6" ht="15.75" customHeight="1" x14ac:dyDescent="0.25">
      <c r="A17" s="294"/>
      <c r="B17" s="135" t="s">
        <v>603</v>
      </c>
      <c r="C17" s="300">
        <f>SUM(C15:C16)</f>
        <v>6418</v>
      </c>
      <c r="D17" s="300">
        <f>SUM(D15:D16)</f>
        <v>6043</v>
      </c>
      <c r="E17" s="300">
        <f>+D17-C17</f>
        <v>-375</v>
      </c>
      <c r="F17" s="309">
        <f>IF(C17=0,0,+E17/C17)</f>
        <v>-5.8429417263945155E-2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605</v>
      </c>
      <c r="C20" s="296">
        <v>42502</v>
      </c>
      <c r="D20" s="296">
        <v>41475</v>
      </c>
      <c r="E20" s="296">
        <f>+D20-C20</f>
        <v>-1027</v>
      </c>
      <c r="F20" s="316">
        <f>IF(C20=0,0,+E20/C20)</f>
        <v>-2.4163568773234202E-2</v>
      </c>
    </row>
    <row r="21" spans="1:6" ht="15.75" customHeight="1" x14ac:dyDescent="0.25">
      <c r="A21" s="294"/>
      <c r="B21" s="135" t="s">
        <v>606</v>
      </c>
      <c r="C21" s="300">
        <f>SUM(C19:C20)</f>
        <v>42502</v>
      </c>
      <c r="D21" s="300">
        <f>SUM(D19:D20)</f>
        <v>41475</v>
      </c>
      <c r="E21" s="300">
        <f>+D21-C21</f>
        <v>-1027</v>
      </c>
      <c r="F21" s="309">
        <f>IF(C21=0,0,+E21/C21)</f>
        <v>-2.4163568773234202E-2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607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608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609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610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611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612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613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614</v>
      </c>
      <c r="D7" s="341" t="s">
        <v>614</v>
      </c>
      <c r="E7" s="341" t="s">
        <v>615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616</v>
      </c>
      <c r="D8" s="344" t="s">
        <v>617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618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619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620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621</v>
      </c>
      <c r="C15" s="361">
        <v>81439769</v>
      </c>
      <c r="D15" s="361">
        <v>105156405</v>
      </c>
      <c r="E15" s="361">
        <f t="shared" ref="E15:E24" si="0">D15-C15</f>
        <v>23716636</v>
      </c>
      <c r="F15" s="362">
        <f t="shared" ref="F15:F24" si="1">IF(C15=0,0,E15/C15)</f>
        <v>0.29121688692412673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622</v>
      </c>
      <c r="C16" s="361">
        <v>30670179</v>
      </c>
      <c r="D16" s="361">
        <v>33324077</v>
      </c>
      <c r="E16" s="361">
        <f t="shared" si="0"/>
        <v>2653898</v>
      </c>
      <c r="F16" s="362">
        <f t="shared" si="1"/>
        <v>8.6530241639607E-2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623</v>
      </c>
      <c r="C17" s="366">
        <f>IF(C15=0,0,C16/C15)</f>
        <v>0.37659953333119106</v>
      </c>
      <c r="D17" s="366">
        <f>IF(LN_IA1=0,0,LN_IA2/LN_IA1)</f>
        <v>0.31690011654544487</v>
      </c>
      <c r="E17" s="367">
        <f t="shared" si="0"/>
        <v>-5.9699416785746195E-2</v>
      </c>
      <c r="F17" s="362">
        <f t="shared" si="1"/>
        <v>-0.1585222803057619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3626</v>
      </c>
      <c r="D18" s="369">
        <v>3537</v>
      </c>
      <c r="E18" s="369">
        <f t="shared" si="0"/>
        <v>-89</v>
      </c>
      <c r="F18" s="362">
        <f t="shared" si="1"/>
        <v>-2.4544953116381687E-2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624</v>
      </c>
      <c r="C19" s="372">
        <v>1.3673</v>
      </c>
      <c r="D19" s="372">
        <v>1.43563</v>
      </c>
      <c r="E19" s="373">
        <f t="shared" si="0"/>
        <v>6.8330000000000002E-2</v>
      </c>
      <c r="F19" s="362">
        <f t="shared" si="1"/>
        <v>4.9974402106340965E-2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625</v>
      </c>
      <c r="C20" s="376">
        <f>C18*C19</f>
        <v>4957.8297999999995</v>
      </c>
      <c r="D20" s="376">
        <f>LN_IA4*LN_IA5</f>
        <v>5077.8233099999998</v>
      </c>
      <c r="E20" s="376">
        <f t="shared" si="0"/>
        <v>119.99351000000024</v>
      </c>
      <c r="F20" s="362">
        <f t="shared" si="1"/>
        <v>2.4202829633239983E-2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626</v>
      </c>
      <c r="C21" s="378">
        <f>IF(C20=0,0,C16/C20)</f>
        <v>6186.2105472035373</v>
      </c>
      <c r="D21" s="378">
        <f>IF(LN_IA6=0,0,LN_IA2/LN_IA6)</f>
        <v>6562.6696648489724</v>
      </c>
      <c r="E21" s="378">
        <f t="shared" si="0"/>
        <v>376.45911764543507</v>
      </c>
      <c r="F21" s="362">
        <f t="shared" si="1"/>
        <v>6.0854559471082433E-2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20921</v>
      </c>
      <c r="D22" s="369">
        <v>22742</v>
      </c>
      <c r="E22" s="369">
        <f t="shared" si="0"/>
        <v>1821</v>
      </c>
      <c r="F22" s="362">
        <f t="shared" si="1"/>
        <v>8.7041728406863916E-2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627</v>
      </c>
      <c r="C23" s="378">
        <f>IF(C22=0,0,C16/C22)</f>
        <v>1465.9996654079632</v>
      </c>
      <c r="D23" s="378">
        <f>IF(LN_IA8=0,0,LN_IA2/LN_IA8)</f>
        <v>1465.3098672060505</v>
      </c>
      <c r="E23" s="378">
        <f t="shared" si="0"/>
        <v>-0.68979820191270846</v>
      </c>
      <c r="F23" s="362">
        <f t="shared" si="1"/>
        <v>-4.7053094089264281E-4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628</v>
      </c>
      <c r="C24" s="379">
        <f>IF(C18=0,0,C22/C18)</f>
        <v>5.7697186982901272</v>
      </c>
      <c r="D24" s="379">
        <f>IF(LN_IA4=0,0,LN_IA8/LN_IA4)</f>
        <v>6.429742719819056</v>
      </c>
      <c r="E24" s="379">
        <f t="shared" si="0"/>
        <v>0.66002402152892881</v>
      </c>
      <c r="F24" s="362">
        <f t="shared" si="1"/>
        <v>0.11439448888981864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629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630</v>
      </c>
      <c r="C27" s="361">
        <v>90726985</v>
      </c>
      <c r="D27" s="361">
        <v>106739845</v>
      </c>
      <c r="E27" s="361">
        <f t="shared" ref="E27:E32" si="2">D27-C27</f>
        <v>16012860</v>
      </c>
      <c r="F27" s="362">
        <f t="shared" ref="F27:F32" si="3">IF(C27=0,0,E27/C27)</f>
        <v>0.17649500862395021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631</v>
      </c>
      <c r="C28" s="361">
        <v>24331083</v>
      </c>
      <c r="D28" s="361">
        <v>26090286</v>
      </c>
      <c r="E28" s="361">
        <f t="shared" si="2"/>
        <v>1759203</v>
      </c>
      <c r="F28" s="362">
        <f t="shared" si="3"/>
        <v>7.2302700212727888E-2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632</v>
      </c>
      <c r="C29" s="366">
        <f>IF(C27=0,0,C28/C27)</f>
        <v>0.26817912002696881</v>
      </c>
      <c r="D29" s="366">
        <f>IF(LN_IA11=0,0,LN_IA12/LN_IA11)</f>
        <v>0.24442874167561326</v>
      </c>
      <c r="E29" s="367">
        <f t="shared" si="2"/>
        <v>-2.3750378351355544E-2</v>
      </c>
      <c r="F29" s="362">
        <f t="shared" si="3"/>
        <v>-8.856162384665571E-2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633</v>
      </c>
      <c r="C30" s="366">
        <f>IF(C15=0,0,C27/C15)</f>
        <v>1.1140378480199276</v>
      </c>
      <c r="D30" s="366">
        <f>IF(LN_IA1=0,0,LN_IA11/LN_IA1)</f>
        <v>1.015057951058711</v>
      </c>
      <c r="E30" s="367">
        <f t="shared" si="2"/>
        <v>-9.8979896961216562E-2</v>
      </c>
      <c r="F30" s="362">
        <f t="shared" si="3"/>
        <v>-8.8847876342030743E-2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634</v>
      </c>
      <c r="C31" s="376">
        <f>C30*C18</f>
        <v>4039.5012369202573</v>
      </c>
      <c r="D31" s="376">
        <f>LN_IA14*LN_IA4</f>
        <v>3590.2599728946607</v>
      </c>
      <c r="E31" s="376">
        <f t="shared" si="2"/>
        <v>-449.24126402559659</v>
      </c>
      <c r="F31" s="362">
        <f t="shared" si="3"/>
        <v>-0.11121206249910723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635</v>
      </c>
      <c r="C32" s="378">
        <f>IF(C31=0,0,C28/C31)</f>
        <v>6023.2889094372895</v>
      </c>
      <c r="D32" s="378">
        <f>IF(LN_IA15=0,0,LN_IA12/LN_IA15)</f>
        <v>7266.9628932092646</v>
      </c>
      <c r="E32" s="378">
        <f t="shared" si="2"/>
        <v>1243.6739837719751</v>
      </c>
      <c r="F32" s="362">
        <f t="shared" si="3"/>
        <v>0.2064775577713675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636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637</v>
      </c>
      <c r="C35" s="361">
        <f>C15+C27</f>
        <v>172166754</v>
      </c>
      <c r="D35" s="361">
        <f>LN_IA1+LN_IA11</f>
        <v>211896250</v>
      </c>
      <c r="E35" s="361">
        <f>D35-C35</f>
        <v>39729496</v>
      </c>
      <c r="F35" s="362">
        <f>IF(C35=0,0,E35/C35)</f>
        <v>0.23076171837450105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638</v>
      </c>
      <c r="C36" s="361">
        <f>C16+C28</f>
        <v>55001262</v>
      </c>
      <c r="D36" s="361">
        <f>LN_IA2+LN_IA12</f>
        <v>59414363</v>
      </c>
      <c r="E36" s="361">
        <f>D36-C36</f>
        <v>4413101</v>
      </c>
      <c r="F36" s="362">
        <f>IF(C36=0,0,E36/C36)</f>
        <v>8.0236358940273048E-2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639</v>
      </c>
      <c r="C37" s="361">
        <f>C35-C36</f>
        <v>117165492</v>
      </c>
      <c r="D37" s="361">
        <f>LN_IA17-LN_IA18</f>
        <v>152481887</v>
      </c>
      <c r="E37" s="361">
        <f>D37-C37</f>
        <v>35316395</v>
      </c>
      <c r="F37" s="362">
        <f>IF(C37=0,0,E37/C37)</f>
        <v>0.3014231784218514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640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641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621</v>
      </c>
      <c r="C42" s="361">
        <v>44280158</v>
      </c>
      <c r="D42" s="361">
        <v>49771163</v>
      </c>
      <c r="E42" s="361">
        <f t="shared" ref="E42:E53" si="4">D42-C42</f>
        <v>5491005</v>
      </c>
      <c r="F42" s="362">
        <f t="shared" ref="F42:F53" si="5">IF(C42=0,0,E42/C42)</f>
        <v>0.12400599383588469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622</v>
      </c>
      <c r="C43" s="361">
        <v>25821229</v>
      </c>
      <c r="D43" s="361">
        <v>26984875</v>
      </c>
      <c r="E43" s="361">
        <f t="shared" si="4"/>
        <v>1163646</v>
      </c>
      <c r="F43" s="362">
        <f t="shared" si="5"/>
        <v>4.5065476937600456E-2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623</v>
      </c>
      <c r="C44" s="366">
        <f>IF(C42=0,0,C43/C42)</f>
        <v>0.58313317219870808</v>
      </c>
      <c r="D44" s="366">
        <f>IF(LN_IB1=0,0,LN_IB2/LN_IB1)</f>
        <v>0.54217891191331014</v>
      </c>
      <c r="E44" s="367">
        <f t="shared" si="4"/>
        <v>-4.0954260285397948E-2</v>
      </c>
      <c r="F44" s="362">
        <f t="shared" si="5"/>
        <v>-7.0231402084329375E-2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3754</v>
      </c>
      <c r="D45" s="369">
        <v>3296</v>
      </c>
      <c r="E45" s="369">
        <f t="shared" si="4"/>
        <v>-458</v>
      </c>
      <c r="F45" s="362">
        <f t="shared" si="5"/>
        <v>-0.12200319659030368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624</v>
      </c>
      <c r="C46" s="372">
        <v>0.98160000000000003</v>
      </c>
      <c r="D46" s="372">
        <v>0.98934999999999995</v>
      </c>
      <c r="E46" s="373">
        <f t="shared" si="4"/>
        <v>7.7499999999999236E-3</v>
      </c>
      <c r="F46" s="362">
        <f t="shared" si="5"/>
        <v>7.8952730236348037E-3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625</v>
      </c>
      <c r="C47" s="376">
        <f>C45*C46</f>
        <v>3684.9264000000003</v>
      </c>
      <c r="D47" s="376">
        <f>LN_IB4*LN_IB5</f>
        <v>3260.8975999999998</v>
      </c>
      <c r="E47" s="376">
        <f t="shared" si="4"/>
        <v>-424.0288000000005</v>
      </c>
      <c r="F47" s="362">
        <f t="shared" si="5"/>
        <v>-0.11507117211350557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626</v>
      </c>
      <c r="C48" s="378">
        <f>IF(C47=0,0,C43/C47)</f>
        <v>7007.2577297608977</v>
      </c>
      <c r="D48" s="378">
        <f>IF(LN_IB6=0,0,LN_IB2/LN_IB6)</f>
        <v>8275.2905212356254</v>
      </c>
      <c r="E48" s="378">
        <f t="shared" si="4"/>
        <v>1268.0327914747277</v>
      </c>
      <c r="F48" s="362">
        <f t="shared" si="5"/>
        <v>0.18095991904068234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642</v>
      </c>
      <c r="C49" s="378">
        <f>C21-C48</f>
        <v>-821.04718255736043</v>
      </c>
      <c r="D49" s="378">
        <f>LN_IA7-LN_IB7</f>
        <v>-1712.620856386653</v>
      </c>
      <c r="E49" s="378">
        <f t="shared" si="4"/>
        <v>-891.5736738292926</v>
      </c>
      <c r="F49" s="362">
        <f t="shared" si="5"/>
        <v>1.0858982197006748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643</v>
      </c>
      <c r="C50" s="391">
        <f>C49*C47</f>
        <v>-3025498.4386512372</v>
      </c>
      <c r="D50" s="391">
        <f>LN_IB8*LN_IB6</f>
        <v>-5584681.2403011816</v>
      </c>
      <c r="E50" s="391">
        <f t="shared" si="4"/>
        <v>-2559182.8016499444</v>
      </c>
      <c r="F50" s="362">
        <f t="shared" si="5"/>
        <v>0.84587146665024371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13397</v>
      </c>
      <c r="D51" s="369">
        <v>13179</v>
      </c>
      <c r="E51" s="369">
        <f t="shared" si="4"/>
        <v>-218</v>
      </c>
      <c r="F51" s="362">
        <f t="shared" si="5"/>
        <v>-1.6272299768604913E-2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627</v>
      </c>
      <c r="C52" s="378">
        <f>IF(C51=0,0,C43/C51)</f>
        <v>1927.3888930357543</v>
      </c>
      <c r="D52" s="378">
        <f>IF(LN_IB10=0,0,LN_IB2/LN_IB10)</f>
        <v>2047.5662038090902</v>
      </c>
      <c r="E52" s="378">
        <f t="shared" si="4"/>
        <v>120.17731077333588</v>
      </c>
      <c r="F52" s="362">
        <f t="shared" si="5"/>
        <v>6.2352393545263889E-2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628</v>
      </c>
      <c r="C53" s="379">
        <f>IF(C45=0,0,C51/C45)</f>
        <v>3.5687266915290357</v>
      </c>
      <c r="D53" s="379">
        <f>IF(LN_IB4=0,0,LN_IB10/LN_IB4)</f>
        <v>3.998483009708738</v>
      </c>
      <c r="E53" s="379">
        <f t="shared" si="4"/>
        <v>0.42975631817970239</v>
      </c>
      <c r="F53" s="362">
        <f t="shared" si="5"/>
        <v>0.12042287216888876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644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630</v>
      </c>
      <c r="C56" s="361">
        <v>131255039</v>
      </c>
      <c r="D56" s="361">
        <v>142894349</v>
      </c>
      <c r="E56" s="361">
        <f t="shared" ref="E56:E63" si="6">D56-C56</f>
        <v>11639310</v>
      </c>
      <c r="F56" s="362">
        <f t="shared" ref="F56:F63" si="7">IF(C56=0,0,E56/C56)</f>
        <v>8.8677052619671237E-2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631</v>
      </c>
      <c r="C57" s="361">
        <v>59270269</v>
      </c>
      <c r="D57" s="361">
        <v>60709048</v>
      </c>
      <c r="E57" s="361">
        <f t="shared" si="6"/>
        <v>1438779</v>
      </c>
      <c r="F57" s="362">
        <f t="shared" si="7"/>
        <v>2.4274885609174474E-2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632</v>
      </c>
      <c r="C58" s="366">
        <f>IF(C56=0,0,C57/C56)</f>
        <v>0.4515656652237176</v>
      </c>
      <c r="D58" s="366">
        <f>IF(LN_IB13=0,0,LN_IB14/LN_IB13)</f>
        <v>0.42485268609187615</v>
      </c>
      <c r="E58" s="367">
        <f t="shared" si="6"/>
        <v>-2.6712979131841452E-2</v>
      </c>
      <c r="F58" s="362">
        <f t="shared" si="7"/>
        <v>-5.9156355739772938E-2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633</v>
      </c>
      <c r="C59" s="366">
        <f>IF(C42=0,0,C56/C42)</f>
        <v>2.9641953626272066</v>
      </c>
      <c r="D59" s="366">
        <f>IF(LN_IB1=0,0,LN_IB13/LN_IB1)</f>
        <v>2.8710269237630635</v>
      </c>
      <c r="E59" s="367">
        <f t="shared" si="6"/>
        <v>-9.3168438864143166E-2</v>
      </c>
      <c r="F59" s="362">
        <f t="shared" si="7"/>
        <v>-3.1431274752945673E-2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634</v>
      </c>
      <c r="C60" s="376">
        <f>C59*C45</f>
        <v>11127.589391302534</v>
      </c>
      <c r="D60" s="376">
        <f>LN_IB16*LN_IB4</f>
        <v>9462.9047407230573</v>
      </c>
      <c r="E60" s="376">
        <f t="shared" si="6"/>
        <v>-1664.6846505794765</v>
      </c>
      <c r="F60" s="362">
        <f t="shared" si="7"/>
        <v>-0.14959975535048187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635</v>
      </c>
      <c r="C61" s="378">
        <f>IF(C60=0,0,C57/C60)</f>
        <v>5326.4248810552263</v>
      </c>
      <c r="D61" s="378">
        <f>IF(LN_IB17=0,0,LN_IB14/LN_IB17)</f>
        <v>6415.4770298745752</v>
      </c>
      <c r="E61" s="378">
        <f t="shared" si="6"/>
        <v>1089.052148819349</v>
      </c>
      <c r="F61" s="362">
        <f t="shared" si="7"/>
        <v>0.20446212480961437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645</v>
      </c>
      <c r="C62" s="378">
        <f>C32-C61</f>
        <v>696.86402838206322</v>
      </c>
      <c r="D62" s="378">
        <f>LN_IA16-LN_IB18</f>
        <v>851.48586333468938</v>
      </c>
      <c r="E62" s="378">
        <f t="shared" si="6"/>
        <v>154.62183495262616</v>
      </c>
      <c r="F62" s="362">
        <f t="shared" si="7"/>
        <v>0.22188235962131347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646</v>
      </c>
      <c r="C63" s="361">
        <f>C62*C60</f>
        <v>7754416.7694045948</v>
      </c>
      <c r="D63" s="361">
        <f>LN_IB19*LN_IB17</f>
        <v>8057529.6128084976</v>
      </c>
      <c r="E63" s="361">
        <f t="shared" si="6"/>
        <v>303112.84340390284</v>
      </c>
      <c r="F63" s="362">
        <f t="shared" si="7"/>
        <v>3.9089057554895473E-2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647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637</v>
      </c>
      <c r="C66" s="361">
        <f>C42+C56</f>
        <v>175535197</v>
      </c>
      <c r="D66" s="361">
        <f>LN_IB1+LN_IB13</f>
        <v>192665512</v>
      </c>
      <c r="E66" s="361">
        <f>D66-C66</f>
        <v>17130315</v>
      </c>
      <c r="F66" s="362">
        <f>IF(C66=0,0,E66/C66)</f>
        <v>9.7589060728373464E-2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638</v>
      </c>
      <c r="C67" s="361">
        <f>C43+C57</f>
        <v>85091498</v>
      </c>
      <c r="D67" s="361">
        <f>LN_IB2+LN_IB14</f>
        <v>87693923</v>
      </c>
      <c r="E67" s="361">
        <f>D67-C67</f>
        <v>2602425</v>
      </c>
      <c r="F67" s="362">
        <f>IF(C67=0,0,E67/C67)</f>
        <v>3.0583842818233144E-2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639</v>
      </c>
      <c r="C68" s="361">
        <f>C66-C67</f>
        <v>90443699</v>
      </c>
      <c r="D68" s="361">
        <f>LN_IB21-LN_IB22</f>
        <v>104971589</v>
      </c>
      <c r="E68" s="361">
        <f>D68-C68</f>
        <v>14527890</v>
      </c>
      <c r="F68" s="362">
        <f>IF(C68=0,0,E68/C68)</f>
        <v>0.16062910032018926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648</v>
      </c>
      <c r="C70" s="353">
        <f>C50+C63</f>
        <v>4728918.3307533581</v>
      </c>
      <c r="D70" s="353">
        <f>LN_IB9+LN_IB20</f>
        <v>2472848.3725073161</v>
      </c>
      <c r="E70" s="361">
        <f>D70-C70</f>
        <v>-2256069.958246042</v>
      </c>
      <c r="F70" s="362">
        <f>IF(C70=0,0,E70/C70)</f>
        <v>-0.47707949269799088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649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650</v>
      </c>
      <c r="C73" s="400">
        <v>175535197</v>
      </c>
      <c r="D73" s="400">
        <v>192665512</v>
      </c>
      <c r="E73" s="400">
        <f>D73-C73</f>
        <v>17130315</v>
      </c>
      <c r="F73" s="401">
        <f>IF(C73=0,0,E73/C73)</f>
        <v>9.7589060728373464E-2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651</v>
      </c>
      <c r="C74" s="400">
        <v>85091498</v>
      </c>
      <c r="D74" s="400">
        <v>87693923</v>
      </c>
      <c r="E74" s="400">
        <f>D74-C74</f>
        <v>2602425</v>
      </c>
      <c r="F74" s="401">
        <f>IF(C74=0,0,E74/C74)</f>
        <v>3.0583842818233144E-2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652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653</v>
      </c>
      <c r="C76" s="353">
        <f>C73-C74</f>
        <v>90443699</v>
      </c>
      <c r="D76" s="353">
        <f>LN_IB32-LN_IB33</f>
        <v>104971589</v>
      </c>
      <c r="E76" s="400">
        <f>D76-C76</f>
        <v>14527890</v>
      </c>
      <c r="F76" s="401">
        <f>IF(C76=0,0,E76/C76)</f>
        <v>0.16062910032018926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654</v>
      </c>
      <c r="C77" s="366">
        <f>IF(C73=0,0,C76/C73)</f>
        <v>0.5152453783955363</v>
      </c>
      <c r="D77" s="366">
        <f>IF(LN_IB1=0,0,LN_IB34/LN_IB32)</f>
        <v>0.54483850228472652</v>
      </c>
      <c r="E77" s="405">
        <f>D77-C77</f>
        <v>2.959312388919022E-2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655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656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621</v>
      </c>
      <c r="C83" s="361">
        <v>2596225</v>
      </c>
      <c r="D83" s="361">
        <v>2434687</v>
      </c>
      <c r="E83" s="361">
        <f t="shared" ref="E83:E95" si="8">D83-C83</f>
        <v>-161538</v>
      </c>
      <c r="F83" s="362">
        <f t="shared" ref="F83:F95" si="9">IF(C83=0,0,E83/C83)</f>
        <v>-6.2220339146260434E-2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622</v>
      </c>
      <c r="C84" s="361">
        <v>37680</v>
      </c>
      <c r="D84" s="361">
        <v>25557</v>
      </c>
      <c r="E84" s="361">
        <f t="shared" si="8"/>
        <v>-12123</v>
      </c>
      <c r="F84" s="362">
        <f t="shared" si="9"/>
        <v>-0.32173566878980892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623</v>
      </c>
      <c r="C85" s="366">
        <f>IF(C83=0,0,C84/C83)</f>
        <v>1.4513380003659159E-2</v>
      </c>
      <c r="D85" s="366">
        <f>IF(LN_IC1=0,0,LN_IC2/LN_IC1)</f>
        <v>1.0497037196157043E-2</v>
      </c>
      <c r="E85" s="367">
        <f t="shared" si="8"/>
        <v>-4.0163428075021164E-3</v>
      </c>
      <c r="F85" s="362">
        <f t="shared" si="9"/>
        <v>-0.27673380056813118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216</v>
      </c>
      <c r="D86" s="369">
        <v>182</v>
      </c>
      <c r="E86" s="369">
        <f t="shared" si="8"/>
        <v>-34</v>
      </c>
      <c r="F86" s="362">
        <f t="shared" si="9"/>
        <v>-0.15740740740740741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624</v>
      </c>
      <c r="C87" s="372">
        <v>1.0310999999999999</v>
      </c>
      <c r="D87" s="372">
        <v>1.0105299999999999</v>
      </c>
      <c r="E87" s="373">
        <f t="shared" si="8"/>
        <v>-2.0569999999999977E-2</v>
      </c>
      <c r="F87" s="362">
        <f t="shared" si="9"/>
        <v>-1.9949568422073495E-2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625</v>
      </c>
      <c r="C88" s="376">
        <f>C86*C87</f>
        <v>222.71759999999998</v>
      </c>
      <c r="D88" s="376">
        <f>LN_IC4*LN_IC5</f>
        <v>183.91646</v>
      </c>
      <c r="E88" s="376">
        <f t="shared" si="8"/>
        <v>-38.801139999999975</v>
      </c>
      <c r="F88" s="362">
        <f t="shared" si="9"/>
        <v>-0.17421676598526556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626</v>
      </c>
      <c r="C89" s="378">
        <f>IF(C88=0,0,C84/C88)</f>
        <v>169.18285757389629</v>
      </c>
      <c r="D89" s="378">
        <f>IF(LN_IC6=0,0,LN_IC2/LN_IC6)</f>
        <v>138.95982991408164</v>
      </c>
      <c r="E89" s="378">
        <f t="shared" si="8"/>
        <v>-30.223027659814647</v>
      </c>
      <c r="F89" s="362">
        <f t="shared" si="9"/>
        <v>-0.17864119387281141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657</v>
      </c>
      <c r="C90" s="378">
        <f>C48-C89</f>
        <v>6838.0748721870013</v>
      </c>
      <c r="D90" s="378">
        <f>LN_IB7-LN_IC7</f>
        <v>8136.3306913215438</v>
      </c>
      <c r="E90" s="378">
        <f t="shared" si="8"/>
        <v>1298.2558191345424</v>
      </c>
      <c r="F90" s="362">
        <f t="shared" si="9"/>
        <v>0.18985691783151318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658</v>
      </c>
      <c r="C91" s="378">
        <f>C21-C89</f>
        <v>6017.0276896296409</v>
      </c>
      <c r="D91" s="378">
        <f>LN_IA7-LN_IC7</f>
        <v>6423.7098349348908</v>
      </c>
      <c r="E91" s="378">
        <f t="shared" si="8"/>
        <v>406.68214530524983</v>
      </c>
      <c r="F91" s="362">
        <f t="shared" si="9"/>
        <v>6.7588544757101132E-2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643</v>
      </c>
      <c r="C92" s="353">
        <f>C91*C88</f>
        <v>1340097.9661678583</v>
      </c>
      <c r="D92" s="353">
        <f>LN_IC9*LN_IC6</f>
        <v>1181425.9729084095</v>
      </c>
      <c r="E92" s="353">
        <f t="shared" si="8"/>
        <v>-158671.99325944879</v>
      </c>
      <c r="F92" s="362">
        <f t="shared" si="9"/>
        <v>-0.11840327891339686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1246</v>
      </c>
      <c r="D93" s="369">
        <v>975</v>
      </c>
      <c r="E93" s="369">
        <f t="shared" si="8"/>
        <v>-271</v>
      </c>
      <c r="F93" s="362">
        <f t="shared" si="9"/>
        <v>-0.2174959871589085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627</v>
      </c>
      <c r="C94" s="411">
        <f>IF(C93=0,0,C84/C93)</f>
        <v>30.240770465489568</v>
      </c>
      <c r="D94" s="411">
        <f>IF(LN_IC11=0,0,LN_IC2/LN_IC11)</f>
        <v>26.212307692307693</v>
      </c>
      <c r="E94" s="411">
        <f t="shared" si="8"/>
        <v>-4.0284627731818752</v>
      </c>
      <c r="F94" s="362">
        <f t="shared" si="9"/>
        <v>-0.13321296749959172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628</v>
      </c>
      <c r="C95" s="379">
        <f>IF(C86=0,0,C93/C86)</f>
        <v>5.7685185185185182</v>
      </c>
      <c r="D95" s="379">
        <f>IF(LN_IC4=0,0,LN_IC11/LN_IC4)</f>
        <v>5.3571428571428568</v>
      </c>
      <c r="E95" s="379">
        <f t="shared" si="8"/>
        <v>-0.41137566137566139</v>
      </c>
      <c r="F95" s="362">
        <f t="shared" si="9"/>
        <v>-7.1313918825957362E-2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659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630</v>
      </c>
      <c r="C98" s="361">
        <v>8757284</v>
      </c>
      <c r="D98" s="361">
        <v>9151074</v>
      </c>
      <c r="E98" s="361">
        <f t="shared" ref="E98:E106" si="10">D98-C98</f>
        <v>393790</v>
      </c>
      <c r="F98" s="362">
        <f t="shared" ref="F98:F106" si="11">IF(C98=0,0,E98/C98)</f>
        <v>4.4967138213172032E-2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631</v>
      </c>
      <c r="C99" s="361">
        <v>312777</v>
      </c>
      <c r="D99" s="361">
        <v>329737</v>
      </c>
      <c r="E99" s="361">
        <f t="shared" si="10"/>
        <v>16960</v>
      </c>
      <c r="F99" s="362">
        <f t="shared" si="11"/>
        <v>5.4223935903215392E-2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632</v>
      </c>
      <c r="C100" s="366">
        <f>IF(C98=0,0,C99/C98)</f>
        <v>3.5716210642477736E-2</v>
      </c>
      <c r="D100" s="366">
        <f>IF(LN_IC14=0,0,LN_IC15/LN_IC14)</f>
        <v>3.6032601200689671E-2</v>
      </c>
      <c r="E100" s="367">
        <f t="shared" si="10"/>
        <v>3.1639055821193474E-4</v>
      </c>
      <c r="F100" s="362">
        <f t="shared" si="11"/>
        <v>8.8584581768494635E-3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633</v>
      </c>
      <c r="C101" s="366">
        <f>IF(C83=0,0,C98/C83)</f>
        <v>3.3730836117824921</v>
      </c>
      <c r="D101" s="366">
        <f>IF(LN_IC1=0,0,LN_IC14/LN_IC1)</f>
        <v>3.7586244145551357</v>
      </c>
      <c r="E101" s="367">
        <f t="shared" si="10"/>
        <v>0.38554080277264369</v>
      </c>
      <c r="F101" s="362">
        <f t="shared" si="11"/>
        <v>0.11429921316682282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634</v>
      </c>
      <c r="C102" s="376">
        <f>C101*C86</f>
        <v>728.58606014501834</v>
      </c>
      <c r="D102" s="376">
        <f>LN_IC17*LN_IC4</f>
        <v>684.06964344903474</v>
      </c>
      <c r="E102" s="376">
        <f t="shared" si="10"/>
        <v>-44.516416695983594</v>
      </c>
      <c r="F102" s="362">
        <f t="shared" si="11"/>
        <v>-6.109973705388079E-2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635</v>
      </c>
      <c r="C103" s="378">
        <f>IF(C102=0,0,C99/C102)</f>
        <v>429.29314340401271</v>
      </c>
      <c r="D103" s="378">
        <f>IF(LN_IC18=0,0,LN_IC15/LN_IC18)</f>
        <v>482.02255889837102</v>
      </c>
      <c r="E103" s="378">
        <f t="shared" si="10"/>
        <v>52.729415494358307</v>
      </c>
      <c r="F103" s="362">
        <f t="shared" si="11"/>
        <v>0.12282845953757535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660</v>
      </c>
      <c r="C104" s="378">
        <f>C61-C103</f>
        <v>4897.1317376512134</v>
      </c>
      <c r="D104" s="378">
        <f>LN_IB18-LN_IC19</f>
        <v>5933.454470976204</v>
      </c>
      <c r="E104" s="378">
        <f t="shared" si="10"/>
        <v>1036.3227333249906</v>
      </c>
      <c r="F104" s="362">
        <f t="shared" si="11"/>
        <v>0.21161830819401989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661</v>
      </c>
      <c r="C105" s="378">
        <f>C32-C103</f>
        <v>5593.9957660332766</v>
      </c>
      <c r="D105" s="378">
        <f>LN_IA16-LN_IC19</f>
        <v>6784.9403343108934</v>
      </c>
      <c r="E105" s="378">
        <f t="shared" si="10"/>
        <v>1190.9445682776168</v>
      </c>
      <c r="F105" s="362">
        <f t="shared" si="11"/>
        <v>0.21289693773260041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646</v>
      </c>
      <c r="C106" s="361">
        <f>C105*C102</f>
        <v>4075707.3356420989</v>
      </c>
      <c r="D106" s="361">
        <f>LN_IC21*LN_IC18</f>
        <v>4641371.7153150272</v>
      </c>
      <c r="E106" s="361">
        <f t="shared" si="10"/>
        <v>565664.37967292825</v>
      </c>
      <c r="F106" s="362">
        <f t="shared" si="11"/>
        <v>0.1387892537636812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662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637</v>
      </c>
      <c r="C109" s="361">
        <f>C83+C98</f>
        <v>11353509</v>
      </c>
      <c r="D109" s="361">
        <f>LN_IC1+LN_IC14</f>
        <v>11585761</v>
      </c>
      <c r="E109" s="361">
        <f>D109-C109</f>
        <v>232252</v>
      </c>
      <c r="F109" s="362">
        <f>IF(C109=0,0,E109/C109)</f>
        <v>2.0456406913492559E-2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638</v>
      </c>
      <c r="C110" s="361">
        <f>C84+C99</f>
        <v>350457</v>
      </c>
      <c r="D110" s="361">
        <f>LN_IC2+LN_IC15</f>
        <v>355294</v>
      </c>
      <c r="E110" s="361">
        <f>D110-C110</f>
        <v>4837</v>
      </c>
      <c r="F110" s="362">
        <f>IF(C110=0,0,E110/C110)</f>
        <v>1.3801978559423838E-2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639</v>
      </c>
      <c r="C111" s="361">
        <f>C109-C110</f>
        <v>11003052</v>
      </c>
      <c r="D111" s="361">
        <f>LN_IC23-LN_IC24</f>
        <v>11230467</v>
      </c>
      <c r="E111" s="361">
        <f>D111-C111</f>
        <v>227415</v>
      </c>
      <c r="F111" s="362">
        <f>IF(C111=0,0,E111/C111)</f>
        <v>2.0668356379666297E-2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648</v>
      </c>
      <c r="C113" s="361">
        <f>C92+C106</f>
        <v>5415805.3018099573</v>
      </c>
      <c r="D113" s="361">
        <f>LN_IC10+LN_IC22</f>
        <v>5822797.6882234365</v>
      </c>
      <c r="E113" s="361">
        <f>D113-C113</f>
        <v>406992.38641347922</v>
      </c>
      <c r="F113" s="362">
        <f>IF(C113=0,0,E113/C113)</f>
        <v>7.5149006238732899E-2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663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664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621</v>
      </c>
      <c r="C118" s="361">
        <v>24140325</v>
      </c>
      <c r="D118" s="361">
        <v>29843751</v>
      </c>
      <c r="E118" s="361">
        <f t="shared" ref="E118:E130" si="12">D118-C118</f>
        <v>5703426</v>
      </c>
      <c r="F118" s="362">
        <f t="shared" ref="F118:F130" si="13">IF(C118=0,0,E118/C118)</f>
        <v>0.23626135936446588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622</v>
      </c>
      <c r="C119" s="361">
        <v>8706248</v>
      </c>
      <c r="D119" s="361">
        <v>10559781</v>
      </c>
      <c r="E119" s="361">
        <f t="shared" si="12"/>
        <v>1853533</v>
      </c>
      <c r="F119" s="362">
        <f t="shared" si="13"/>
        <v>0.21289687589877981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623</v>
      </c>
      <c r="C120" s="366">
        <f>IF(C118=0,0,C119/C118)</f>
        <v>0.36065164822760259</v>
      </c>
      <c r="D120" s="366">
        <f>IF(LN_ID1=0,0,LN_1D2/LN_ID1)</f>
        <v>0.35383558186100666</v>
      </c>
      <c r="E120" s="367">
        <f t="shared" si="12"/>
        <v>-6.8160663665959298E-3</v>
      </c>
      <c r="F120" s="362">
        <f t="shared" si="13"/>
        <v>-1.8899307406726167E-2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1854</v>
      </c>
      <c r="D121" s="369">
        <v>1957</v>
      </c>
      <c r="E121" s="369">
        <f t="shared" si="12"/>
        <v>103</v>
      </c>
      <c r="F121" s="362">
        <f t="shared" si="13"/>
        <v>5.5555555555555552E-2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624</v>
      </c>
      <c r="C122" s="372">
        <v>0.92749999999999999</v>
      </c>
      <c r="D122" s="372">
        <v>0.92262999999999995</v>
      </c>
      <c r="E122" s="373">
        <f t="shared" si="12"/>
        <v>-4.870000000000041E-3</v>
      </c>
      <c r="F122" s="362">
        <f t="shared" si="13"/>
        <v>-5.2506738544474832E-3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625</v>
      </c>
      <c r="C123" s="376">
        <f>C121*C122</f>
        <v>1719.585</v>
      </c>
      <c r="D123" s="376">
        <f>LN_ID4*LN_ID5</f>
        <v>1805.58691</v>
      </c>
      <c r="E123" s="376">
        <f t="shared" si="12"/>
        <v>86.001909999999953</v>
      </c>
      <c r="F123" s="362">
        <f t="shared" si="13"/>
        <v>5.0013177598083228E-2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626</v>
      </c>
      <c r="C124" s="378">
        <f>IF(C123=0,0,C119/C123)</f>
        <v>5062.9936874303976</v>
      </c>
      <c r="D124" s="378">
        <f>IF(LN_ID6=0,0,LN_1D2/LN_ID6)</f>
        <v>5848.3925318222427</v>
      </c>
      <c r="E124" s="378">
        <f t="shared" si="12"/>
        <v>785.39884439184516</v>
      </c>
      <c r="F124" s="362">
        <f t="shared" si="13"/>
        <v>0.15512538487687819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665</v>
      </c>
      <c r="C125" s="378">
        <f>C48-C124</f>
        <v>1944.2640423305002</v>
      </c>
      <c r="D125" s="378">
        <f>LN_IB7-LN_ID7</f>
        <v>2426.8979894133827</v>
      </c>
      <c r="E125" s="378">
        <f t="shared" si="12"/>
        <v>482.63394708288251</v>
      </c>
      <c r="F125" s="362">
        <f t="shared" si="13"/>
        <v>0.24823477499710961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666</v>
      </c>
      <c r="C126" s="378">
        <f>C21-C124</f>
        <v>1123.2168597731397</v>
      </c>
      <c r="D126" s="378">
        <f>LN_IA7-LN_ID7</f>
        <v>714.27713302672964</v>
      </c>
      <c r="E126" s="378">
        <f t="shared" si="12"/>
        <v>-408.93972674641009</v>
      </c>
      <c r="F126" s="362">
        <f t="shared" si="13"/>
        <v>-0.36407904955148657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643</v>
      </c>
      <c r="C127" s="391">
        <f>C126*C123</f>
        <v>1931466.8638129944</v>
      </c>
      <c r="D127" s="391">
        <f>LN_ID9*LN_ID6</f>
        <v>1289689.4415053916</v>
      </c>
      <c r="E127" s="391">
        <f t="shared" si="12"/>
        <v>-641777.42230760283</v>
      </c>
      <c r="F127" s="362">
        <f t="shared" si="13"/>
        <v>-0.33227462211836323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8967</v>
      </c>
      <c r="D128" s="369">
        <v>9483</v>
      </c>
      <c r="E128" s="369">
        <f t="shared" si="12"/>
        <v>516</v>
      </c>
      <c r="F128" s="362">
        <f t="shared" si="13"/>
        <v>5.7544329207092675E-2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627</v>
      </c>
      <c r="C129" s="378">
        <f>IF(C128=0,0,C119/C128)</f>
        <v>970.92093230734918</v>
      </c>
      <c r="D129" s="378">
        <f>IF(LN_ID11=0,0,LN_1D2/LN_ID11)</f>
        <v>1113.5485605820943</v>
      </c>
      <c r="E129" s="378">
        <f t="shared" si="12"/>
        <v>142.62762827474512</v>
      </c>
      <c r="F129" s="362">
        <f t="shared" si="13"/>
        <v>0.14689932365120309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628</v>
      </c>
      <c r="C130" s="379">
        <f>IF(C121=0,0,C128/C121)</f>
        <v>4.8365695792880263</v>
      </c>
      <c r="D130" s="379">
        <f>IF(LN_ID4=0,0,LN_ID11/LN_ID4)</f>
        <v>4.8456821665815024</v>
      </c>
      <c r="E130" s="379">
        <f t="shared" si="12"/>
        <v>9.1125872934760821E-3</v>
      </c>
      <c r="F130" s="362">
        <f t="shared" si="13"/>
        <v>1.8841013540877277E-3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667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630</v>
      </c>
      <c r="C133" s="361">
        <v>47679210</v>
      </c>
      <c r="D133" s="361">
        <v>55812465</v>
      </c>
      <c r="E133" s="361">
        <f t="shared" ref="E133:E141" si="14">D133-C133</f>
        <v>8133255</v>
      </c>
      <c r="F133" s="362">
        <f t="shared" ref="F133:F141" si="15">IF(C133=0,0,E133/C133)</f>
        <v>0.17058283893546056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631</v>
      </c>
      <c r="C134" s="361">
        <v>9817745</v>
      </c>
      <c r="D134" s="361">
        <v>10869325</v>
      </c>
      <c r="E134" s="361">
        <f t="shared" si="14"/>
        <v>1051580</v>
      </c>
      <c r="F134" s="362">
        <f t="shared" si="15"/>
        <v>0.10711013577965205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632</v>
      </c>
      <c r="C135" s="366">
        <f>IF(C133=0,0,C134/C133)</f>
        <v>0.20591249309709619</v>
      </c>
      <c r="D135" s="366">
        <f>IF(LN_ID14=0,0,LN_ID15/LN_ID14)</f>
        <v>0.19474726658283234</v>
      </c>
      <c r="E135" s="367">
        <f t="shared" si="14"/>
        <v>-1.1165226514263854E-2</v>
      </c>
      <c r="F135" s="362">
        <f t="shared" si="15"/>
        <v>-5.4223162209973301E-2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633</v>
      </c>
      <c r="C136" s="366">
        <f>IF(C118=0,0,C133/C118)</f>
        <v>1.9750856709675615</v>
      </c>
      <c r="D136" s="366">
        <f>IF(LN_ID1=0,0,LN_ID14/LN_ID1)</f>
        <v>1.8701558326230507</v>
      </c>
      <c r="E136" s="367">
        <f t="shared" si="14"/>
        <v>-0.10492983834451075</v>
      </c>
      <c r="F136" s="362">
        <f t="shared" si="15"/>
        <v>-5.312672755764937E-2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634</v>
      </c>
      <c r="C137" s="376">
        <f>C136*C121</f>
        <v>3661.8088339738588</v>
      </c>
      <c r="D137" s="376">
        <f>LN_ID17*LN_ID4</f>
        <v>3659.8949644433101</v>
      </c>
      <c r="E137" s="376">
        <f t="shared" si="14"/>
        <v>-1.913869530548709</v>
      </c>
      <c r="F137" s="362">
        <f t="shared" si="15"/>
        <v>-5.226568664076722E-4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635</v>
      </c>
      <c r="C138" s="378">
        <f>IF(C137=0,0,C134/C137)</f>
        <v>2681.1189346947999</v>
      </c>
      <c r="D138" s="378">
        <f>IF(LN_ID18=0,0,LN_ID15/LN_ID18)</f>
        <v>2969.8461583181756</v>
      </c>
      <c r="E138" s="378">
        <f t="shared" si="14"/>
        <v>288.72722362337572</v>
      </c>
      <c r="F138" s="362">
        <f t="shared" si="15"/>
        <v>0.10768907708163362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668</v>
      </c>
      <c r="C139" s="378">
        <f>C61-C138</f>
        <v>2645.3059463604263</v>
      </c>
      <c r="D139" s="378">
        <f>LN_IB18-LN_ID19</f>
        <v>3445.6308715563996</v>
      </c>
      <c r="E139" s="378">
        <f t="shared" si="14"/>
        <v>800.32492519597326</v>
      </c>
      <c r="F139" s="362">
        <f t="shared" si="15"/>
        <v>0.30254531665689149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669</v>
      </c>
      <c r="C140" s="378">
        <f>C32-C138</f>
        <v>3342.1699747424896</v>
      </c>
      <c r="D140" s="378">
        <f>LN_IA16-LN_ID19</f>
        <v>4297.1167348910894</v>
      </c>
      <c r="E140" s="378">
        <f t="shared" si="14"/>
        <v>954.94676014859988</v>
      </c>
      <c r="F140" s="362">
        <f t="shared" si="15"/>
        <v>0.28572656907498473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646</v>
      </c>
      <c r="C141" s="353">
        <f>C140*C137</f>
        <v>12238387.538154237</v>
      </c>
      <c r="D141" s="353">
        <f>LN_ID21*LN_ID18</f>
        <v>15726995.899652977</v>
      </c>
      <c r="E141" s="353">
        <f t="shared" si="14"/>
        <v>3488608.3614987396</v>
      </c>
      <c r="F141" s="362">
        <f t="shared" si="15"/>
        <v>0.2850545752553349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670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637</v>
      </c>
      <c r="C144" s="361">
        <f>C118+C133</f>
        <v>71819535</v>
      </c>
      <c r="D144" s="361">
        <f>LN_ID1+LN_ID14</f>
        <v>85656216</v>
      </c>
      <c r="E144" s="361">
        <f>D144-C144</f>
        <v>13836681</v>
      </c>
      <c r="F144" s="362">
        <f>IF(C144=0,0,E144/C144)</f>
        <v>0.19265901679814551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638</v>
      </c>
      <c r="C145" s="361">
        <f>C119+C134</f>
        <v>18523993</v>
      </c>
      <c r="D145" s="361">
        <f>LN_1D2+LN_ID15</f>
        <v>21429106</v>
      </c>
      <c r="E145" s="361">
        <f>D145-C145</f>
        <v>2905113</v>
      </c>
      <c r="F145" s="362">
        <f>IF(C145=0,0,E145/C145)</f>
        <v>0.15682973967869671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639</v>
      </c>
      <c r="C146" s="361">
        <f>C144-C145</f>
        <v>53295542</v>
      </c>
      <c r="D146" s="361">
        <f>LN_ID23-LN_ID24</f>
        <v>64227110</v>
      </c>
      <c r="E146" s="361">
        <f>D146-C146</f>
        <v>10931568</v>
      </c>
      <c r="F146" s="362">
        <f>IF(C146=0,0,E146/C146)</f>
        <v>0.20511223996933928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648</v>
      </c>
      <c r="C148" s="361">
        <f>C127+C141</f>
        <v>14169854.401967231</v>
      </c>
      <c r="D148" s="361">
        <f>LN_ID10+LN_ID22</f>
        <v>17016685.341158368</v>
      </c>
      <c r="E148" s="361">
        <f>D148-C148</f>
        <v>2846830.9391911365</v>
      </c>
      <c r="F148" s="415">
        <f>IF(C148=0,0,E148/C148)</f>
        <v>0.20090756463918957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671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672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621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622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623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624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625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626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673</v>
      </c>
      <c r="C160" s="378">
        <f>C48-C159</f>
        <v>7007.2577297608977</v>
      </c>
      <c r="D160" s="378">
        <f>LN_IB7-LN_IE7</f>
        <v>8275.2905212356254</v>
      </c>
      <c r="E160" s="378">
        <f t="shared" si="16"/>
        <v>1268.0327914747277</v>
      </c>
      <c r="F160" s="362">
        <f t="shared" si="17"/>
        <v>0.18095991904068234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674</v>
      </c>
      <c r="C161" s="378">
        <f>C21-C159</f>
        <v>6186.2105472035373</v>
      </c>
      <c r="D161" s="378">
        <f>LN_IA7-LN_IE7</f>
        <v>6562.6696648489724</v>
      </c>
      <c r="E161" s="378">
        <f t="shared" si="16"/>
        <v>376.45911764543507</v>
      </c>
      <c r="F161" s="362">
        <f t="shared" si="17"/>
        <v>6.0854559471082433E-2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643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627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628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675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630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631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632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633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634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635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676</v>
      </c>
      <c r="C174" s="378">
        <f>C61-C173</f>
        <v>5326.4248810552263</v>
      </c>
      <c r="D174" s="378">
        <f>LN_IB18-LN_IE19</f>
        <v>6415.4770298745752</v>
      </c>
      <c r="E174" s="378">
        <f t="shared" si="18"/>
        <v>1089.052148819349</v>
      </c>
      <c r="F174" s="362">
        <f t="shared" si="19"/>
        <v>0.20446212480961437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677</v>
      </c>
      <c r="C175" s="378">
        <f>C32-C173</f>
        <v>6023.2889094372895</v>
      </c>
      <c r="D175" s="378">
        <f>LN_IA16-LN_IE19</f>
        <v>7266.9628932092646</v>
      </c>
      <c r="E175" s="378">
        <f t="shared" si="18"/>
        <v>1243.6739837719751</v>
      </c>
      <c r="F175" s="362">
        <f t="shared" si="19"/>
        <v>0.2064775577713675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646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678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637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638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639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679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680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681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621</v>
      </c>
      <c r="C188" s="361">
        <f>C118+C153</f>
        <v>24140325</v>
      </c>
      <c r="D188" s="361">
        <f>LN_ID1+LN_IE1</f>
        <v>29843751</v>
      </c>
      <c r="E188" s="361">
        <f t="shared" ref="E188:E200" si="20">D188-C188</f>
        <v>5703426</v>
      </c>
      <c r="F188" s="362">
        <f t="shared" ref="F188:F200" si="21">IF(C188=0,0,E188/C188)</f>
        <v>0.23626135936446588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622</v>
      </c>
      <c r="C189" s="361">
        <f>C119+C154</f>
        <v>8706248</v>
      </c>
      <c r="D189" s="361">
        <f>LN_1D2+LN_IE2</f>
        <v>10559781</v>
      </c>
      <c r="E189" s="361">
        <f t="shared" si="20"/>
        <v>1853533</v>
      </c>
      <c r="F189" s="362">
        <f t="shared" si="21"/>
        <v>0.21289687589877981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623</v>
      </c>
      <c r="C190" s="366">
        <f>IF(C188=0,0,C189/C188)</f>
        <v>0.36065164822760259</v>
      </c>
      <c r="D190" s="366">
        <f>IF(LN_IF1=0,0,LN_IF2/LN_IF1)</f>
        <v>0.35383558186100666</v>
      </c>
      <c r="E190" s="367">
        <f t="shared" si="20"/>
        <v>-6.8160663665959298E-3</v>
      </c>
      <c r="F190" s="362">
        <f t="shared" si="21"/>
        <v>-1.8899307406726167E-2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1854</v>
      </c>
      <c r="D191" s="369">
        <f>LN_ID4+LN_IE4</f>
        <v>1957</v>
      </c>
      <c r="E191" s="369">
        <f t="shared" si="20"/>
        <v>103</v>
      </c>
      <c r="F191" s="362">
        <f t="shared" si="21"/>
        <v>5.5555555555555552E-2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624</v>
      </c>
      <c r="C192" s="372">
        <f>IF((C121+C156)=0,0,(C123+C158)/(C121+C156))</f>
        <v>0.92749999999999999</v>
      </c>
      <c r="D192" s="372">
        <f>IF((LN_ID4+LN_IE4)=0,0,(LN_ID6+LN_IE6)/(LN_ID4+LN_IE4))</f>
        <v>0.92262999999999995</v>
      </c>
      <c r="E192" s="373">
        <f t="shared" si="20"/>
        <v>-4.870000000000041E-3</v>
      </c>
      <c r="F192" s="362">
        <f t="shared" si="21"/>
        <v>-5.2506738544474832E-3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625</v>
      </c>
      <c r="C193" s="376">
        <f>C123+C158</f>
        <v>1719.585</v>
      </c>
      <c r="D193" s="376">
        <f>LN_IF4*LN_IF5</f>
        <v>1805.58691</v>
      </c>
      <c r="E193" s="376">
        <f t="shared" si="20"/>
        <v>86.001909999999953</v>
      </c>
      <c r="F193" s="362">
        <f t="shared" si="21"/>
        <v>5.0013177598083228E-2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626</v>
      </c>
      <c r="C194" s="378">
        <f>IF(C193=0,0,C189/C193)</f>
        <v>5062.9936874303976</v>
      </c>
      <c r="D194" s="378">
        <f>IF(LN_IF6=0,0,LN_IF2/LN_IF6)</f>
        <v>5848.3925318222427</v>
      </c>
      <c r="E194" s="378">
        <f t="shared" si="20"/>
        <v>785.39884439184516</v>
      </c>
      <c r="F194" s="362">
        <f t="shared" si="21"/>
        <v>0.15512538487687819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682</v>
      </c>
      <c r="C195" s="378">
        <f>C48-C194</f>
        <v>1944.2640423305002</v>
      </c>
      <c r="D195" s="378">
        <f>LN_IB7-LN_IF7</f>
        <v>2426.8979894133827</v>
      </c>
      <c r="E195" s="378">
        <f t="shared" si="20"/>
        <v>482.63394708288251</v>
      </c>
      <c r="F195" s="362">
        <f t="shared" si="21"/>
        <v>0.24823477499710961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683</v>
      </c>
      <c r="C196" s="378">
        <f>C21-C194</f>
        <v>1123.2168597731397</v>
      </c>
      <c r="D196" s="378">
        <f>LN_IA7-LN_IF7</f>
        <v>714.27713302672964</v>
      </c>
      <c r="E196" s="378">
        <f t="shared" si="20"/>
        <v>-408.93972674641009</v>
      </c>
      <c r="F196" s="362">
        <f t="shared" si="21"/>
        <v>-0.36407904955148657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643</v>
      </c>
      <c r="C197" s="391">
        <f>C127+C162</f>
        <v>1931466.8638129944</v>
      </c>
      <c r="D197" s="391">
        <f>LN_IF9*LN_IF6</f>
        <v>1289689.4415053916</v>
      </c>
      <c r="E197" s="391">
        <f t="shared" si="20"/>
        <v>-641777.42230760283</v>
      </c>
      <c r="F197" s="362">
        <f t="shared" si="21"/>
        <v>-0.33227462211836323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8967</v>
      </c>
      <c r="D198" s="369">
        <f>LN_ID11+LN_IE11</f>
        <v>9483</v>
      </c>
      <c r="E198" s="369">
        <f t="shared" si="20"/>
        <v>516</v>
      </c>
      <c r="F198" s="362">
        <f t="shared" si="21"/>
        <v>5.7544329207092675E-2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627</v>
      </c>
      <c r="C199" s="432">
        <f>IF(C198=0,0,C189/C198)</f>
        <v>970.92093230734918</v>
      </c>
      <c r="D199" s="432">
        <f>IF(LN_IF11=0,0,LN_IF2/LN_IF11)</f>
        <v>1113.5485605820943</v>
      </c>
      <c r="E199" s="432">
        <f t="shared" si="20"/>
        <v>142.62762827474512</v>
      </c>
      <c r="F199" s="362">
        <f t="shared" si="21"/>
        <v>0.14689932365120309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628</v>
      </c>
      <c r="C200" s="379">
        <f>IF(C191=0,0,C198/C191)</f>
        <v>4.8365695792880263</v>
      </c>
      <c r="D200" s="379">
        <f>IF(LN_IF4=0,0,LN_IF11/LN_IF4)</f>
        <v>4.8456821665815024</v>
      </c>
      <c r="E200" s="379">
        <f t="shared" si="20"/>
        <v>9.1125872934760821E-3</v>
      </c>
      <c r="F200" s="362">
        <f t="shared" si="21"/>
        <v>1.8841013540877277E-3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684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630</v>
      </c>
      <c r="C203" s="361">
        <f>C133+C168</f>
        <v>47679210</v>
      </c>
      <c r="D203" s="361">
        <f>LN_ID14+LN_IE14</f>
        <v>55812465</v>
      </c>
      <c r="E203" s="361">
        <f t="shared" ref="E203:E211" si="22">D203-C203</f>
        <v>8133255</v>
      </c>
      <c r="F203" s="362">
        <f t="shared" ref="F203:F211" si="23">IF(C203=0,0,E203/C203)</f>
        <v>0.17058283893546056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631</v>
      </c>
      <c r="C204" s="361">
        <f>C134+C169</f>
        <v>9817745</v>
      </c>
      <c r="D204" s="361">
        <f>LN_ID15+LN_IE15</f>
        <v>10869325</v>
      </c>
      <c r="E204" s="361">
        <f t="shared" si="22"/>
        <v>1051580</v>
      </c>
      <c r="F204" s="362">
        <f t="shared" si="23"/>
        <v>0.10711013577965205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632</v>
      </c>
      <c r="C205" s="366">
        <f>IF(C203=0,0,C204/C203)</f>
        <v>0.20591249309709619</v>
      </c>
      <c r="D205" s="366">
        <f>IF(LN_IF14=0,0,LN_IF15/LN_IF14)</f>
        <v>0.19474726658283234</v>
      </c>
      <c r="E205" s="367">
        <f t="shared" si="22"/>
        <v>-1.1165226514263854E-2</v>
      </c>
      <c r="F205" s="362">
        <f t="shared" si="23"/>
        <v>-5.4223162209973301E-2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633</v>
      </c>
      <c r="C206" s="366">
        <f>IF(C188=0,0,C203/C188)</f>
        <v>1.9750856709675615</v>
      </c>
      <c r="D206" s="366">
        <f>IF(LN_IF1=0,0,LN_IF14/LN_IF1)</f>
        <v>1.8701558326230507</v>
      </c>
      <c r="E206" s="367">
        <f t="shared" si="22"/>
        <v>-0.10492983834451075</v>
      </c>
      <c r="F206" s="362">
        <f t="shared" si="23"/>
        <v>-5.312672755764937E-2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634</v>
      </c>
      <c r="C207" s="376">
        <f>C137+C172</f>
        <v>3661.8088339738588</v>
      </c>
      <c r="D207" s="376">
        <f>LN_ID18+LN_IE18</f>
        <v>3659.8949644433101</v>
      </c>
      <c r="E207" s="376">
        <f t="shared" si="22"/>
        <v>-1.913869530548709</v>
      </c>
      <c r="F207" s="362">
        <f t="shared" si="23"/>
        <v>-5.226568664076722E-4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635</v>
      </c>
      <c r="C208" s="378">
        <f>IF(C207=0,0,C204/C207)</f>
        <v>2681.1189346947999</v>
      </c>
      <c r="D208" s="378">
        <f>IF(LN_IF18=0,0,LN_IF15/LN_IF18)</f>
        <v>2969.8461583181756</v>
      </c>
      <c r="E208" s="378">
        <f t="shared" si="22"/>
        <v>288.72722362337572</v>
      </c>
      <c r="F208" s="362">
        <f t="shared" si="23"/>
        <v>0.10768907708163362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685</v>
      </c>
      <c r="C209" s="378">
        <f>C61-C208</f>
        <v>2645.3059463604263</v>
      </c>
      <c r="D209" s="378">
        <f>LN_IB18-LN_IF19</f>
        <v>3445.6308715563996</v>
      </c>
      <c r="E209" s="378">
        <f t="shared" si="22"/>
        <v>800.32492519597326</v>
      </c>
      <c r="F209" s="362">
        <f t="shared" si="23"/>
        <v>0.30254531665689149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686</v>
      </c>
      <c r="C210" s="378">
        <f>C32-C208</f>
        <v>3342.1699747424896</v>
      </c>
      <c r="D210" s="378">
        <f>LN_IA16-LN_IF19</f>
        <v>4297.1167348910894</v>
      </c>
      <c r="E210" s="378">
        <f t="shared" si="22"/>
        <v>954.94676014859988</v>
      </c>
      <c r="F210" s="362">
        <f t="shared" si="23"/>
        <v>0.28572656907498473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646</v>
      </c>
      <c r="C211" s="391">
        <f>C141+C176</f>
        <v>12238387.538154237</v>
      </c>
      <c r="D211" s="353">
        <f>LN_IF21*LN_IF18</f>
        <v>15726995.899652977</v>
      </c>
      <c r="E211" s="353">
        <f t="shared" si="22"/>
        <v>3488608.3614987396</v>
      </c>
      <c r="F211" s="362">
        <f t="shared" si="23"/>
        <v>0.2850545752553349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687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637</v>
      </c>
      <c r="C214" s="361">
        <f>C188+C203</f>
        <v>71819535</v>
      </c>
      <c r="D214" s="361">
        <f>LN_IF1+LN_IF14</f>
        <v>85656216</v>
      </c>
      <c r="E214" s="361">
        <f>D214-C214</f>
        <v>13836681</v>
      </c>
      <c r="F214" s="362">
        <f>IF(C214=0,0,E214/C214)</f>
        <v>0.19265901679814551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638</v>
      </c>
      <c r="C215" s="361">
        <f>C189+C204</f>
        <v>18523993</v>
      </c>
      <c r="D215" s="361">
        <f>LN_IF2+LN_IF15</f>
        <v>21429106</v>
      </c>
      <c r="E215" s="361">
        <f>D215-C215</f>
        <v>2905113</v>
      </c>
      <c r="F215" s="362">
        <f>IF(C215=0,0,E215/C215)</f>
        <v>0.15682973967869671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639</v>
      </c>
      <c r="C216" s="361">
        <f>C214-C215</f>
        <v>53295542</v>
      </c>
      <c r="D216" s="361">
        <f>LN_IF23-LN_IF24</f>
        <v>64227110</v>
      </c>
      <c r="E216" s="361">
        <f>D216-C216</f>
        <v>10931568</v>
      </c>
      <c r="F216" s="362">
        <f>IF(C216=0,0,E216/C216)</f>
        <v>0.20511223996933928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688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689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621</v>
      </c>
      <c r="C221" s="361">
        <v>493077</v>
      </c>
      <c r="D221" s="361">
        <v>530908</v>
      </c>
      <c r="E221" s="361">
        <f t="shared" ref="E221:E230" si="24">D221-C221</f>
        <v>37831</v>
      </c>
      <c r="F221" s="362">
        <f t="shared" ref="F221:F230" si="25">IF(C221=0,0,E221/C221)</f>
        <v>7.6724325004005459E-2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622</v>
      </c>
      <c r="C222" s="361">
        <v>240067</v>
      </c>
      <c r="D222" s="361">
        <v>209708</v>
      </c>
      <c r="E222" s="361">
        <f t="shared" si="24"/>
        <v>-30359</v>
      </c>
      <c r="F222" s="362">
        <f t="shared" si="25"/>
        <v>-0.12646052976877289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623</v>
      </c>
      <c r="C223" s="366">
        <f>IF(C221=0,0,C222/C221)</f>
        <v>0.48687527505845946</v>
      </c>
      <c r="D223" s="366">
        <f>IF(LN_IG1=0,0,LN_IG2/LN_IG1)</f>
        <v>0.39499875684676067</v>
      </c>
      <c r="E223" s="367">
        <f t="shared" si="24"/>
        <v>-9.1876518211698788E-2</v>
      </c>
      <c r="F223" s="362">
        <f t="shared" si="25"/>
        <v>-0.18870647765111323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47</v>
      </c>
      <c r="D224" s="369">
        <v>41</v>
      </c>
      <c r="E224" s="369">
        <f t="shared" si="24"/>
        <v>-6</v>
      </c>
      <c r="F224" s="362">
        <f t="shared" si="25"/>
        <v>-0.1276595744680851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624</v>
      </c>
      <c r="C225" s="372">
        <v>0.84570000000000001</v>
      </c>
      <c r="D225" s="372">
        <v>0.90251000000000003</v>
      </c>
      <c r="E225" s="373">
        <f t="shared" si="24"/>
        <v>5.6810000000000027E-2</v>
      </c>
      <c r="F225" s="362">
        <f t="shared" si="25"/>
        <v>6.7175121201371674E-2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625</v>
      </c>
      <c r="C226" s="376">
        <f>C224*C225</f>
        <v>39.747900000000001</v>
      </c>
      <c r="D226" s="376">
        <f>LN_IG3*LN_IG4</f>
        <v>37.00291</v>
      </c>
      <c r="E226" s="376">
        <f t="shared" si="24"/>
        <v>-2.7449900000000014</v>
      </c>
      <c r="F226" s="362">
        <f t="shared" si="25"/>
        <v>-6.9060000654122641E-2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626</v>
      </c>
      <c r="C227" s="378">
        <f>IF(C226=0,0,C222/C226)</f>
        <v>6039.7404642761003</v>
      </c>
      <c r="D227" s="378">
        <f>IF(LN_IG5=0,0,LN_IG2/LN_IG5)</f>
        <v>5667.3380553042989</v>
      </c>
      <c r="E227" s="378">
        <f t="shared" si="24"/>
        <v>-372.40240897180138</v>
      </c>
      <c r="F227" s="362">
        <f t="shared" si="25"/>
        <v>-6.1658677417430398E-2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190</v>
      </c>
      <c r="D228" s="369">
        <v>141</v>
      </c>
      <c r="E228" s="369">
        <f t="shared" si="24"/>
        <v>-49</v>
      </c>
      <c r="F228" s="362">
        <f t="shared" si="25"/>
        <v>-0.25789473684210529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627</v>
      </c>
      <c r="C229" s="378">
        <f>IF(C228=0,0,C222/C228)</f>
        <v>1263.5105263157895</v>
      </c>
      <c r="D229" s="378">
        <f>IF(LN_IG6=0,0,LN_IG2/LN_IG6)</f>
        <v>1487.2907801418439</v>
      </c>
      <c r="E229" s="378">
        <f t="shared" si="24"/>
        <v>223.78025382605438</v>
      </c>
      <c r="F229" s="362">
        <f t="shared" si="25"/>
        <v>0.17710992442505771</v>
      </c>
      <c r="Q229" s="330"/>
      <c r="U229" s="375"/>
    </row>
    <row r="230" spans="1:21" ht="11.25" customHeight="1" x14ac:dyDescent="0.2">
      <c r="A230" s="364">
        <v>10</v>
      </c>
      <c r="B230" s="360" t="s">
        <v>628</v>
      </c>
      <c r="C230" s="379">
        <f>IF(C224=0,0,C228/C224)</f>
        <v>4.042553191489362</v>
      </c>
      <c r="D230" s="379">
        <f>IF(LN_IG3=0,0,LN_IG6/LN_IG3)</f>
        <v>3.4390243902439024</v>
      </c>
      <c r="E230" s="379">
        <f t="shared" si="24"/>
        <v>-0.6035288012454596</v>
      </c>
      <c r="F230" s="362">
        <f t="shared" si="25"/>
        <v>-0.14929396662387684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690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630</v>
      </c>
      <c r="C233" s="361">
        <v>1306300</v>
      </c>
      <c r="D233" s="361">
        <v>1152920</v>
      </c>
      <c r="E233" s="361">
        <f>D233-C233</f>
        <v>-153380</v>
      </c>
      <c r="F233" s="362">
        <f>IF(C233=0,0,E233/C233)</f>
        <v>-0.11741560131669601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631</v>
      </c>
      <c r="C234" s="361">
        <v>1014912</v>
      </c>
      <c r="D234" s="361">
        <v>799526</v>
      </c>
      <c r="E234" s="361">
        <f>D234-C234</f>
        <v>-215386</v>
      </c>
      <c r="F234" s="362">
        <f>IF(C234=0,0,E234/C234)</f>
        <v>-0.21222135515197377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691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637</v>
      </c>
      <c r="C237" s="361">
        <f>C221+C233</f>
        <v>1799377</v>
      </c>
      <c r="D237" s="361">
        <f>LN_IG1+LN_IG9</f>
        <v>1683828</v>
      </c>
      <c r="E237" s="361">
        <f>D237-C237</f>
        <v>-115549</v>
      </c>
      <c r="F237" s="362">
        <f>IF(C237=0,0,E237/C237)</f>
        <v>-6.4216114799733465E-2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638</v>
      </c>
      <c r="C238" s="361">
        <f>C222+C234</f>
        <v>1254979</v>
      </c>
      <c r="D238" s="361">
        <f>LN_IG2+LN_IG10</f>
        <v>1009234</v>
      </c>
      <c r="E238" s="361">
        <f>D238-C238</f>
        <v>-245745</v>
      </c>
      <c r="F238" s="362">
        <f>IF(C238=0,0,E238/C238)</f>
        <v>-0.19581602560680297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639</v>
      </c>
      <c r="C239" s="361">
        <f>C237-C238</f>
        <v>544398</v>
      </c>
      <c r="D239" s="361">
        <f>LN_IG13-LN_IG14</f>
        <v>674594</v>
      </c>
      <c r="E239" s="361">
        <f>D239-C239</f>
        <v>130196</v>
      </c>
      <c r="F239" s="362">
        <f>IF(C239=0,0,E239/C239)</f>
        <v>0.23915591166756675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692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693</v>
      </c>
      <c r="C243" s="361">
        <v>13148358</v>
      </c>
      <c r="D243" s="361">
        <v>19861936</v>
      </c>
      <c r="E243" s="353">
        <f>D243-C243</f>
        <v>6713578</v>
      </c>
      <c r="F243" s="415">
        <f>IF(C243=0,0,E243/C243)</f>
        <v>0.51060200825076407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694</v>
      </c>
      <c r="C244" s="361">
        <v>173322666</v>
      </c>
      <c r="D244" s="361">
        <v>184446001</v>
      </c>
      <c r="E244" s="353">
        <f>D244-C244</f>
        <v>11123335</v>
      </c>
      <c r="F244" s="415">
        <f>IF(C244=0,0,E244/C244)</f>
        <v>6.4177036141366536E-2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695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696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697</v>
      </c>
      <c r="C248" s="353">
        <v>4838371</v>
      </c>
      <c r="D248" s="353">
        <v>4953633</v>
      </c>
      <c r="E248" s="353">
        <f>D248-C248</f>
        <v>115262</v>
      </c>
      <c r="F248" s="362">
        <f>IF(C248=0,0,E248/C248)</f>
        <v>2.3822480748169166E-2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698</v>
      </c>
      <c r="C249" s="353">
        <v>6164670</v>
      </c>
      <c r="D249" s="353">
        <v>6382307</v>
      </c>
      <c r="E249" s="353">
        <f>D249-C249</f>
        <v>217637</v>
      </c>
      <c r="F249" s="362">
        <f>IF(C249=0,0,E249/C249)</f>
        <v>3.5303917322419533E-2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699</v>
      </c>
      <c r="C250" s="353">
        <f>C248+C249</f>
        <v>11003041</v>
      </c>
      <c r="D250" s="353">
        <f>LN_IH4+LN_IH5</f>
        <v>11335940</v>
      </c>
      <c r="E250" s="353">
        <f>D250-C250</f>
        <v>332899</v>
      </c>
      <c r="F250" s="362">
        <f>IF(C250=0,0,E250/C250)</f>
        <v>3.0255181272159214E-2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700</v>
      </c>
      <c r="C251" s="353">
        <f>C250*C313</f>
        <v>3887793.0208011824</v>
      </c>
      <c r="D251" s="353">
        <f>LN_IH6*LN_III10</f>
        <v>3645985.4832385797</v>
      </c>
      <c r="E251" s="353">
        <f>D251-C251</f>
        <v>-241807.53756260267</v>
      </c>
      <c r="F251" s="362">
        <f>IF(C251=0,0,E251/C251)</f>
        <v>-6.2196607758910949E-2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701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637</v>
      </c>
      <c r="C254" s="353">
        <f>C188+C203</f>
        <v>71819535</v>
      </c>
      <c r="D254" s="353">
        <f>LN_IF23</f>
        <v>85656216</v>
      </c>
      <c r="E254" s="353">
        <f>D254-C254</f>
        <v>13836681</v>
      </c>
      <c r="F254" s="362">
        <f>IF(C254=0,0,E254/C254)</f>
        <v>0.19265901679814551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638</v>
      </c>
      <c r="C255" s="353">
        <f>C189+C204</f>
        <v>18523993</v>
      </c>
      <c r="D255" s="353">
        <f>LN_IF24</f>
        <v>21429106</v>
      </c>
      <c r="E255" s="353">
        <f>D255-C255</f>
        <v>2905113</v>
      </c>
      <c r="F255" s="362">
        <f>IF(C255=0,0,E255/C255)</f>
        <v>0.15682973967869671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702</v>
      </c>
      <c r="C256" s="353">
        <f>C254*C313</f>
        <v>25376574.251626093</v>
      </c>
      <c r="D256" s="353">
        <f>LN_IH8*LN_III10</f>
        <v>27549662.408688486</v>
      </c>
      <c r="E256" s="353">
        <f>D256-C256</f>
        <v>2173088.1570623927</v>
      </c>
      <c r="F256" s="362">
        <f>IF(C256=0,0,E256/C256)</f>
        <v>8.5633629485002069E-2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703</v>
      </c>
      <c r="C257" s="353">
        <f>C256-C255</f>
        <v>6852581.2516260929</v>
      </c>
      <c r="D257" s="353">
        <f>LN_IH10-LN_IH9</f>
        <v>6120556.4086884856</v>
      </c>
      <c r="E257" s="353">
        <f>D257-C257</f>
        <v>-732024.84293760732</v>
      </c>
      <c r="F257" s="362">
        <f>IF(C257=0,0,E257/C257)</f>
        <v>-0.10682468635653178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704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705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706</v>
      </c>
      <c r="C261" s="361">
        <f>C15+C42+C188+C221</f>
        <v>150353329</v>
      </c>
      <c r="D261" s="361">
        <f>LN_IA1+LN_IB1+LN_IF1+LN_IG1</f>
        <v>185302227</v>
      </c>
      <c r="E261" s="361">
        <f t="shared" ref="E261:E274" si="26">D261-C261</f>
        <v>34948898</v>
      </c>
      <c r="F261" s="415">
        <f t="shared" ref="F261:F274" si="27">IF(C261=0,0,E261/C261)</f>
        <v>0.23244512264839842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707</v>
      </c>
      <c r="C262" s="361">
        <f>C16+C43+C189+C222</f>
        <v>65437723</v>
      </c>
      <c r="D262" s="361">
        <f>+LN_IA2+LN_IB2+LN_IF2+LN_IG2</f>
        <v>71078441</v>
      </c>
      <c r="E262" s="361">
        <f t="shared" si="26"/>
        <v>5640718</v>
      </c>
      <c r="F262" s="415">
        <f t="shared" si="27"/>
        <v>8.6199790295270515E-2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708</v>
      </c>
      <c r="C263" s="366">
        <f>IF(C261=0,0,C262/C261)</f>
        <v>0.43522629951213121</v>
      </c>
      <c r="D263" s="366">
        <f>IF(LN_IIA1=0,0,LN_IIA2/LN_IIA1)</f>
        <v>0.38358114821793265</v>
      </c>
      <c r="E263" s="367">
        <f t="shared" si="26"/>
        <v>-5.1645151294198555E-2</v>
      </c>
      <c r="F263" s="371">
        <f t="shared" si="27"/>
        <v>-0.11866275395602335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709</v>
      </c>
      <c r="C264" s="369">
        <f>C18+C45+C191+C224</f>
        <v>9281</v>
      </c>
      <c r="D264" s="369">
        <f>LN_IA4+LN_IB4+LN_IF4+LN_IG3</f>
        <v>8831</v>
      </c>
      <c r="E264" s="369">
        <f t="shared" si="26"/>
        <v>-450</v>
      </c>
      <c r="F264" s="415">
        <f t="shared" si="27"/>
        <v>-4.848615450921237E-2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710</v>
      </c>
      <c r="C265" s="439">
        <f>IF(C264=0,0,C266/C264)</f>
        <v>1.1207939984915418</v>
      </c>
      <c r="D265" s="439">
        <f>IF(LN_IIA4=0,0,LN_IIA6/LN_IIA4)</f>
        <v>1.1529057558600384</v>
      </c>
      <c r="E265" s="439">
        <f t="shared" si="26"/>
        <v>3.2111757368496585E-2</v>
      </c>
      <c r="F265" s="415">
        <f t="shared" si="27"/>
        <v>2.8650900532760946E-2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711</v>
      </c>
      <c r="C266" s="376">
        <f>C20+C47+C193+C226</f>
        <v>10402.089099999999</v>
      </c>
      <c r="D266" s="376">
        <f>LN_IA6+LN_IB6+LN_IF6+LN_IG5</f>
        <v>10181.310729999999</v>
      </c>
      <c r="E266" s="376">
        <f t="shared" si="26"/>
        <v>-220.77837</v>
      </c>
      <c r="F266" s="415">
        <f t="shared" si="27"/>
        <v>-2.1224425966510901E-2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712</v>
      </c>
      <c r="C267" s="361">
        <f>C27+C56+C203+C233</f>
        <v>270967534</v>
      </c>
      <c r="D267" s="361">
        <f>LN_IA11+LN_IB13+LN_IF14+LN_IG9</f>
        <v>306599579</v>
      </c>
      <c r="E267" s="361">
        <f t="shared" si="26"/>
        <v>35632045</v>
      </c>
      <c r="F267" s="415">
        <f t="shared" si="27"/>
        <v>0.13149931460054545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633</v>
      </c>
      <c r="C268" s="366">
        <f>IF(C261=0,0,C267/C261)</f>
        <v>1.8022050845312509</v>
      </c>
      <c r="D268" s="366">
        <f>IF(LN_IIA1=0,0,LN_IIA7/LN_IIA1)</f>
        <v>1.6545919817790424</v>
      </c>
      <c r="E268" s="367">
        <f t="shared" si="26"/>
        <v>-0.14761310275220851</v>
      </c>
      <c r="F268" s="371">
        <f t="shared" si="27"/>
        <v>-8.1906939459446881E-2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713</v>
      </c>
      <c r="C269" s="361">
        <f>C28+C57+C204+C234</f>
        <v>94434009</v>
      </c>
      <c r="D269" s="361">
        <f>LN_IA12+LN_IB14+LN_IF15+LN_IG10</f>
        <v>98468185</v>
      </c>
      <c r="E269" s="361">
        <f t="shared" si="26"/>
        <v>4034176</v>
      </c>
      <c r="F269" s="415">
        <f t="shared" si="27"/>
        <v>4.2719524911835526E-2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632</v>
      </c>
      <c r="C270" s="366">
        <f>IF(C267=0,0,C269/C267)</f>
        <v>0.34850672922314008</v>
      </c>
      <c r="D270" s="366">
        <f>IF(LN_IIA7=0,0,LN_IIA9/LN_IIA7)</f>
        <v>0.32116216637075029</v>
      </c>
      <c r="E270" s="367">
        <f t="shared" si="26"/>
        <v>-2.7344562852389787E-2</v>
      </c>
      <c r="F270" s="371">
        <f t="shared" si="27"/>
        <v>-7.8462079952785507E-2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714</v>
      </c>
      <c r="C271" s="353">
        <f>C261+C267</f>
        <v>421320863</v>
      </c>
      <c r="D271" s="353">
        <f>LN_IIA1+LN_IIA7</f>
        <v>491901806</v>
      </c>
      <c r="E271" s="353">
        <f t="shared" si="26"/>
        <v>70580943</v>
      </c>
      <c r="F271" s="415">
        <f t="shared" si="27"/>
        <v>0.16752301914847259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715</v>
      </c>
      <c r="C272" s="353">
        <f>C262+C269</f>
        <v>159871732</v>
      </c>
      <c r="D272" s="353">
        <f>LN_IIA2+LN_IIA9</f>
        <v>169546626</v>
      </c>
      <c r="E272" s="353">
        <f t="shared" si="26"/>
        <v>9674894</v>
      </c>
      <c r="F272" s="415">
        <f t="shared" si="27"/>
        <v>6.051660214702622E-2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716</v>
      </c>
      <c r="C273" s="366">
        <f>IF(C271=0,0,C272/C271)</f>
        <v>0.37945363270558002</v>
      </c>
      <c r="D273" s="366">
        <f>IF(LN_IIA11=0,0,LN_IIA12/LN_IIA11)</f>
        <v>0.34467575425002606</v>
      </c>
      <c r="E273" s="367">
        <f t="shared" si="26"/>
        <v>-3.4777878455553968E-2</v>
      </c>
      <c r="F273" s="371">
        <f t="shared" si="27"/>
        <v>-9.1652511553469027E-2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43475</v>
      </c>
      <c r="D274" s="421">
        <f>LN_IA8+LN_IB10+LN_IF11+LN_IG6</f>
        <v>45545</v>
      </c>
      <c r="E274" s="442">
        <f t="shared" si="26"/>
        <v>2070</v>
      </c>
      <c r="F274" s="371">
        <f t="shared" si="27"/>
        <v>4.7613571017826338E-2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717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718</v>
      </c>
      <c r="C277" s="361">
        <f>C15+C188+C221</f>
        <v>106073171</v>
      </c>
      <c r="D277" s="361">
        <f>LN_IA1+LN_IF1+LN_IG1</f>
        <v>135531064</v>
      </c>
      <c r="E277" s="361">
        <f t="shared" ref="E277:E291" si="28">D277-C277</f>
        <v>29457893</v>
      </c>
      <c r="F277" s="415">
        <f t="shared" ref="F277:F291" si="29">IF(C277=0,0,E277/C277)</f>
        <v>0.27771294779148253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719</v>
      </c>
      <c r="C278" s="361">
        <f>C16+C189+C222</f>
        <v>39616494</v>
      </c>
      <c r="D278" s="361">
        <f>LN_IA2+LN_IF2+LN_IG2</f>
        <v>44093566</v>
      </c>
      <c r="E278" s="361">
        <f t="shared" si="28"/>
        <v>4477072</v>
      </c>
      <c r="F278" s="415">
        <f t="shared" si="29"/>
        <v>0.11301030323379954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720</v>
      </c>
      <c r="C279" s="366">
        <f>IF(C277=0,0,C278/C277)</f>
        <v>0.37348269714685911</v>
      </c>
      <c r="D279" s="366">
        <f>IF(D277=0,0,LN_IIB2/D277)</f>
        <v>0.32533918570874643</v>
      </c>
      <c r="E279" s="367">
        <f t="shared" si="28"/>
        <v>-4.8143511438112685E-2</v>
      </c>
      <c r="F279" s="371">
        <f t="shared" si="29"/>
        <v>-0.12890426198025962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721</v>
      </c>
      <c r="C280" s="369">
        <f>C18+C191+C224</f>
        <v>5527</v>
      </c>
      <c r="D280" s="369">
        <f>LN_IA4+LN_IF4+LN_IG3</f>
        <v>5535</v>
      </c>
      <c r="E280" s="369">
        <f t="shared" si="28"/>
        <v>8</v>
      </c>
      <c r="F280" s="415">
        <f t="shared" si="29"/>
        <v>1.4474398407816175E-3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722</v>
      </c>
      <c r="C281" s="439">
        <f>IF(C280=0,0,C282/C280)</f>
        <v>1.2153361136240275</v>
      </c>
      <c r="D281" s="439">
        <f>IF(LN_IIB4=0,0,LN_IIB6/LN_IIB4)</f>
        <v>1.2503004751580848</v>
      </c>
      <c r="E281" s="439">
        <f t="shared" si="28"/>
        <v>3.4964361534057353E-2</v>
      </c>
      <c r="F281" s="415">
        <f t="shared" si="29"/>
        <v>2.8769293648155194E-2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723</v>
      </c>
      <c r="C282" s="376">
        <f>C20+C193+C226</f>
        <v>6717.1626999999999</v>
      </c>
      <c r="D282" s="376">
        <f>LN_IA6+LN_IF6+LN_IG5</f>
        <v>6920.4131299999999</v>
      </c>
      <c r="E282" s="376">
        <f t="shared" si="28"/>
        <v>203.25043000000005</v>
      </c>
      <c r="F282" s="415">
        <f t="shared" si="29"/>
        <v>3.0258375310754353E-2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724</v>
      </c>
      <c r="C283" s="361">
        <f>C27+C203+C233</f>
        <v>139712495</v>
      </c>
      <c r="D283" s="361">
        <f>LN_IA11+LN_IF14+LN_IG9</f>
        <v>163705230</v>
      </c>
      <c r="E283" s="361">
        <f t="shared" si="28"/>
        <v>23992735</v>
      </c>
      <c r="F283" s="415">
        <f t="shared" si="29"/>
        <v>0.17172934317721547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725</v>
      </c>
      <c r="C284" s="366">
        <f>IF(C277=0,0,C283/C277)</f>
        <v>1.3171331985540433</v>
      </c>
      <c r="D284" s="366">
        <f>IF(D277=0,0,LN_IIB7/D277)</f>
        <v>1.2078797669588133</v>
      </c>
      <c r="E284" s="367">
        <f t="shared" si="28"/>
        <v>-0.10925343159523004</v>
      </c>
      <c r="F284" s="371">
        <f t="shared" si="29"/>
        <v>-8.2947899054681112E-2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726</v>
      </c>
      <c r="C285" s="361">
        <f>C28+C204+C234</f>
        <v>35163740</v>
      </c>
      <c r="D285" s="361">
        <f>LN_IA12+LN_IF15+LN_IG10</f>
        <v>37759137</v>
      </c>
      <c r="E285" s="361">
        <f t="shared" si="28"/>
        <v>2595397</v>
      </c>
      <c r="F285" s="415">
        <f t="shared" si="29"/>
        <v>7.3808900873456582E-2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727</v>
      </c>
      <c r="C286" s="366">
        <f>IF(C283=0,0,C285/C283)</f>
        <v>0.25168643649231232</v>
      </c>
      <c r="D286" s="366">
        <f>IF(LN_IIB7=0,0,LN_IIB9/LN_IIB7)</f>
        <v>0.23065321126270677</v>
      </c>
      <c r="E286" s="367">
        <f t="shared" si="28"/>
        <v>-2.1033225229605546E-2</v>
      </c>
      <c r="F286" s="371">
        <f t="shared" si="29"/>
        <v>-8.3569164563414997E-2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728</v>
      </c>
      <c r="C287" s="353">
        <f>C277+C283</f>
        <v>245785666</v>
      </c>
      <c r="D287" s="353">
        <f>D277+LN_IIB7</f>
        <v>299236294</v>
      </c>
      <c r="E287" s="353">
        <f t="shared" si="28"/>
        <v>53450628</v>
      </c>
      <c r="F287" s="415">
        <f t="shared" si="29"/>
        <v>0.21746845074358404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729</v>
      </c>
      <c r="C288" s="353">
        <f>C278+C285</f>
        <v>74780234</v>
      </c>
      <c r="D288" s="353">
        <f>LN_IIB2+LN_IIB9</f>
        <v>81852703</v>
      </c>
      <c r="E288" s="353">
        <f t="shared" si="28"/>
        <v>7072469</v>
      </c>
      <c r="F288" s="415">
        <f t="shared" si="29"/>
        <v>9.4576716622737506E-2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730</v>
      </c>
      <c r="C289" s="366">
        <f>IF(C287=0,0,C288/C287)</f>
        <v>0.30424977671399273</v>
      </c>
      <c r="D289" s="366">
        <f>IF(LN_IIB11=0,0,LN_IIB12/LN_IIB11)</f>
        <v>0.27353868712195722</v>
      </c>
      <c r="E289" s="367">
        <f t="shared" si="28"/>
        <v>-3.0711089592035501E-2</v>
      </c>
      <c r="F289" s="371">
        <f t="shared" si="29"/>
        <v>-0.10094038498146601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30078</v>
      </c>
      <c r="D290" s="421">
        <f>LN_IA8+LN_IF11+LN_IG6</f>
        <v>32366</v>
      </c>
      <c r="E290" s="442">
        <f t="shared" si="28"/>
        <v>2288</v>
      </c>
      <c r="F290" s="371">
        <f t="shared" si="29"/>
        <v>7.6068887559013226E-2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731</v>
      </c>
      <c r="C291" s="361">
        <f>C287-C288</f>
        <v>171005432</v>
      </c>
      <c r="D291" s="429">
        <f>LN_IIB11-LN_IIB12</f>
        <v>217383591</v>
      </c>
      <c r="E291" s="353">
        <f t="shared" si="28"/>
        <v>46378159</v>
      </c>
      <c r="F291" s="415">
        <f t="shared" si="29"/>
        <v>0.27120868885615285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628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619</v>
      </c>
      <c r="C294" s="379">
        <f>IF(C18=0,0,C22/C18)</f>
        <v>5.7697186982901272</v>
      </c>
      <c r="D294" s="379">
        <f>IF(LN_IA4=0,0,LN_IA8/LN_IA4)</f>
        <v>6.429742719819056</v>
      </c>
      <c r="E294" s="379">
        <f t="shared" ref="E294:E300" si="30">D294-C294</f>
        <v>0.66002402152892881</v>
      </c>
      <c r="F294" s="415">
        <f t="shared" ref="F294:F300" si="31">IF(C294=0,0,E294/C294)</f>
        <v>0.11439448888981864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640</v>
      </c>
      <c r="C295" s="379">
        <f>IF(C45=0,0,C51/C45)</f>
        <v>3.5687266915290357</v>
      </c>
      <c r="D295" s="379">
        <f>IF(LN_IB4=0,0,(LN_IB10)/(LN_IB4))</f>
        <v>3.998483009708738</v>
      </c>
      <c r="E295" s="379">
        <f t="shared" si="30"/>
        <v>0.42975631817970239</v>
      </c>
      <c r="F295" s="415">
        <f t="shared" si="31"/>
        <v>0.12042287216888876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655</v>
      </c>
      <c r="C296" s="379">
        <f>IF(C86=0,0,C93/C86)</f>
        <v>5.7685185185185182</v>
      </c>
      <c r="D296" s="379">
        <f>IF(LN_IC4=0,0,LN_IC11/LN_IC4)</f>
        <v>5.3571428571428568</v>
      </c>
      <c r="E296" s="379">
        <f t="shared" si="30"/>
        <v>-0.41137566137566139</v>
      </c>
      <c r="F296" s="415">
        <f t="shared" si="31"/>
        <v>-7.1313918825957362E-2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4.8365695792880263</v>
      </c>
      <c r="D297" s="379">
        <f>IF(LN_ID4=0,0,LN_ID11/LN_ID4)</f>
        <v>4.8456821665815024</v>
      </c>
      <c r="E297" s="379">
        <f t="shared" si="30"/>
        <v>9.1125872934760821E-3</v>
      </c>
      <c r="F297" s="415">
        <f t="shared" si="31"/>
        <v>1.8841013540877277E-3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732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4.042553191489362</v>
      </c>
      <c r="D299" s="379">
        <f>IF(LN_IG3=0,0,LN_IG6/LN_IG3)</f>
        <v>3.4390243902439024</v>
      </c>
      <c r="E299" s="379">
        <f t="shared" si="30"/>
        <v>-0.6035288012454596</v>
      </c>
      <c r="F299" s="415">
        <f t="shared" si="31"/>
        <v>-0.14929396662387684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733</v>
      </c>
      <c r="C300" s="379">
        <f>IF(C264=0,0,C274/C264)</f>
        <v>4.6843012606400176</v>
      </c>
      <c r="D300" s="379">
        <f>IF(LN_IIA4=0,0,LN_IIA14/LN_IIA4)</f>
        <v>5.1574000679424756</v>
      </c>
      <c r="E300" s="379">
        <f t="shared" si="30"/>
        <v>0.47309880730245801</v>
      </c>
      <c r="F300" s="415">
        <f t="shared" si="31"/>
        <v>0.10099666545311357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734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728</v>
      </c>
      <c r="C304" s="353">
        <f>C35+C66+C214+C221+C233</f>
        <v>421320863</v>
      </c>
      <c r="D304" s="353">
        <f>LN_IIA11</f>
        <v>491901806</v>
      </c>
      <c r="E304" s="353">
        <f t="shared" ref="E304:E316" si="32">D304-C304</f>
        <v>70580943</v>
      </c>
      <c r="F304" s="362">
        <f>IF(C304=0,0,E304/C304)</f>
        <v>0.16752301914847259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731</v>
      </c>
      <c r="C305" s="353">
        <f>C291</f>
        <v>171005432</v>
      </c>
      <c r="D305" s="353">
        <f>LN_IIB14</f>
        <v>217383591</v>
      </c>
      <c r="E305" s="353">
        <f t="shared" si="32"/>
        <v>46378159</v>
      </c>
      <c r="F305" s="362">
        <f>IF(C305=0,0,E305/C305)</f>
        <v>0.27120868885615285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735</v>
      </c>
      <c r="C306" s="353">
        <f>C250</f>
        <v>11003041</v>
      </c>
      <c r="D306" s="353">
        <f>LN_IH6</f>
        <v>11335940</v>
      </c>
      <c r="E306" s="353">
        <f t="shared" si="32"/>
        <v>332899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736</v>
      </c>
      <c r="C307" s="353">
        <f>C73-C74</f>
        <v>90443699</v>
      </c>
      <c r="D307" s="353">
        <f>LN_IB32-LN_IB33</f>
        <v>104971589</v>
      </c>
      <c r="E307" s="353">
        <f t="shared" si="32"/>
        <v>14527890</v>
      </c>
      <c r="F307" s="362">
        <f t="shared" ref="F307:F316" si="33">IF(C307=0,0,E307/C307)</f>
        <v>0.16062910032018926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737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738</v>
      </c>
      <c r="C309" s="353">
        <f>C305+C307+C308+C306</f>
        <v>272452172</v>
      </c>
      <c r="D309" s="353">
        <f>LN_III2+LN_III3+LN_III4+LN_III5</f>
        <v>333691120</v>
      </c>
      <c r="E309" s="353">
        <f t="shared" si="32"/>
        <v>61238948</v>
      </c>
      <c r="F309" s="362">
        <f t="shared" si="33"/>
        <v>0.22476953496263558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739</v>
      </c>
      <c r="C310" s="353">
        <f>C304-C309</f>
        <v>148868691</v>
      </c>
      <c r="D310" s="353">
        <f>LN_III1-LN_III6</f>
        <v>158210686</v>
      </c>
      <c r="E310" s="353">
        <f t="shared" si="32"/>
        <v>9341995</v>
      </c>
      <c r="F310" s="362">
        <f t="shared" si="33"/>
        <v>6.2753255484727807E-2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740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741</v>
      </c>
      <c r="C312" s="353">
        <f>C310+C311</f>
        <v>148868691</v>
      </c>
      <c r="D312" s="353">
        <f>LN_III7+LN_III8</f>
        <v>158210686</v>
      </c>
      <c r="E312" s="353">
        <f t="shared" si="32"/>
        <v>9341995</v>
      </c>
      <c r="F312" s="362">
        <f t="shared" si="33"/>
        <v>6.2753255484727807E-2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742</v>
      </c>
      <c r="C313" s="448">
        <f>IF(C304=0,0,C312/C304)</f>
        <v>0.3533380472544983</v>
      </c>
      <c r="D313" s="448">
        <f>IF(LN_III1=0,0,LN_III9/LN_III1)</f>
        <v>0.32163062641815143</v>
      </c>
      <c r="E313" s="448">
        <f t="shared" si="32"/>
        <v>-3.1707420836346867E-2</v>
      </c>
      <c r="F313" s="362">
        <f t="shared" si="33"/>
        <v>-8.9736786294935866E-2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700</v>
      </c>
      <c r="C314" s="353">
        <f>C306*C313</f>
        <v>3887793.0208011824</v>
      </c>
      <c r="D314" s="353">
        <f>D313*LN_III5</f>
        <v>3645985.4832385797</v>
      </c>
      <c r="E314" s="353">
        <f t="shared" si="32"/>
        <v>-241807.53756260267</v>
      </c>
      <c r="F314" s="362">
        <f t="shared" si="33"/>
        <v>-6.2196607758910949E-2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703</v>
      </c>
      <c r="C315" s="353">
        <f>(C214*C313)-C215</f>
        <v>6852581.2516260929</v>
      </c>
      <c r="D315" s="353">
        <f>D313*LN_IH8-LN_IH9</f>
        <v>6120556.4086884856</v>
      </c>
      <c r="E315" s="353">
        <f t="shared" si="32"/>
        <v>-732024.84293760732</v>
      </c>
      <c r="F315" s="362">
        <f t="shared" si="33"/>
        <v>-0.10682468635653178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743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744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745</v>
      </c>
      <c r="C318" s="353">
        <f>C314+C315+C316</f>
        <v>10740374.272427276</v>
      </c>
      <c r="D318" s="353">
        <f>D314+D315+D316</f>
        <v>9766541.8919270653</v>
      </c>
      <c r="E318" s="353">
        <f>D318-C318</f>
        <v>-973832.38050021045</v>
      </c>
      <c r="F318" s="362">
        <f>IF(C318=0,0,E318/C318)</f>
        <v>-9.0670246287434891E-2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746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12238387.538154237</v>
      </c>
      <c r="D322" s="353">
        <f>LN_ID22</f>
        <v>15726995.899652977</v>
      </c>
      <c r="E322" s="353">
        <f>LN_IV2-C322</f>
        <v>3488608.3614987396</v>
      </c>
      <c r="F322" s="362">
        <f>IF(C322=0,0,E322/C322)</f>
        <v>0.2850545752553349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732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747</v>
      </c>
      <c r="C324" s="353">
        <f>C92+C106</f>
        <v>5415805.3018099573</v>
      </c>
      <c r="D324" s="353">
        <f>LN_IC10+LN_IC22</f>
        <v>5822797.6882234365</v>
      </c>
      <c r="E324" s="353">
        <f>LN_IV1-C324</f>
        <v>406992.38641347922</v>
      </c>
      <c r="F324" s="362">
        <f>IF(C324=0,0,E324/C324)</f>
        <v>7.5149006238732899E-2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748</v>
      </c>
      <c r="C325" s="429">
        <f>C324+C322+C323</f>
        <v>17654192.839964196</v>
      </c>
      <c r="D325" s="429">
        <f>LN_IV1+LN_IV2+LN_IV3</f>
        <v>21549793.587876413</v>
      </c>
      <c r="E325" s="353">
        <f>LN_IV4-C325</f>
        <v>3895600.7479122169</v>
      </c>
      <c r="F325" s="362">
        <f>IF(C325=0,0,E325/C325)</f>
        <v>0.22066150422315867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749</v>
      </c>
      <c r="B327" s="446" t="s">
        <v>750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751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752</v>
      </c>
      <c r="C330" s="429">
        <v>6730528</v>
      </c>
      <c r="D330" s="429">
        <v>5670938</v>
      </c>
      <c r="E330" s="431">
        <f t="shared" si="34"/>
        <v>-1059590</v>
      </c>
      <c r="F330" s="463">
        <f t="shared" si="35"/>
        <v>-0.15743044230705228</v>
      </c>
    </row>
    <row r="331" spans="1:22" s="333" customFormat="1" ht="11.25" customHeight="1" x14ac:dyDescent="0.2">
      <c r="A331" s="339">
        <v>3</v>
      </c>
      <c r="B331" s="360" t="s">
        <v>753</v>
      </c>
      <c r="C331" s="429">
        <v>166602260</v>
      </c>
      <c r="D331" s="429">
        <v>175217566</v>
      </c>
      <c r="E331" s="431">
        <f t="shared" si="34"/>
        <v>8615306</v>
      </c>
      <c r="F331" s="462">
        <f t="shared" si="35"/>
        <v>5.171181951553358E-2</v>
      </c>
    </row>
    <row r="332" spans="1:22" s="333" customFormat="1" ht="11.25" customHeight="1" x14ac:dyDescent="0.2">
      <c r="A332" s="364">
        <v>4</v>
      </c>
      <c r="B332" s="360" t="s">
        <v>754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755</v>
      </c>
      <c r="C333" s="429">
        <v>421320863</v>
      </c>
      <c r="D333" s="429">
        <v>491901806</v>
      </c>
      <c r="E333" s="431">
        <f t="shared" si="34"/>
        <v>70580943</v>
      </c>
      <c r="F333" s="462">
        <f t="shared" si="35"/>
        <v>0.16752301914847259</v>
      </c>
    </row>
    <row r="334" spans="1:22" s="333" customFormat="1" ht="11.25" customHeight="1" x14ac:dyDescent="0.2">
      <c r="A334" s="339">
        <v>6</v>
      </c>
      <c r="B334" s="360" t="s">
        <v>756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757</v>
      </c>
      <c r="C335" s="429">
        <v>11003044</v>
      </c>
      <c r="D335" s="429">
        <v>11335940</v>
      </c>
      <c r="E335" s="429">
        <f t="shared" si="34"/>
        <v>332896</v>
      </c>
      <c r="F335" s="462">
        <f t="shared" si="35"/>
        <v>3.0254900371206369E-2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610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758</v>
      </c>
      <c r="B5" s="710"/>
      <c r="C5" s="710"/>
      <c r="D5" s="710"/>
      <c r="E5" s="710"/>
    </row>
    <row r="6" spans="1:5" s="338" customFormat="1" ht="15.75" customHeight="1" x14ac:dyDescent="0.25">
      <c r="A6" s="710" t="s">
        <v>759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760</v>
      </c>
      <c r="D9" s="494" t="s">
        <v>761</v>
      </c>
      <c r="E9" s="495" t="s">
        <v>762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763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764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640</v>
      </c>
      <c r="C14" s="513">
        <v>44280158</v>
      </c>
      <c r="D14" s="513">
        <v>49771163</v>
      </c>
      <c r="E14" s="514">
        <f t="shared" ref="E14:E22" si="0">D14-C14</f>
        <v>5491005</v>
      </c>
    </row>
    <row r="15" spans="1:5" s="506" customFormat="1" x14ac:dyDescent="0.2">
      <c r="A15" s="512">
        <v>2</v>
      </c>
      <c r="B15" s="511" t="s">
        <v>619</v>
      </c>
      <c r="C15" s="513">
        <v>81439769</v>
      </c>
      <c r="D15" s="515">
        <v>105156405</v>
      </c>
      <c r="E15" s="514">
        <f t="shared" si="0"/>
        <v>23716636</v>
      </c>
    </row>
    <row r="16" spans="1:5" s="506" customFormat="1" x14ac:dyDescent="0.2">
      <c r="A16" s="512">
        <v>3</v>
      </c>
      <c r="B16" s="511" t="s">
        <v>765</v>
      </c>
      <c r="C16" s="513">
        <v>24140325</v>
      </c>
      <c r="D16" s="515">
        <v>29843751</v>
      </c>
      <c r="E16" s="514">
        <f t="shared" si="0"/>
        <v>5703426</v>
      </c>
    </row>
    <row r="17" spans="1:5" s="506" customFormat="1" x14ac:dyDescent="0.2">
      <c r="A17" s="512">
        <v>4</v>
      </c>
      <c r="B17" s="511" t="s">
        <v>114</v>
      </c>
      <c r="C17" s="513">
        <v>24140325</v>
      </c>
      <c r="D17" s="515">
        <v>29843751</v>
      </c>
      <c r="E17" s="514">
        <f t="shared" si="0"/>
        <v>5703426</v>
      </c>
    </row>
    <row r="18" spans="1:5" s="506" customFormat="1" x14ac:dyDescent="0.2">
      <c r="A18" s="512">
        <v>5</v>
      </c>
      <c r="B18" s="511" t="s">
        <v>732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493077</v>
      </c>
      <c r="D19" s="515">
        <v>530908</v>
      </c>
      <c r="E19" s="514">
        <f t="shared" si="0"/>
        <v>37831</v>
      </c>
    </row>
    <row r="20" spans="1:5" s="506" customFormat="1" x14ac:dyDescent="0.2">
      <c r="A20" s="512">
        <v>7</v>
      </c>
      <c r="B20" s="511" t="s">
        <v>747</v>
      </c>
      <c r="C20" s="513">
        <v>2596225</v>
      </c>
      <c r="D20" s="515">
        <v>2434687</v>
      </c>
      <c r="E20" s="514">
        <f t="shared" si="0"/>
        <v>-161538</v>
      </c>
    </row>
    <row r="21" spans="1:5" s="506" customFormat="1" x14ac:dyDescent="0.2">
      <c r="A21" s="512"/>
      <c r="B21" s="516" t="s">
        <v>766</v>
      </c>
      <c r="C21" s="517">
        <f>SUM(C15+C16+C19)</f>
        <v>106073171</v>
      </c>
      <c r="D21" s="517">
        <f>SUM(D15+D16+D19)</f>
        <v>135531064</v>
      </c>
      <c r="E21" s="517">
        <f t="shared" si="0"/>
        <v>29457893</v>
      </c>
    </row>
    <row r="22" spans="1:5" s="506" customFormat="1" x14ac:dyDescent="0.2">
      <c r="A22" s="512"/>
      <c r="B22" s="516" t="s">
        <v>706</v>
      </c>
      <c r="C22" s="517">
        <f>SUM(C14+C21)</f>
        <v>150353329</v>
      </c>
      <c r="D22" s="517">
        <f>SUM(D14+D21)</f>
        <v>185302227</v>
      </c>
      <c r="E22" s="517">
        <f t="shared" si="0"/>
        <v>34948898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767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640</v>
      </c>
      <c r="C25" s="513">
        <v>131255039</v>
      </c>
      <c r="D25" s="513">
        <v>142894349</v>
      </c>
      <c r="E25" s="514">
        <f t="shared" ref="E25:E33" si="1">D25-C25</f>
        <v>11639310</v>
      </c>
    </row>
    <row r="26" spans="1:5" s="506" customFormat="1" x14ac:dyDescent="0.2">
      <c r="A26" s="512">
        <v>2</v>
      </c>
      <c r="B26" s="511" t="s">
        <v>619</v>
      </c>
      <c r="C26" s="513">
        <v>90726985</v>
      </c>
      <c r="D26" s="515">
        <v>106739845</v>
      </c>
      <c r="E26" s="514">
        <f t="shared" si="1"/>
        <v>16012860</v>
      </c>
    </row>
    <row r="27" spans="1:5" s="506" customFormat="1" x14ac:dyDescent="0.2">
      <c r="A27" s="512">
        <v>3</v>
      </c>
      <c r="B27" s="511" t="s">
        <v>765</v>
      </c>
      <c r="C27" s="513">
        <v>47679210</v>
      </c>
      <c r="D27" s="515">
        <v>55812465</v>
      </c>
      <c r="E27" s="514">
        <f t="shared" si="1"/>
        <v>8133255</v>
      </c>
    </row>
    <row r="28" spans="1:5" s="506" customFormat="1" x14ac:dyDescent="0.2">
      <c r="A28" s="512">
        <v>4</v>
      </c>
      <c r="B28" s="511" t="s">
        <v>114</v>
      </c>
      <c r="C28" s="513">
        <v>47679210</v>
      </c>
      <c r="D28" s="515">
        <v>55812465</v>
      </c>
      <c r="E28" s="514">
        <f t="shared" si="1"/>
        <v>8133255</v>
      </c>
    </row>
    <row r="29" spans="1:5" s="506" customFormat="1" x14ac:dyDescent="0.2">
      <c r="A29" s="512">
        <v>5</v>
      </c>
      <c r="B29" s="511" t="s">
        <v>732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1306300</v>
      </c>
      <c r="D30" s="515">
        <v>1152920</v>
      </c>
      <c r="E30" s="514">
        <f t="shared" si="1"/>
        <v>-153380</v>
      </c>
    </row>
    <row r="31" spans="1:5" s="506" customFormat="1" x14ac:dyDescent="0.2">
      <c r="A31" s="512">
        <v>7</v>
      </c>
      <c r="B31" s="511" t="s">
        <v>747</v>
      </c>
      <c r="C31" s="514">
        <v>8757284</v>
      </c>
      <c r="D31" s="518">
        <v>9151074</v>
      </c>
      <c r="E31" s="514">
        <f t="shared" si="1"/>
        <v>393790</v>
      </c>
    </row>
    <row r="32" spans="1:5" s="506" customFormat="1" x14ac:dyDescent="0.2">
      <c r="A32" s="512"/>
      <c r="B32" s="516" t="s">
        <v>768</v>
      </c>
      <c r="C32" s="517">
        <f>SUM(C26+C27+C30)</f>
        <v>139712495</v>
      </c>
      <c r="D32" s="517">
        <f>SUM(D26+D27+D30)</f>
        <v>163705230</v>
      </c>
      <c r="E32" s="517">
        <f t="shared" si="1"/>
        <v>23992735</v>
      </c>
    </row>
    <row r="33" spans="1:5" s="506" customFormat="1" x14ac:dyDescent="0.2">
      <c r="A33" s="512"/>
      <c r="B33" s="516" t="s">
        <v>712</v>
      </c>
      <c r="C33" s="517">
        <f>SUM(C25+C32)</f>
        <v>270967534</v>
      </c>
      <c r="D33" s="517">
        <f>SUM(D25+D32)</f>
        <v>306599579</v>
      </c>
      <c r="E33" s="517">
        <f t="shared" si="1"/>
        <v>35632045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637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769</v>
      </c>
      <c r="C36" s="514">
        <f t="shared" ref="C36:D42" si="2">C14+C25</f>
        <v>175535197</v>
      </c>
      <c r="D36" s="514">
        <f t="shared" si="2"/>
        <v>192665512</v>
      </c>
      <c r="E36" s="514">
        <f t="shared" ref="E36:E44" si="3">D36-C36</f>
        <v>17130315</v>
      </c>
    </row>
    <row r="37" spans="1:5" s="506" customFormat="1" x14ac:dyDescent="0.2">
      <c r="A37" s="512">
        <v>2</v>
      </c>
      <c r="B37" s="511" t="s">
        <v>770</v>
      </c>
      <c r="C37" s="514">
        <f t="shared" si="2"/>
        <v>172166754</v>
      </c>
      <c r="D37" s="514">
        <f t="shared" si="2"/>
        <v>211896250</v>
      </c>
      <c r="E37" s="514">
        <f t="shared" si="3"/>
        <v>39729496</v>
      </c>
    </row>
    <row r="38" spans="1:5" s="506" customFormat="1" x14ac:dyDescent="0.2">
      <c r="A38" s="512">
        <v>3</v>
      </c>
      <c r="B38" s="511" t="s">
        <v>771</v>
      </c>
      <c r="C38" s="514">
        <f t="shared" si="2"/>
        <v>71819535</v>
      </c>
      <c r="D38" s="514">
        <f t="shared" si="2"/>
        <v>85656216</v>
      </c>
      <c r="E38" s="514">
        <f t="shared" si="3"/>
        <v>13836681</v>
      </c>
    </row>
    <row r="39" spans="1:5" s="506" customFormat="1" x14ac:dyDescent="0.2">
      <c r="A39" s="512">
        <v>4</v>
      </c>
      <c r="B39" s="511" t="s">
        <v>772</v>
      </c>
      <c r="C39" s="514">
        <f t="shared" si="2"/>
        <v>71819535</v>
      </c>
      <c r="D39" s="514">
        <f t="shared" si="2"/>
        <v>85656216</v>
      </c>
      <c r="E39" s="514">
        <f t="shared" si="3"/>
        <v>13836681</v>
      </c>
    </row>
    <row r="40" spans="1:5" s="506" customFormat="1" x14ac:dyDescent="0.2">
      <c r="A40" s="512">
        <v>5</v>
      </c>
      <c r="B40" s="511" t="s">
        <v>773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774</v>
      </c>
      <c r="C41" s="514">
        <f t="shared" si="2"/>
        <v>1799377</v>
      </c>
      <c r="D41" s="514">
        <f t="shared" si="2"/>
        <v>1683828</v>
      </c>
      <c r="E41" s="514">
        <f t="shared" si="3"/>
        <v>-115549</v>
      </c>
    </row>
    <row r="42" spans="1:5" s="506" customFormat="1" x14ac:dyDescent="0.2">
      <c r="A42" s="512">
        <v>7</v>
      </c>
      <c r="B42" s="511" t="s">
        <v>775</v>
      </c>
      <c r="C42" s="514">
        <f t="shared" si="2"/>
        <v>11353509</v>
      </c>
      <c r="D42" s="514">
        <f t="shared" si="2"/>
        <v>11585761</v>
      </c>
      <c r="E42" s="514">
        <f t="shared" si="3"/>
        <v>232252</v>
      </c>
    </row>
    <row r="43" spans="1:5" s="506" customFormat="1" x14ac:dyDescent="0.2">
      <c r="A43" s="512"/>
      <c r="B43" s="516" t="s">
        <v>776</v>
      </c>
      <c r="C43" s="517">
        <f>SUM(C37+C38+C41)</f>
        <v>245785666</v>
      </c>
      <c r="D43" s="517">
        <f>SUM(D37+D38+D41)</f>
        <v>299236294</v>
      </c>
      <c r="E43" s="517">
        <f t="shared" si="3"/>
        <v>53450628</v>
      </c>
    </row>
    <row r="44" spans="1:5" s="506" customFormat="1" x14ac:dyDescent="0.2">
      <c r="A44" s="512"/>
      <c r="B44" s="516" t="s">
        <v>714</v>
      </c>
      <c r="C44" s="517">
        <f>SUM(C36+C43)</f>
        <v>421320863</v>
      </c>
      <c r="D44" s="517">
        <f>SUM(D36+D43)</f>
        <v>491901806</v>
      </c>
      <c r="E44" s="517">
        <f t="shared" si="3"/>
        <v>70580943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777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640</v>
      </c>
      <c r="C47" s="513">
        <v>25821229</v>
      </c>
      <c r="D47" s="513">
        <v>26984875</v>
      </c>
      <c r="E47" s="514">
        <f t="shared" ref="E47:E55" si="4">D47-C47</f>
        <v>1163646</v>
      </c>
    </row>
    <row r="48" spans="1:5" s="506" customFormat="1" x14ac:dyDescent="0.2">
      <c r="A48" s="512">
        <v>2</v>
      </c>
      <c r="B48" s="511" t="s">
        <v>619</v>
      </c>
      <c r="C48" s="513">
        <v>30670179</v>
      </c>
      <c r="D48" s="515">
        <v>33324077</v>
      </c>
      <c r="E48" s="514">
        <f t="shared" si="4"/>
        <v>2653898</v>
      </c>
    </row>
    <row r="49" spans="1:5" s="506" customFormat="1" x14ac:dyDescent="0.2">
      <c r="A49" s="512">
        <v>3</v>
      </c>
      <c r="B49" s="511" t="s">
        <v>765</v>
      </c>
      <c r="C49" s="513">
        <v>8706248</v>
      </c>
      <c r="D49" s="515">
        <v>10559781</v>
      </c>
      <c r="E49" s="514">
        <f t="shared" si="4"/>
        <v>1853533</v>
      </c>
    </row>
    <row r="50" spans="1:5" s="506" customFormat="1" x14ac:dyDescent="0.2">
      <c r="A50" s="512">
        <v>4</v>
      </c>
      <c r="B50" s="511" t="s">
        <v>114</v>
      </c>
      <c r="C50" s="513">
        <v>8706248</v>
      </c>
      <c r="D50" s="515">
        <v>10559781</v>
      </c>
      <c r="E50" s="514">
        <f t="shared" si="4"/>
        <v>1853533</v>
      </c>
    </row>
    <row r="51" spans="1:5" s="506" customFormat="1" x14ac:dyDescent="0.2">
      <c r="A51" s="512">
        <v>5</v>
      </c>
      <c r="B51" s="511" t="s">
        <v>732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240067</v>
      </c>
      <c r="D52" s="515">
        <v>209708</v>
      </c>
      <c r="E52" s="514">
        <f t="shared" si="4"/>
        <v>-30359</v>
      </c>
    </row>
    <row r="53" spans="1:5" s="506" customFormat="1" x14ac:dyDescent="0.2">
      <c r="A53" s="512">
        <v>7</v>
      </c>
      <c r="B53" s="511" t="s">
        <v>747</v>
      </c>
      <c r="C53" s="513">
        <v>37680</v>
      </c>
      <c r="D53" s="515">
        <v>25557</v>
      </c>
      <c r="E53" s="514">
        <f t="shared" si="4"/>
        <v>-12123</v>
      </c>
    </row>
    <row r="54" spans="1:5" s="506" customFormat="1" x14ac:dyDescent="0.2">
      <c r="A54" s="512"/>
      <c r="B54" s="516" t="s">
        <v>778</v>
      </c>
      <c r="C54" s="517">
        <f>SUM(C48+C49+C52)</f>
        <v>39616494</v>
      </c>
      <c r="D54" s="517">
        <f>SUM(D48+D49+D52)</f>
        <v>44093566</v>
      </c>
      <c r="E54" s="517">
        <f t="shared" si="4"/>
        <v>4477072</v>
      </c>
    </row>
    <row r="55" spans="1:5" s="506" customFormat="1" x14ac:dyDescent="0.2">
      <c r="A55" s="512"/>
      <c r="B55" s="516" t="s">
        <v>707</v>
      </c>
      <c r="C55" s="517">
        <f>SUM(C47+C54)</f>
        <v>65437723</v>
      </c>
      <c r="D55" s="517">
        <f>SUM(D47+D54)</f>
        <v>71078441</v>
      </c>
      <c r="E55" s="517">
        <f t="shared" si="4"/>
        <v>5640718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779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640</v>
      </c>
      <c r="C58" s="513">
        <v>59270269</v>
      </c>
      <c r="D58" s="513">
        <v>60709048</v>
      </c>
      <c r="E58" s="514">
        <f t="shared" ref="E58:E66" si="5">D58-C58</f>
        <v>1438779</v>
      </c>
    </row>
    <row r="59" spans="1:5" s="506" customFormat="1" x14ac:dyDescent="0.2">
      <c r="A59" s="512">
        <v>2</v>
      </c>
      <c r="B59" s="511" t="s">
        <v>619</v>
      </c>
      <c r="C59" s="513">
        <v>24331083</v>
      </c>
      <c r="D59" s="515">
        <v>26090286</v>
      </c>
      <c r="E59" s="514">
        <f t="shared" si="5"/>
        <v>1759203</v>
      </c>
    </row>
    <row r="60" spans="1:5" s="506" customFormat="1" x14ac:dyDescent="0.2">
      <c r="A60" s="512">
        <v>3</v>
      </c>
      <c r="B60" s="511" t="s">
        <v>765</v>
      </c>
      <c r="C60" s="513">
        <f>C61+C62</f>
        <v>9817745</v>
      </c>
      <c r="D60" s="515">
        <f>D61+D62</f>
        <v>10869325</v>
      </c>
      <c r="E60" s="514">
        <f t="shared" si="5"/>
        <v>1051580</v>
      </c>
    </row>
    <row r="61" spans="1:5" s="506" customFormat="1" x14ac:dyDescent="0.2">
      <c r="A61" s="512">
        <v>4</v>
      </c>
      <c r="B61" s="511" t="s">
        <v>114</v>
      </c>
      <c r="C61" s="513">
        <v>9817745</v>
      </c>
      <c r="D61" s="515">
        <v>10869325</v>
      </c>
      <c r="E61" s="514">
        <f t="shared" si="5"/>
        <v>1051580</v>
      </c>
    </row>
    <row r="62" spans="1:5" s="506" customFormat="1" x14ac:dyDescent="0.2">
      <c r="A62" s="512">
        <v>5</v>
      </c>
      <c r="B62" s="511" t="s">
        <v>732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1014912</v>
      </c>
      <c r="D63" s="515">
        <v>799526</v>
      </c>
      <c r="E63" s="514">
        <f t="shared" si="5"/>
        <v>-215386</v>
      </c>
    </row>
    <row r="64" spans="1:5" s="506" customFormat="1" x14ac:dyDescent="0.2">
      <c r="A64" s="512">
        <v>7</v>
      </c>
      <c r="B64" s="511" t="s">
        <v>747</v>
      </c>
      <c r="C64" s="513">
        <v>312777</v>
      </c>
      <c r="D64" s="515">
        <v>329737</v>
      </c>
      <c r="E64" s="514">
        <f t="shared" si="5"/>
        <v>16960</v>
      </c>
    </row>
    <row r="65" spans="1:5" s="506" customFormat="1" x14ac:dyDescent="0.2">
      <c r="A65" s="512"/>
      <c r="B65" s="516" t="s">
        <v>780</v>
      </c>
      <c r="C65" s="517">
        <f>SUM(C59+C60+C63)</f>
        <v>35163740</v>
      </c>
      <c r="D65" s="517">
        <f>SUM(D59+D60+D63)</f>
        <v>37759137</v>
      </c>
      <c r="E65" s="517">
        <f t="shared" si="5"/>
        <v>2595397</v>
      </c>
    </row>
    <row r="66" spans="1:5" s="506" customFormat="1" x14ac:dyDescent="0.2">
      <c r="A66" s="512"/>
      <c r="B66" s="516" t="s">
        <v>713</v>
      </c>
      <c r="C66" s="517">
        <f>SUM(C58+C65)</f>
        <v>94434009</v>
      </c>
      <c r="D66" s="517">
        <f>SUM(D58+D65)</f>
        <v>98468185</v>
      </c>
      <c r="E66" s="517">
        <f t="shared" si="5"/>
        <v>4034176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638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769</v>
      </c>
      <c r="C69" s="514">
        <f t="shared" ref="C69:D75" si="6">C47+C58</f>
        <v>85091498</v>
      </c>
      <c r="D69" s="514">
        <f t="shared" si="6"/>
        <v>87693923</v>
      </c>
      <c r="E69" s="514">
        <f t="shared" ref="E69:E77" si="7">D69-C69</f>
        <v>2602425</v>
      </c>
    </row>
    <row r="70" spans="1:5" s="506" customFormat="1" x14ac:dyDescent="0.2">
      <c r="A70" s="512">
        <v>2</v>
      </c>
      <c r="B70" s="511" t="s">
        <v>770</v>
      </c>
      <c r="C70" s="514">
        <f t="shared" si="6"/>
        <v>55001262</v>
      </c>
      <c r="D70" s="514">
        <f t="shared" si="6"/>
        <v>59414363</v>
      </c>
      <c r="E70" s="514">
        <f t="shared" si="7"/>
        <v>4413101</v>
      </c>
    </row>
    <row r="71" spans="1:5" s="506" customFormat="1" x14ac:dyDescent="0.2">
      <c r="A71" s="512">
        <v>3</v>
      </c>
      <c r="B71" s="511" t="s">
        <v>771</v>
      </c>
      <c r="C71" s="514">
        <f t="shared" si="6"/>
        <v>18523993</v>
      </c>
      <c r="D71" s="514">
        <f t="shared" si="6"/>
        <v>21429106</v>
      </c>
      <c r="E71" s="514">
        <f t="shared" si="7"/>
        <v>2905113</v>
      </c>
    </row>
    <row r="72" spans="1:5" s="506" customFormat="1" x14ac:dyDescent="0.2">
      <c r="A72" s="512">
        <v>4</v>
      </c>
      <c r="B72" s="511" t="s">
        <v>772</v>
      </c>
      <c r="C72" s="514">
        <f t="shared" si="6"/>
        <v>18523993</v>
      </c>
      <c r="D72" s="514">
        <f t="shared" si="6"/>
        <v>21429106</v>
      </c>
      <c r="E72" s="514">
        <f t="shared" si="7"/>
        <v>2905113</v>
      </c>
    </row>
    <row r="73" spans="1:5" s="506" customFormat="1" x14ac:dyDescent="0.2">
      <c r="A73" s="512">
        <v>5</v>
      </c>
      <c r="B73" s="511" t="s">
        <v>773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774</v>
      </c>
      <c r="C74" s="514">
        <f t="shared" si="6"/>
        <v>1254979</v>
      </c>
      <c r="D74" s="514">
        <f t="shared" si="6"/>
        <v>1009234</v>
      </c>
      <c r="E74" s="514">
        <f t="shared" si="7"/>
        <v>-245745</v>
      </c>
    </row>
    <row r="75" spans="1:5" s="506" customFormat="1" x14ac:dyDescent="0.2">
      <c r="A75" s="512">
        <v>7</v>
      </c>
      <c r="B75" s="511" t="s">
        <v>775</v>
      </c>
      <c r="C75" s="514">
        <f t="shared" si="6"/>
        <v>350457</v>
      </c>
      <c r="D75" s="514">
        <f t="shared" si="6"/>
        <v>355294</v>
      </c>
      <c r="E75" s="514">
        <f t="shared" si="7"/>
        <v>4837</v>
      </c>
    </row>
    <row r="76" spans="1:5" s="506" customFormat="1" x14ac:dyDescent="0.2">
      <c r="A76" s="512"/>
      <c r="B76" s="516" t="s">
        <v>781</v>
      </c>
      <c r="C76" s="517">
        <f>SUM(C70+C71+C74)</f>
        <v>74780234</v>
      </c>
      <c r="D76" s="517">
        <f>SUM(D70+D71+D74)</f>
        <v>81852703</v>
      </c>
      <c r="E76" s="517">
        <f t="shared" si="7"/>
        <v>7072469</v>
      </c>
    </row>
    <row r="77" spans="1:5" s="506" customFormat="1" x14ac:dyDescent="0.2">
      <c r="A77" s="512"/>
      <c r="B77" s="516" t="s">
        <v>715</v>
      </c>
      <c r="C77" s="517">
        <f>SUM(C69+C76)</f>
        <v>159871732</v>
      </c>
      <c r="D77" s="517">
        <f>SUM(D69+D76)</f>
        <v>169546626</v>
      </c>
      <c r="E77" s="517">
        <f t="shared" si="7"/>
        <v>9674894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782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783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640</v>
      </c>
      <c r="C83" s="523">
        <f t="shared" ref="C83:D89" si="8">IF(C$44=0,0,C14/C$44)</f>
        <v>0.10509842233946055</v>
      </c>
      <c r="D83" s="523">
        <f t="shared" si="8"/>
        <v>0.10118109426091434</v>
      </c>
      <c r="E83" s="523">
        <f t="shared" ref="E83:E91" si="9">D83-C83</f>
        <v>-3.9173280785462089E-3</v>
      </c>
    </row>
    <row r="84" spans="1:5" s="506" customFormat="1" x14ac:dyDescent="0.2">
      <c r="A84" s="512">
        <v>2</v>
      </c>
      <c r="B84" s="511" t="s">
        <v>619</v>
      </c>
      <c r="C84" s="523">
        <f t="shared" si="8"/>
        <v>0.1932963120319062</v>
      </c>
      <c r="D84" s="523">
        <f t="shared" si="8"/>
        <v>0.21377519601950801</v>
      </c>
      <c r="E84" s="523">
        <f t="shared" si="9"/>
        <v>2.0478883987601809E-2</v>
      </c>
    </row>
    <row r="85" spans="1:5" s="506" customFormat="1" x14ac:dyDescent="0.2">
      <c r="A85" s="512">
        <v>3</v>
      </c>
      <c r="B85" s="511" t="s">
        <v>765</v>
      </c>
      <c r="C85" s="523">
        <f t="shared" si="8"/>
        <v>5.7296770988528048E-2</v>
      </c>
      <c r="D85" s="523">
        <f t="shared" si="8"/>
        <v>6.0670139113089577E-2</v>
      </c>
      <c r="E85" s="523">
        <f t="shared" si="9"/>
        <v>3.3733681245615293E-3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5.7296770988528048E-2</v>
      </c>
      <c r="D86" s="523">
        <f t="shared" si="8"/>
        <v>6.0670139113089577E-2</v>
      </c>
      <c r="E86" s="523">
        <f t="shared" si="9"/>
        <v>3.3733681245615293E-3</v>
      </c>
    </row>
    <row r="87" spans="1:5" s="506" customFormat="1" x14ac:dyDescent="0.2">
      <c r="A87" s="512">
        <v>5</v>
      </c>
      <c r="B87" s="511" t="s">
        <v>732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1.1703123279703336E-3</v>
      </c>
      <c r="D88" s="523">
        <f t="shared" si="8"/>
        <v>1.0792967082540047E-3</v>
      </c>
      <c r="E88" s="523">
        <f t="shared" si="9"/>
        <v>-9.1015619716328881E-5</v>
      </c>
    </row>
    <row r="89" spans="1:5" s="506" customFormat="1" x14ac:dyDescent="0.2">
      <c r="A89" s="512">
        <v>7</v>
      </c>
      <c r="B89" s="511" t="s">
        <v>747</v>
      </c>
      <c r="C89" s="523">
        <f t="shared" si="8"/>
        <v>6.1621088058959944E-3</v>
      </c>
      <c r="D89" s="523">
        <f t="shared" si="8"/>
        <v>4.9495386483699964E-3</v>
      </c>
      <c r="E89" s="523">
        <f t="shared" si="9"/>
        <v>-1.2125701575259979E-3</v>
      </c>
    </row>
    <row r="90" spans="1:5" s="506" customFormat="1" x14ac:dyDescent="0.2">
      <c r="A90" s="512"/>
      <c r="B90" s="516" t="s">
        <v>784</v>
      </c>
      <c r="C90" s="524">
        <f>SUM(C84+C85+C88)</f>
        <v>0.25176339534840458</v>
      </c>
      <c r="D90" s="524">
        <f>SUM(D84+D85+D88)</f>
        <v>0.27552463184085163</v>
      </c>
      <c r="E90" s="525">
        <f t="shared" si="9"/>
        <v>2.3761236492447046E-2</v>
      </c>
    </row>
    <row r="91" spans="1:5" s="506" customFormat="1" x14ac:dyDescent="0.2">
      <c r="A91" s="512"/>
      <c r="B91" s="516" t="s">
        <v>785</v>
      </c>
      <c r="C91" s="524">
        <f>SUM(C83+C90)</f>
        <v>0.35686181768786512</v>
      </c>
      <c r="D91" s="524">
        <f>SUM(D83+D90)</f>
        <v>0.376705726101766</v>
      </c>
      <c r="E91" s="525">
        <f t="shared" si="9"/>
        <v>1.9843908413900879E-2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786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640</v>
      </c>
      <c r="C95" s="523">
        <f t="shared" ref="C95:D101" si="10">IF(C$44=0,0,C25/C$44)</f>
        <v>0.31153225611806457</v>
      </c>
      <c r="D95" s="523">
        <f t="shared" si="10"/>
        <v>0.29049364579889347</v>
      </c>
      <c r="E95" s="523">
        <f t="shared" ref="E95:E103" si="11">D95-C95</f>
        <v>-2.1038610319171092E-2</v>
      </c>
    </row>
    <row r="96" spans="1:5" s="506" customFormat="1" x14ac:dyDescent="0.2">
      <c r="A96" s="512">
        <v>2</v>
      </c>
      <c r="B96" s="511" t="s">
        <v>619</v>
      </c>
      <c r="C96" s="523">
        <f t="shared" si="10"/>
        <v>0.21533940748621319</v>
      </c>
      <c r="D96" s="523">
        <f t="shared" si="10"/>
        <v>0.21699421245873612</v>
      </c>
      <c r="E96" s="523">
        <f t="shared" si="11"/>
        <v>1.654804972522933E-3</v>
      </c>
    </row>
    <row r="97" spans="1:5" s="506" customFormat="1" x14ac:dyDescent="0.2">
      <c r="A97" s="512">
        <v>3</v>
      </c>
      <c r="B97" s="511" t="s">
        <v>765</v>
      </c>
      <c r="C97" s="523">
        <f t="shared" si="10"/>
        <v>0.11316603137215163</v>
      </c>
      <c r="D97" s="523">
        <f t="shared" si="10"/>
        <v>0.11346261452839634</v>
      </c>
      <c r="E97" s="523">
        <f t="shared" si="11"/>
        <v>2.9658315624471465E-4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0.11316603137215163</v>
      </c>
      <c r="D98" s="523">
        <f t="shared" si="10"/>
        <v>0.11346261452839634</v>
      </c>
      <c r="E98" s="523">
        <f t="shared" si="11"/>
        <v>2.9658315624471465E-4</v>
      </c>
    </row>
    <row r="99" spans="1:5" s="506" customFormat="1" x14ac:dyDescent="0.2">
      <c r="A99" s="512">
        <v>5</v>
      </c>
      <c r="B99" s="511" t="s">
        <v>732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3.1004873357054715E-3</v>
      </c>
      <c r="D100" s="523">
        <f t="shared" si="10"/>
        <v>2.3438011122081546E-3</v>
      </c>
      <c r="E100" s="523">
        <f t="shared" si="11"/>
        <v>-7.5668622349731691E-4</v>
      </c>
    </row>
    <row r="101" spans="1:5" s="506" customFormat="1" x14ac:dyDescent="0.2">
      <c r="A101" s="512">
        <v>7</v>
      </c>
      <c r="B101" s="511" t="s">
        <v>747</v>
      </c>
      <c r="C101" s="523">
        <f t="shared" si="10"/>
        <v>2.0785308227188361E-2</v>
      </c>
      <c r="D101" s="523">
        <f t="shared" si="10"/>
        <v>1.8603456804547693E-2</v>
      </c>
      <c r="E101" s="523">
        <f t="shared" si="11"/>
        <v>-2.1818514226406675E-3</v>
      </c>
    </row>
    <row r="102" spans="1:5" s="506" customFormat="1" x14ac:dyDescent="0.2">
      <c r="A102" s="512"/>
      <c r="B102" s="516" t="s">
        <v>787</v>
      </c>
      <c r="C102" s="524">
        <f>SUM(C96+C97+C100)</f>
        <v>0.33160592619407026</v>
      </c>
      <c r="D102" s="524">
        <f>SUM(D96+D97+D100)</f>
        <v>0.33280062809934063</v>
      </c>
      <c r="E102" s="525">
        <f t="shared" si="11"/>
        <v>1.1947019052703789E-3</v>
      </c>
    </row>
    <row r="103" spans="1:5" s="506" customFormat="1" x14ac:dyDescent="0.2">
      <c r="A103" s="512"/>
      <c r="B103" s="516" t="s">
        <v>788</v>
      </c>
      <c r="C103" s="524">
        <f>SUM(C95+C102)</f>
        <v>0.64313818231213482</v>
      </c>
      <c r="D103" s="524">
        <f>SUM(D95+D102)</f>
        <v>0.62329427389823411</v>
      </c>
      <c r="E103" s="525">
        <f t="shared" si="11"/>
        <v>-1.9843908413900713E-2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789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790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640</v>
      </c>
      <c r="C109" s="523">
        <f t="shared" ref="C109:D115" si="12">IF(C$77=0,0,C47/C$77)</f>
        <v>0.1615121615120802</v>
      </c>
      <c r="D109" s="523">
        <f t="shared" si="12"/>
        <v>0.15915902095273779</v>
      </c>
      <c r="E109" s="523">
        <f t="shared" ref="E109:E117" si="13">D109-C109</f>
        <v>-2.3531405593424093E-3</v>
      </c>
    </row>
    <row r="110" spans="1:5" s="506" customFormat="1" x14ac:dyDescent="0.2">
      <c r="A110" s="512">
        <v>2</v>
      </c>
      <c r="B110" s="511" t="s">
        <v>619</v>
      </c>
      <c r="C110" s="523">
        <f t="shared" si="12"/>
        <v>0.1918424140172573</v>
      </c>
      <c r="D110" s="523">
        <f t="shared" si="12"/>
        <v>0.19654815779111995</v>
      </c>
      <c r="E110" s="523">
        <f t="shared" si="13"/>
        <v>4.7057437738626529E-3</v>
      </c>
    </row>
    <row r="111" spans="1:5" s="506" customFormat="1" x14ac:dyDescent="0.2">
      <c r="A111" s="512">
        <v>3</v>
      </c>
      <c r="B111" s="511" t="s">
        <v>765</v>
      </c>
      <c r="C111" s="523">
        <f t="shared" si="12"/>
        <v>5.4457707382565917E-2</v>
      </c>
      <c r="D111" s="523">
        <f t="shared" si="12"/>
        <v>6.2282460283226163E-2</v>
      </c>
      <c r="E111" s="523">
        <f t="shared" si="13"/>
        <v>7.8247529006602451E-3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5.4457707382565917E-2</v>
      </c>
      <c r="D112" s="523">
        <f t="shared" si="12"/>
        <v>6.2282460283226163E-2</v>
      </c>
      <c r="E112" s="523">
        <f t="shared" si="13"/>
        <v>7.8247529006602451E-3</v>
      </c>
    </row>
    <row r="113" spans="1:5" s="506" customFormat="1" x14ac:dyDescent="0.2">
      <c r="A113" s="512">
        <v>5</v>
      </c>
      <c r="B113" s="511" t="s">
        <v>732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1.5016225632684082E-3</v>
      </c>
      <c r="D114" s="523">
        <f t="shared" si="12"/>
        <v>1.2368751000683435E-3</v>
      </c>
      <c r="E114" s="523">
        <f t="shared" si="13"/>
        <v>-2.6474746320006475E-4</v>
      </c>
    </row>
    <row r="115" spans="1:5" s="506" customFormat="1" x14ac:dyDescent="0.2">
      <c r="A115" s="512">
        <v>7</v>
      </c>
      <c r="B115" s="511" t="s">
        <v>747</v>
      </c>
      <c r="C115" s="523">
        <f t="shared" si="12"/>
        <v>2.3568894593573302E-4</v>
      </c>
      <c r="D115" s="523">
        <f t="shared" si="12"/>
        <v>1.5073729629983907E-4</v>
      </c>
      <c r="E115" s="523">
        <f t="shared" si="13"/>
        <v>-8.4951649635893955E-5</v>
      </c>
    </row>
    <row r="116" spans="1:5" s="506" customFormat="1" x14ac:dyDescent="0.2">
      <c r="A116" s="512"/>
      <c r="B116" s="516" t="s">
        <v>784</v>
      </c>
      <c r="C116" s="524">
        <f>SUM(C110+C111+C114)</f>
        <v>0.24780174396309163</v>
      </c>
      <c r="D116" s="524">
        <f>SUM(D110+D111+D114)</f>
        <v>0.26006749317441447</v>
      </c>
      <c r="E116" s="525">
        <f t="shared" si="13"/>
        <v>1.2265749211322841E-2</v>
      </c>
    </row>
    <row r="117" spans="1:5" s="506" customFormat="1" x14ac:dyDescent="0.2">
      <c r="A117" s="512"/>
      <c r="B117" s="516" t="s">
        <v>785</v>
      </c>
      <c r="C117" s="524">
        <f>SUM(C109+C116)</f>
        <v>0.40931390547517182</v>
      </c>
      <c r="D117" s="524">
        <f>SUM(D109+D116)</f>
        <v>0.41922651412715228</v>
      </c>
      <c r="E117" s="525">
        <f t="shared" si="13"/>
        <v>9.912608651980459E-3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791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640</v>
      </c>
      <c r="C121" s="523">
        <f t="shared" ref="C121:D127" si="14">IF(C$77=0,0,C58/C$77)</f>
        <v>0.37073639134653275</v>
      </c>
      <c r="D121" s="523">
        <f t="shared" si="14"/>
        <v>0.35806697798869791</v>
      </c>
      <c r="E121" s="523">
        <f t="shared" ref="E121:E129" si="15">D121-C121</f>
        <v>-1.2669413357834836E-2</v>
      </c>
    </row>
    <row r="122" spans="1:5" s="506" customFormat="1" x14ac:dyDescent="0.2">
      <c r="A122" s="512">
        <v>2</v>
      </c>
      <c r="B122" s="511" t="s">
        <v>619</v>
      </c>
      <c r="C122" s="523">
        <f t="shared" si="14"/>
        <v>0.15219127669174184</v>
      </c>
      <c r="D122" s="523">
        <f t="shared" si="14"/>
        <v>0.15388266116248164</v>
      </c>
      <c r="E122" s="523">
        <f t="shared" si="15"/>
        <v>1.6913844707397985E-3</v>
      </c>
    </row>
    <row r="123" spans="1:5" s="506" customFormat="1" x14ac:dyDescent="0.2">
      <c r="A123" s="512">
        <v>3</v>
      </c>
      <c r="B123" s="511" t="s">
        <v>765</v>
      </c>
      <c r="C123" s="523">
        <f t="shared" si="14"/>
        <v>6.1410137221757255E-2</v>
      </c>
      <c r="D123" s="523">
        <f t="shared" si="14"/>
        <v>6.4108176354980964E-2</v>
      </c>
      <c r="E123" s="523">
        <f t="shared" si="15"/>
        <v>2.6980391332237091E-3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6.1410137221757255E-2</v>
      </c>
      <c r="D124" s="523">
        <f t="shared" si="14"/>
        <v>6.4108176354980964E-2</v>
      </c>
      <c r="E124" s="523">
        <f t="shared" si="15"/>
        <v>2.6980391332237091E-3</v>
      </c>
    </row>
    <row r="125" spans="1:5" s="506" customFormat="1" x14ac:dyDescent="0.2">
      <c r="A125" s="512">
        <v>5</v>
      </c>
      <c r="B125" s="511" t="s">
        <v>732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6.3482892647963559E-3</v>
      </c>
      <c r="D126" s="523">
        <f t="shared" si="14"/>
        <v>4.7156703666872144E-3</v>
      </c>
      <c r="E126" s="523">
        <f t="shared" si="15"/>
        <v>-1.6326188981091415E-3</v>
      </c>
    </row>
    <row r="127" spans="1:5" s="506" customFormat="1" x14ac:dyDescent="0.2">
      <c r="A127" s="512">
        <v>7</v>
      </c>
      <c r="B127" s="511" t="s">
        <v>747</v>
      </c>
      <c r="C127" s="523">
        <f t="shared" si="14"/>
        <v>1.9564246667447124E-3</v>
      </c>
      <c r="D127" s="523">
        <f t="shared" si="14"/>
        <v>1.9448160531369111E-3</v>
      </c>
      <c r="E127" s="523">
        <f t="shared" si="15"/>
        <v>-1.1608613607801263E-5</v>
      </c>
    </row>
    <row r="128" spans="1:5" s="506" customFormat="1" x14ac:dyDescent="0.2">
      <c r="A128" s="512"/>
      <c r="B128" s="516" t="s">
        <v>787</v>
      </c>
      <c r="C128" s="524">
        <f>SUM(C122+C123+C126)</f>
        <v>0.21994970317829546</v>
      </c>
      <c r="D128" s="524">
        <f>SUM(D122+D123+D126)</f>
        <v>0.22270650788414983</v>
      </c>
      <c r="E128" s="525">
        <f t="shared" si="15"/>
        <v>2.7568047058543765E-3</v>
      </c>
    </row>
    <row r="129" spans="1:5" s="506" customFormat="1" x14ac:dyDescent="0.2">
      <c r="A129" s="512"/>
      <c r="B129" s="516" t="s">
        <v>788</v>
      </c>
      <c r="C129" s="524">
        <f>SUM(C121+C128)</f>
        <v>0.59068609452482823</v>
      </c>
      <c r="D129" s="524">
        <f>SUM(D121+D128)</f>
        <v>0.58077348587284772</v>
      </c>
      <c r="E129" s="525">
        <f t="shared" si="15"/>
        <v>-9.9126086519805146E-3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792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793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794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640</v>
      </c>
      <c r="C137" s="530">
        <v>3754</v>
      </c>
      <c r="D137" s="530">
        <v>3296</v>
      </c>
      <c r="E137" s="531">
        <f t="shared" ref="E137:E145" si="16">D137-C137</f>
        <v>-458</v>
      </c>
    </row>
    <row r="138" spans="1:5" s="506" customFormat="1" x14ac:dyDescent="0.2">
      <c r="A138" s="512">
        <v>2</v>
      </c>
      <c r="B138" s="511" t="s">
        <v>619</v>
      </c>
      <c r="C138" s="530">
        <v>3626</v>
      </c>
      <c r="D138" s="530">
        <v>3537</v>
      </c>
      <c r="E138" s="531">
        <f t="shared" si="16"/>
        <v>-89</v>
      </c>
    </row>
    <row r="139" spans="1:5" s="506" customFormat="1" x14ac:dyDescent="0.2">
      <c r="A139" s="512">
        <v>3</v>
      </c>
      <c r="B139" s="511" t="s">
        <v>765</v>
      </c>
      <c r="C139" s="530">
        <f>C140+C141</f>
        <v>1854</v>
      </c>
      <c r="D139" s="530">
        <f>D140+D141</f>
        <v>1957</v>
      </c>
      <c r="E139" s="531">
        <f t="shared" si="16"/>
        <v>103</v>
      </c>
    </row>
    <row r="140" spans="1:5" s="506" customFormat="1" x14ac:dyDescent="0.2">
      <c r="A140" s="512">
        <v>4</v>
      </c>
      <c r="B140" s="511" t="s">
        <v>114</v>
      </c>
      <c r="C140" s="530">
        <v>1854</v>
      </c>
      <c r="D140" s="530">
        <v>1957</v>
      </c>
      <c r="E140" s="531">
        <f t="shared" si="16"/>
        <v>103</v>
      </c>
    </row>
    <row r="141" spans="1:5" s="506" customFormat="1" x14ac:dyDescent="0.2">
      <c r="A141" s="512">
        <v>5</v>
      </c>
      <c r="B141" s="511" t="s">
        <v>732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47</v>
      </c>
      <c r="D142" s="530">
        <v>41</v>
      </c>
      <c r="E142" s="531">
        <f t="shared" si="16"/>
        <v>-6</v>
      </c>
    </row>
    <row r="143" spans="1:5" s="506" customFormat="1" x14ac:dyDescent="0.2">
      <c r="A143" s="512">
        <v>7</v>
      </c>
      <c r="B143" s="511" t="s">
        <v>747</v>
      </c>
      <c r="C143" s="530">
        <v>216</v>
      </c>
      <c r="D143" s="530">
        <v>182</v>
      </c>
      <c r="E143" s="531">
        <f t="shared" si="16"/>
        <v>-34</v>
      </c>
    </row>
    <row r="144" spans="1:5" s="506" customFormat="1" x14ac:dyDescent="0.2">
      <c r="A144" s="512"/>
      <c r="B144" s="516" t="s">
        <v>795</v>
      </c>
      <c r="C144" s="532">
        <f>SUM(C138+C139+C142)</f>
        <v>5527</v>
      </c>
      <c r="D144" s="532">
        <f>SUM(D138+D139+D142)</f>
        <v>5535</v>
      </c>
      <c r="E144" s="533">
        <f t="shared" si="16"/>
        <v>8</v>
      </c>
    </row>
    <row r="145" spans="1:5" s="506" customFormat="1" x14ac:dyDescent="0.2">
      <c r="A145" s="512"/>
      <c r="B145" s="516" t="s">
        <v>709</v>
      </c>
      <c r="C145" s="532">
        <f>SUM(C137+C144)</f>
        <v>9281</v>
      </c>
      <c r="D145" s="532">
        <f>SUM(D137+D144)</f>
        <v>8831</v>
      </c>
      <c r="E145" s="533">
        <f t="shared" si="16"/>
        <v>-450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640</v>
      </c>
      <c r="C149" s="534">
        <v>13397</v>
      </c>
      <c r="D149" s="534">
        <v>13179</v>
      </c>
      <c r="E149" s="531">
        <f t="shared" ref="E149:E157" si="17">D149-C149</f>
        <v>-218</v>
      </c>
    </row>
    <row r="150" spans="1:5" s="506" customFormat="1" x14ac:dyDescent="0.2">
      <c r="A150" s="512">
        <v>2</v>
      </c>
      <c r="B150" s="511" t="s">
        <v>619</v>
      </c>
      <c r="C150" s="534">
        <v>20921</v>
      </c>
      <c r="D150" s="534">
        <v>22742</v>
      </c>
      <c r="E150" s="531">
        <f t="shared" si="17"/>
        <v>1821</v>
      </c>
    </row>
    <row r="151" spans="1:5" s="506" customFormat="1" x14ac:dyDescent="0.2">
      <c r="A151" s="512">
        <v>3</v>
      </c>
      <c r="B151" s="511" t="s">
        <v>765</v>
      </c>
      <c r="C151" s="534">
        <f>C152+C153</f>
        <v>8967</v>
      </c>
      <c r="D151" s="534">
        <f>D152+D153</f>
        <v>9483</v>
      </c>
      <c r="E151" s="531">
        <f t="shared" si="17"/>
        <v>516</v>
      </c>
    </row>
    <row r="152" spans="1:5" s="506" customFormat="1" x14ac:dyDescent="0.2">
      <c r="A152" s="512">
        <v>4</v>
      </c>
      <c r="B152" s="511" t="s">
        <v>114</v>
      </c>
      <c r="C152" s="534">
        <v>8967</v>
      </c>
      <c r="D152" s="534">
        <v>9483</v>
      </c>
      <c r="E152" s="531">
        <f t="shared" si="17"/>
        <v>516</v>
      </c>
    </row>
    <row r="153" spans="1:5" s="506" customFormat="1" x14ac:dyDescent="0.2">
      <c r="A153" s="512">
        <v>5</v>
      </c>
      <c r="B153" s="511" t="s">
        <v>732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190</v>
      </c>
      <c r="D154" s="534">
        <v>141</v>
      </c>
      <c r="E154" s="531">
        <f t="shared" si="17"/>
        <v>-49</v>
      </c>
    </row>
    <row r="155" spans="1:5" s="506" customFormat="1" x14ac:dyDescent="0.2">
      <c r="A155" s="512">
        <v>7</v>
      </c>
      <c r="B155" s="511" t="s">
        <v>747</v>
      </c>
      <c r="C155" s="534">
        <v>1246</v>
      </c>
      <c r="D155" s="534">
        <v>975</v>
      </c>
      <c r="E155" s="531">
        <f t="shared" si="17"/>
        <v>-271</v>
      </c>
    </row>
    <row r="156" spans="1:5" s="506" customFormat="1" x14ac:dyDescent="0.2">
      <c r="A156" s="512"/>
      <c r="B156" s="516" t="s">
        <v>796</v>
      </c>
      <c r="C156" s="532">
        <f>SUM(C150+C151+C154)</f>
        <v>30078</v>
      </c>
      <c r="D156" s="532">
        <f>SUM(D150+D151+D154)</f>
        <v>32366</v>
      </c>
      <c r="E156" s="533">
        <f t="shared" si="17"/>
        <v>2288</v>
      </c>
    </row>
    <row r="157" spans="1:5" s="506" customFormat="1" x14ac:dyDescent="0.2">
      <c r="A157" s="512"/>
      <c r="B157" s="516" t="s">
        <v>797</v>
      </c>
      <c r="C157" s="532">
        <f>SUM(C149+C156)</f>
        <v>43475</v>
      </c>
      <c r="D157" s="532">
        <f>SUM(D149+D156)</f>
        <v>45545</v>
      </c>
      <c r="E157" s="533">
        <f t="shared" si="17"/>
        <v>2070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798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640</v>
      </c>
      <c r="C161" s="536">
        <f t="shared" ref="C161:D169" si="18">IF(C137=0,0,C149/C137)</f>
        <v>3.5687266915290357</v>
      </c>
      <c r="D161" s="536">
        <f t="shared" si="18"/>
        <v>3.998483009708738</v>
      </c>
      <c r="E161" s="537">
        <f t="shared" ref="E161:E169" si="19">D161-C161</f>
        <v>0.42975631817970239</v>
      </c>
    </row>
    <row r="162" spans="1:5" s="506" customFormat="1" x14ac:dyDescent="0.2">
      <c r="A162" s="512">
        <v>2</v>
      </c>
      <c r="B162" s="511" t="s">
        <v>619</v>
      </c>
      <c r="C162" s="536">
        <f t="shared" si="18"/>
        <v>5.7697186982901272</v>
      </c>
      <c r="D162" s="536">
        <f t="shared" si="18"/>
        <v>6.429742719819056</v>
      </c>
      <c r="E162" s="537">
        <f t="shared" si="19"/>
        <v>0.66002402152892881</v>
      </c>
    </row>
    <row r="163" spans="1:5" s="506" customFormat="1" x14ac:dyDescent="0.2">
      <c r="A163" s="512">
        <v>3</v>
      </c>
      <c r="B163" s="511" t="s">
        <v>765</v>
      </c>
      <c r="C163" s="536">
        <f t="shared" si="18"/>
        <v>4.8365695792880263</v>
      </c>
      <c r="D163" s="536">
        <f t="shared" si="18"/>
        <v>4.8456821665815024</v>
      </c>
      <c r="E163" s="537">
        <f t="shared" si="19"/>
        <v>9.1125872934760821E-3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4.8365695792880263</v>
      </c>
      <c r="D164" s="536">
        <f t="shared" si="18"/>
        <v>4.8456821665815024</v>
      </c>
      <c r="E164" s="537">
        <f t="shared" si="19"/>
        <v>9.1125872934760821E-3</v>
      </c>
    </row>
    <row r="165" spans="1:5" s="506" customFormat="1" x14ac:dyDescent="0.2">
      <c r="A165" s="512">
        <v>5</v>
      </c>
      <c r="B165" s="511" t="s">
        <v>732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4.042553191489362</v>
      </c>
      <c r="D166" s="536">
        <f t="shared" si="18"/>
        <v>3.4390243902439024</v>
      </c>
      <c r="E166" s="537">
        <f t="shared" si="19"/>
        <v>-0.6035288012454596</v>
      </c>
    </row>
    <row r="167" spans="1:5" s="506" customFormat="1" x14ac:dyDescent="0.2">
      <c r="A167" s="512">
        <v>7</v>
      </c>
      <c r="B167" s="511" t="s">
        <v>747</v>
      </c>
      <c r="C167" s="536">
        <f t="shared" si="18"/>
        <v>5.7685185185185182</v>
      </c>
      <c r="D167" s="536">
        <f t="shared" si="18"/>
        <v>5.3571428571428568</v>
      </c>
      <c r="E167" s="537">
        <f t="shared" si="19"/>
        <v>-0.41137566137566139</v>
      </c>
    </row>
    <row r="168" spans="1:5" s="506" customFormat="1" x14ac:dyDescent="0.2">
      <c r="A168" s="512"/>
      <c r="B168" s="516" t="s">
        <v>799</v>
      </c>
      <c r="C168" s="538">
        <f t="shared" si="18"/>
        <v>5.442011941378686</v>
      </c>
      <c r="D168" s="538">
        <f t="shared" si="18"/>
        <v>5.8475158084914183</v>
      </c>
      <c r="E168" s="539">
        <f t="shared" si="19"/>
        <v>0.40550386711273223</v>
      </c>
    </row>
    <row r="169" spans="1:5" s="506" customFormat="1" x14ac:dyDescent="0.2">
      <c r="A169" s="512"/>
      <c r="B169" s="516" t="s">
        <v>733</v>
      </c>
      <c r="C169" s="538">
        <f t="shared" si="18"/>
        <v>4.6843012606400176</v>
      </c>
      <c r="D169" s="538">
        <f t="shared" si="18"/>
        <v>5.1574000679424756</v>
      </c>
      <c r="E169" s="539">
        <f t="shared" si="19"/>
        <v>0.47309880730245801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800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640</v>
      </c>
      <c r="C173" s="541">
        <f t="shared" ref="C173:D181" si="20">IF(C137=0,0,C203/C137)</f>
        <v>0.98160000000000003</v>
      </c>
      <c r="D173" s="541">
        <f t="shared" si="20"/>
        <v>0.98934999999999995</v>
      </c>
      <c r="E173" s="542">
        <f t="shared" ref="E173:E181" si="21">D173-C173</f>
        <v>7.7499999999999236E-3</v>
      </c>
    </row>
    <row r="174" spans="1:5" s="506" customFormat="1" x14ac:dyDescent="0.2">
      <c r="A174" s="512">
        <v>2</v>
      </c>
      <c r="B174" s="511" t="s">
        <v>619</v>
      </c>
      <c r="C174" s="541">
        <f t="shared" si="20"/>
        <v>1.3673</v>
      </c>
      <c r="D174" s="541">
        <f t="shared" si="20"/>
        <v>1.43563</v>
      </c>
      <c r="E174" s="542">
        <f t="shared" si="21"/>
        <v>6.8330000000000002E-2</v>
      </c>
    </row>
    <row r="175" spans="1:5" s="506" customFormat="1" x14ac:dyDescent="0.2">
      <c r="A175" s="512">
        <v>0</v>
      </c>
      <c r="B175" s="511" t="s">
        <v>765</v>
      </c>
      <c r="C175" s="541">
        <f t="shared" si="20"/>
        <v>0.92749999999999999</v>
      </c>
      <c r="D175" s="541">
        <f t="shared" si="20"/>
        <v>0.92262999999999995</v>
      </c>
      <c r="E175" s="542">
        <f t="shared" si="21"/>
        <v>-4.870000000000041E-3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0.92749999999999999</v>
      </c>
      <c r="D176" s="541">
        <f t="shared" si="20"/>
        <v>0.92262999999999995</v>
      </c>
      <c r="E176" s="542">
        <f t="shared" si="21"/>
        <v>-4.870000000000041E-3</v>
      </c>
    </row>
    <row r="177" spans="1:5" s="506" customFormat="1" x14ac:dyDescent="0.2">
      <c r="A177" s="512">
        <v>5</v>
      </c>
      <c r="B177" s="511" t="s">
        <v>732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0.84570000000000001</v>
      </c>
      <c r="D178" s="541">
        <f t="shared" si="20"/>
        <v>0.90251000000000003</v>
      </c>
      <c r="E178" s="542">
        <f t="shared" si="21"/>
        <v>5.6810000000000027E-2</v>
      </c>
    </row>
    <row r="179" spans="1:5" s="506" customFormat="1" x14ac:dyDescent="0.2">
      <c r="A179" s="512">
        <v>7</v>
      </c>
      <c r="B179" s="511" t="s">
        <v>747</v>
      </c>
      <c r="C179" s="541">
        <f t="shared" si="20"/>
        <v>1.0310999999999999</v>
      </c>
      <c r="D179" s="541">
        <f t="shared" si="20"/>
        <v>1.0105299999999999</v>
      </c>
      <c r="E179" s="542">
        <f t="shared" si="21"/>
        <v>-2.0569999999999977E-2</v>
      </c>
    </row>
    <row r="180" spans="1:5" s="506" customFormat="1" x14ac:dyDescent="0.2">
      <c r="A180" s="512"/>
      <c r="B180" s="516" t="s">
        <v>801</v>
      </c>
      <c r="C180" s="543">
        <f t="shared" si="20"/>
        <v>1.2153361136240275</v>
      </c>
      <c r="D180" s="543">
        <f t="shared" si="20"/>
        <v>1.2503004751580848</v>
      </c>
      <c r="E180" s="544">
        <f t="shared" si="21"/>
        <v>3.4964361534057353E-2</v>
      </c>
    </row>
    <row r="181" spans="1:5" s="506" customFormat="1" x14ac:dyDescent="0.2">
      <c r="A181" s="512"/>
      <c r="B181" s="516" t="s">
        <v>710</v>
      </c>
      <c r="C181" s="543">
        <f t="shared" si="20"/>
        <v>1.120793998491542</v>
      </c>
      <c r="D181" s="543">
        <f t="shared" si="20"/>
        <v>1.1529057558600384</v>
      </c>
      <c r="E181" s="544">
        <f t="shared" si="21"/>
        <v>3.2111757368496363E-2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802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803</v>
      </c>
      <c r="C185" s="513">
        <v>175535197</v>
      </c>
      <c r="D185" s="513">
        <v>192665512</v>
      </c>
      <c r="E185" s="514">
        <f>D185-C185</f>
        <v>17130315</v>
      </c>
    </row>
    <row r="186" spans="1:5" s="506" customFormat="1" ht="25.5" x14ac:dyDescent="0.2">
      <c r="A186" s="512">
        <v>2</v>
      </c>
      <c r="B186" s="511" t="s">
        <v>804</v>
      </c>
      <c r="C186" s="513">
        <v>85091498</v>
      </c>
      <c r="D186" s="513">
        <v>87693923</v>
      </c>
      <c r="E186" s="514">
        <f>D186-C186</f>
        <v>2602425</v>
      </c>
    </row>
    <row r="187" spans="1:5" s="506" customFormat="1" x14ac:dyDescent="0.2">
      <c r="A187" s="512"/>
      <c r="B187" s="511" t="s">
        <v>652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736</v>
      </c>
      <c r="C188" s="546">
        <f>+C185-C186</f>
        <v>90443699</v>
      </c>
      <c r="D188" s="546">
        <f>+D185-D186</f>
        <v>104971589</v>
      </c>
      <c r="E188" s="514">
        <f t="shared" ref="E188:E197" si="22">D188-C188</f>
        <v>14527890</v>
      </c>
    </row>
    <row r="189" spans="1:5" s="506" customFormat="1" x14ac:dyDescent="0.2">
      <c r="A189" s="512">
        <v>4</v>
      </c>
      <c r="B189" s="511" t="s">
        <v>654</v>
      </c>
      <c r="C189" s="547">
        <f>IF(C185=0,0,+C188/C185)</f>
        <v>0.5152453783955363</v>
      </c>
      <c r="D189" s="547">
        <f>IF(D185=0,0,+D188/D185)</f>
        <v>0.54483850228472652</v>
      </c>
      <c r="E189" s="523">
        <f t="shared" si="22"/>
        <v>2.959312388919022E-2</v>
      </c>
    </row>
    <row r="190" spans="1:5" s="506" customFormat="1" x14ac:dyDescent="0.2">
      <c r="A190" s="512">
        <v>5</v>
      </c>
      <c r="B190" s="511" t="s">
        <v>751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737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805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806</v>
      </c>
      <c r="C193" s="513">
        <v>4838371</v>
      </c>
      <c r="D193" s="513">
        <v>4953633</v>
      </c>
      <c r="E193" s="546">
        <f t="shared" si="22"/>
        <v>115262</v>
      </c>
    </row>
    <row r="194" spans="1:5" s="506" customFormat="1" x14ac:dyDescent="0.2">
      <c r="A194" s="512">
        <v>9</v>
      </c>
      <c r="B194" s="511" t="s">
        <v>807</v>
      </c>
      <c r="C194" s="513">
        <v>6164670</v>
      </c>
      <c r="D194" s="513">
        <v>6382307</v>
      </c>
      <c r="E194" s="546">
        <f t="shared" si="22"/>
        <v>217637</v>
      </c>
    </row>
    <row r="195" spans="1:5" s="506" customFormat="1" x14ac:dyDescent="0.2">
      <c r="A195" s="512">
        <v>10</v>
      </c>
      <c r="B195" s="511" t="s">
        <v>808</v>
      </c>
      <c r="C195" s="513">
        <f>+C193+C194</f>
        <v>11003041</v>
      </c>
      <c r="D195" s="513">
        <f>+D193+D194</f>
        <v>11335940</v>
      </c>
      <c r="E195" s="549">
        <f t="shared" si="22"/>
        <v>332899</v>
      </c>
    </row>
    <row r="196" spans="1:5" s="506" customFormat="1" x14ac:dyDescent="0.2">
      <c r="A196" s="512">
        <v>11</v>
      </c>
      <c r="B196" s="511" t="s">
        <v>809</v>
      </c>
      <c r="C196" s="513">
        <v>175535197</v>
      </c>
      <c r="D196" s="513">
        <v>192665512</v>
      </c>
      <c r="E196" s="546">
        <f t="shared" si="22"/>
        <v>17130315</v>
      </c>
    </row>
    <row r="197" spans="1:5" s="506" customFormat="1" x14ac:dyDescent="0.2">
      <c r="A197" s="512">
        <v>12</v>
      </c>
      <c r="B197" s="511" t="s">
        <v>694</v>
      </c>
      <c r="C197" s="513">
        <v>173322666</v>
      </c>
      <c r="D197" s="513">
        <v>184446001</v>
      </c>
      <c r="E197" s="546">
        <f t="shared" si="22"/>
        <v>11123335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810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811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640</v>
      </c>
      <c r="C203" s="553">
        <v>3684.9264000000003</v>
      </c>
      <c r="D203" s="553">
        <v>3260.8975999999998</v>
      </c>
      <c r="E203" s="554">
        <f t="shared" ref="E203:E211" si="23">D203-C203</f>
        <v>-424.0288000000005</v>
      </c>
    </row>
    <row r="204" spans="1:5" s="506" customFormat="1" x14ac:dyDescent="0.2">
      <c r="A204" s="512">
        <v>2</v>
      </c>
      <c r="B204" s="511" t="s">
        <v>619</v>
      </c>
      <c r="C204" s="553">
        <v>4957.8297999999995</v>
      </c>
      <c r="D204" s="553">
        <v>5077.8233099999998</v>
      </c>
      <c r="E204" s="554">
        <f t="shared" si="23"/>
        <v>119.99351000000024</v>
      </c>
    </row>
    <row r="205" spans="1:5" s="506" customFormat="1" x14ac:dyDescent="0.2">
      <c r="A205" s="512">
        <v>3</v>
      </c>
      <c r="B205" s="511" t="s">
        <v>765</v>
      </c>
      <c r="C205" s="553">
        <f>C206+C207</f>
        <v>1719.585</v>
      </c>
      <c r="D205" s="553">
        <f>D206+D207</f>
        <v>1805.58691</v>
      </c>
      <c r="E205" s="554">
        <f t="shared" si="23"/>
        <v>86.001909999999953</v>
      </c>
    </row>
    <row r="206" spans="1:5" s="506" customFormat="1" x14ac:dyDescent="0.2">
      <c r="A206" s="512">
        <v>4</v>
      </c>
      <c r="B206" s="511" t="s">
        <v>114</v>
      </c>
      <c r="C206" s="553">
        <v>1719.585</v>
      </c>
      <c r="D206" s="553">
        <v>1805.58691</v>
      </c>
      <c r="E206" s="554">
        <f t="shared" si="23"/>
        <v>86.001909999999953</v>
      </c>
    </row>
    <row r="207" spans="1:5" s="506" customFormat="1" x14ac:dyDescent="0.2">
      <c r="A207" s="512">
        <v>5</v>
      </c>
      <c r="B207" s="511" t="s">
        <v>732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39.747900000000001</v>
      </c>
      <c r="D208" s="553">
        <v>37.00291</v>
      </c>
      <c r="E208" s="554">
        <f t="shared" si="23"/>
        <v>-2.7449900000000014</v>
      </c>
    </row>
    <row r="209" spans="1:5" s="506" customFormat="1" x14ac:dyDescent="0.2">
      <c r="A209" s="512">
        <v>7</v>
      </c>
      <c r="B209" s="511" t="s">
        <v>747</v>
      </c>
      <c r="C209" s="553">
        <v>222.71759999999998</v>
      </c>
      <c r="D209" s="553">
        <v>183.91646</v>
      </c>
      <c r="E209" s="554">
        <f t="shared" si="23"/>
        <v>-38.801139999999975</v>
      </c>
    </row>
    <row r="210" spans="1:5" s="506" customFormat="1" x14ac:dyDescent="0.2">
      <c r="A210" s="512"/>
      <c r="B210" s="516" t="s">
        <v>812</v>
      </c>
      <c r="C210" s="555">
        <f>C204+C205+C208</f>
        <v>6717.1626999999999</v>
      </c>
      <c r="D210" s="555">
        <f>D204+D205+D208</f>
        <v>6920.4131299999999</v>
      </c>
      <c r="E210" s="556">
        <f t="shared" si="23"/>
        <v>203.25043000000005</v>
      </c>
    </row>
    <row r="211" spans="1:5" s="506" customFormat="1" x14ac:dyDescent="0.2">
      <c r="A211" s="512"/>
      <c r="B211" s="516" t="s">
        <v>711</v>
      </c>
      <c r="C211" s="555">
        <f>C210+C203</f>
        <v>10402.089100000001</v>
      </c>
      <c r="D211" s="555">
        <f>D210+D203</f>
        <v>10181.310729999999</v>
      </c>
      <c r="E211" s="556">
        <f t="shared" si="23"/>
        <v>-220.77837000000181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813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640</v>
      </c>
      <c r="C215" s="557">
        <f>IF(C14*C137=0,0,C25/C14*C137)</f>
        <v>11127.589391302534</v>
      </c>
      <c r="D215" s="557">
        <f>IF(D14*D137=0,0,D25/D14*D137)</f>
        <v>9462.9047407230573</v>
      </c>
      <c r="E215" s="557">
        <f t="shared" ref="E215:E223" si="24">D215-C215</f>
        <v>-1664.6846505794765</v>
      </c>
    </row>
    <row r="216" spans="1:5" s="506" customFormat="1" x14ac:dyDescent="0.2">
      <c r="A216" s="512">
        <v>2</v>
      </c>
      <c r="B216" s="511" t="s">
        <v>619</v>
      </c>
      <c r="C216" s="557">
        <f>IF(C15*C138=0,0,C26/C15*C138)</f>
        <v>4039.5012369202573</v>
      </c>
      <c r="D216" s="557">
        <f>IF(D15*D138=0,0,D26/D15*D138)</f>
        <v>3590.2599728946607</v>
      </c>
      <c r="E216" s="557">
        <f t="shared" si="24"/>
        <v>-449.24126402559659</v>
      </c>
    </row>
    <row r="217" spans="1:5" s="506" customFormat="1" x14ac:dyDescent="0.2">
      <c r="A217" s="512">
        <v>3</v>
      </c>
      <c r="B217" s="511" t="s">
        <v>765</v>
      </c>
      <c r="C217" s="557">
        <f>C218+C219</f>
        <v>3661.8088339738588</v>
      </c>
      <c r="D217" s="557">
        <f>D218+D219</f>
        <v>3659.8949644433101</v>
      </c>
      <c r="E217" s="557">
        <f t="shared" si="24"/>
        <v>-1.913869530548709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3661.8088339738588</v>
      </c>
      <c r="D218" s="557">
        <f t="shared" si="25"/>
        <v>3659.8949644433101</v>
      </c>
      <c r="E218" s="557">
        <f t="shared" si="24"/>
        <v>-1.913869530548709</v>
      </c>
    </row>
    <row r="219" spans="1:5" s="506" customFormat="1" x14ac:dyDescent="0.2">
      <c r="A219" s="512">
        <v>5</v>
      </c>
      <c r="B219" s="511" t="s">
        <v>732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124.5162520255457</v>
      </c>
      <c r="D220" s="557">
        <f t="shared" si="25"/>
        <v>89.035614456742039</v>
      </c>
      <c r="E220" s="557">
        <f t="shared" si="24"/>
        <v>-35.480637568803658</v>
      </c>
    </row>
    <row r="221" spans="1:5" s="506" customFormat="1" x14ac:dyDescent="0.2">
      <c r="A221" s="512">
        <v>7</v>
      </c>
      <c r="B221" s="511" t="s">
        <v>747</v>
      </c>
      <c r="C221" s="557">
        <f t="shared" si="25"/>
        <v>728.58606014501834</v>
      </c>
      <c r="D221" s="557">
        <f t="shared" si="25"/>
        <v>684.06964344903474</v>
      </c>
      <c r="E221" s="557">
        <f t="shared" si="24"/>
        <v>-44.516416695983594</v>
      </c>
    </row>
    <row r="222" spans="1:5" s="506" customFormat="1" x14ac:dyDescent="0.2">
      <c r="A222" s="512"/>
      <c r="B222" s="516" t="s">
        <v>814</v>
      </c>
      <c r="C222" s="558">
        <f>C216+C218+C219+C220</f>
        <v>7825.8263229196618</v>
      </c>
      <c r="D222" s="558">
        <f>D216+D218+D219+D220</f>
        <v>7339.1905517947134</v>
      </c>
      <c r="E222" s="558">
        <f t="shared" si="24"/>
        <v>-486.63577112494841</v>
      </c>
    </row>
    <row r="223" spans="1:5" s="506" customFormat="1" x14ac:dyDescent="0.2">
      <c r="A223" s="512"/>
      <c r="B223" s="516" t="s">
        <v>815</v>
      </c>
      <c r="C223" s="558">
        <f>C215+C222</f>
        <v>18953.415714222196</v>
      </c>
      <c r="D223" s="558">
        <f>D215+D222</f>
        <v>16802.09529251777</v>
      </c>
      <c r="E223" s="558">
        <f t="shared" si="24"/>
        <v>-2151.3204217044258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816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640</v>
      </c>
      <c r="C227" s="560">
        <f t="shared" ref="C227:D235" si="26">IF(C203=0,0,C47/C203)</f>
        <v>7007.2577297608977</v>
      </c>
      <c r="D227" s="560">
        <f t="shared" si="26"/>
        <v>8275.2905212356254</v>
      </c>
      <c r="E227" s="560">
        <f t="shared" ref="E227:E235" si="27">D227-C227</f>
        <v>1268.0327914747277</v>
      </c>
    </row>
    <row r="228" spans="1:5" s="506" customFormat="1" x14ac:dyDescent="0.2">
      <c r="A228" s="512">
        <v>2</v>
      </c>
      <c r="B228" s="511" t="s">
        <v>619</v>
      </c>
      <c r="C228" s="560">
        <f t="shared" si="26"/>
        <v>6186.2105472035373</v>
      </c>
      <c r="D228" s="560">
        <f t="shared" si="26"/>
        <v>6562.6696648489724</v>
      </c>
      <c r="E228" s="560">
        <f t="shared" si="27"/>
        <v>376.45911764543507</v>
      </c>
    </row>
    <row r="229" spans="1:5" s="506" customFormat="1" x14ac:dyDescent="0.2">
      <c r="A229" s="512">
        <v>3</v>
      </c>
      <c r="B229" s="511" t="s">
        <v>765</v>
      </c>
      <c r="C229" s="560">
        <f t="shared" si="26"/>
        <v>5062.9936874303976</v>
      </c>
      <c r="D229" s="560">
        <f t="shared" si="26"/>
        <v>5848.3925318222427</v>
      </c>
      <c r="E229" s="560">
        <f t="shared" si="27"/>
        <v>785.39884439184516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5062.9936874303976</v>
      </c>
      <c r="D230" s="560">
        <f t="shared" si="26"/>
        <v>5848.3925318222427</v>
      </c>
      <c r="E230" s="560">
        <f t="shared" si="27"/>
        <v>785.39884439184516</v>
      </c>
    </row>
    <row r="231" spans="1:5" s="506" customFormat="1" x14ac:dyDescent="0.2">
      <c r="A231" s="512">
        <v>5</v>
      </c>
      <c r="B231" s="511" t="s">
        <v>732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6039.7404642761003</v>
      </c>
      <c r="D232" s="560">
        <f t="shared" si="26"/>
        <v>5667.3380553042989</v>
      </c>
      <c r="E232" s="560">
        <f t="shared" si="27"/>
        <v>-372.40240897180138</v>
      </c>
    </row>
    <row r="233" spans="1:5" s="506" customFormat="1" x14ac:dyDescent="0.2">
      <c r="A233" s="512">
        <v>7</v>
      </c>
      <c r="B233" s="511" t="s">
        <v>747</v>
      </c>
      <c r="C233" s="560">
        <f t="shared" si="26"/>
        <v>169.18285757389629</v>
      </c>
      <c r="D233" s="560">
        <f t="shared" si="26"/>
        <v>138.95982991408164</v>
      </c>
      <c r="E233" s="560">
        <f t="shared" si="27"/>
        <v>-30.223027659814647</v>
      </c>
    </row>
    <row r="234" spans="1:5" x14ac:dyDescent="0.2">
      <c r="A234" s="512"/>
      <c r="B234" s="516" t="s">
        <v>817</v>
      </c>
      <c r="C234" s="561">
        <f t="shared" si="26"/>
        <v>5897.801760853582</v>
      </c>
      <c r="D234" s="561">
        <f t="shared" si="26"/>
        <v>6371.522215755348</v>
      </c>
      <c r="E234" s="561">
        <f t="shared" si="27"/>
        <v>473.72045490176606</v>
      </c>
    </row>
    <row r="235" spans="1:5" s="506" customFormat="1" x14ac:dyDescent="0.2">
      <c r="A235" s="512"/>
      <c r="B235" s="516" t="s">
        <v>818</v>
      </c>
      <c r="C235" s="561">
        <f t="shared" si="26"/>
        <v>6290.8250805119515</v>
      </c>
      <c r="D235" s="561">
        <f t="shared" si="26"/>
        <v>6981.2662519533969</v>
      </c>
      <c r="E235" s="561">
        <f t="shared" si="27"/>
        <v>690.44117144144548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819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640</v>
      </c>
      <c r="C239" s="560">
        <f t="shared" ref="C239:D247" si="28">IF(C215=0,0,C58/C215)</f>
        <v>5326.4248810552263</v>
      </c>
      <c r="D239" s="560">
        <f t="shared" si="28"/>
        <v>6415.4770298745752</v>
      </c>
      <c r="E239" s="562">
        <f t="shared" ref="E239:E247" si="29">D239-C239</f>
        <v>1089.052148819349</v>
      </c>
    </row>
    <row r="240" spans="1:5" s="506" customFormat="1" x14ac:dyDescent="0.2">
      <c r="A240" s="512">
        <v>2</v>
      </c>
      <c r="B240" s="511" t="s">
        <v>619</v>
      </c>
      <c r="C240" s="560">
        <f t="shared" si="28"/>
        <v>6023.2889094372895</v>
      </c>
      <c r="D240" s="560">
        <f t="shared" si="28"/>
        <v>7266.9628932092646</v>
      </c>
      <c r="E240" s="562">
        <f t="shared" si="29"/>
        <v>1243.6739837719751</v>
      </c>
    </row>
    <row r="241" spans="1:5" x14ac:dyDescent="0.2">
      <c r="A241" s="512">
        <v>3</v>
      </c>
      <c r="B241" s="511" t="s">
        <v>765</v>
      </c>
      <c r="C241" s="560">
        <f t="shared" si="28"/>
        <v>2681.1189346947999</v>
      </c>
      <c r="D241" s="560">
        <f t="shared" si="28"/>
        <v>2969.8461583181756</v>
      </c>
      <c r="E241" s="562">
        <f t="shared" si="29"/>
        <v>288.72722362337572</v>
      </c>
    </row>
    <row r="242" spans="1:5" x14ac:dyDescent="0.2">
      <c r="A242" s="512">
        <v>4</v>
      </c>
      <c r="B242" s="511" t="s">
        <v>114</v>
      </c>
      <c r="C242" s="560">
        <f t="shared" si="28"/>
        <v>2681.1189346947999</v>
      </c>
      <c r="D242" s="560">
        <f t="shared" si="28"/>
        <v>2969.8461583181756</v>
      </c>
      <c r="E242" s="562">
        <f t="shared" si="29"/>
        <v>288.72722362337572</v>
      </c>
    </row>
    <row r="243" spans="1:5" x14ac:dyDescent="0.2">
      <c r="A243" s="512">
        <v>5</v>
      </c>
      <c r="B243" s="511" t="s">
        <v>732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8150.8396172395323</v>
      </c>
      <c r="D244" s="560">
        <f t="shared" si="28"/>
        <v>8979.8448056810994</v>
      </c>
      <c r="E244" s="562">
        <f t="shared" si="29"/>
        <v>829.00518844156704</v>
      </c>
    </row>
    <row r="245" spans="1:5" x14ac:dyDescent="0.2">
      <c r="A245" s="512">
        <v>7</v>
      </c>
      <c r="B245" s="511" t="s">
        <v>747</v>
      </c>
      <c r="C245" s="560">
        <f t="shared" si="28"/>
        <v>429.29314340401271</v>
      </c>
      <c r="D245" s="560">
        <f t="shared" si="28"/>
        <v>482.02255889837102</v>
      </c>
      <c r="E245" s="562">
        <f t="shared" si="29"/>
        <v>52.729415494358307</v>
      </c>
    </row>
    <row r="246" spans="1:5" ht="25.5" x14ac:dyDescent="0.2">
      <c r="A246" s="512"/>
      <c r="B246" s="516" t="s">
        <v>820</v>
      </c>
      <c r="C246" s="561">
        <f t="shared" si="28"/>
        <v>4493.2941965521541</v>
      </c>
      <c r="D246" s="561">
        <f t="shared" si="28"/>
        <v>5144.8639647006366</v>
      </c>
      <c r="E246" s="563">
        <f t="shared" si="29"/>
        <v>651.56976814848258</v>
      </c>
    </row>
    <row r="247" spans="1:5" x14ac:dyDescent="0.2">
      <c r="A247" s="512"/>
      <c r="B247" s="516" t="s">
        <v>821</v>
      </c>
      <c r="C247" s="561">
        <f t="shared" si="28"/>
        <v>4982.4269368575578</v>
      </c>
      <c r="D247" s="561">
        <f t="shared" si="28"/>
        <v>5860.4705714203028</v>
      </c>
      <c r="E247" s="563">
        <f t="shared" si="29"/>
        <v>878.04363456274496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749</v>
      </c>
      <c r="B249" s="550" t="s">
        <v>746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12238387.538154237</v>
      </c>
      <c r="D251" s="546">
        <f>((IF((IF(D15=0,0,D26/D15)*D138)=0,0,D59/(IF(D15=0,0,D26/D15)*D138)))-(IF((IF(D17=0,0,D28/D17)*D140)=0,0,D61/(IF(D17=0,0,D28/D17)*D140))))*(IF(D17=0,0,D28/D17)*D140)</f>
        <v>15726995.899652977</v>
      </c>
      <c r="E251" s="546">
        <f>D251-C251</f>
        <v>3488608.3614987396</v>
      </c>
    </row>
    <row r="252" spans="1:5" x14ac:dyDescent="0.2">
      <c r="A252" s="512">
        <v>2</v>
      </c>
      <c r="B252" s="511" t="s">
        <v>732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747</v>
      </c>
      <c r="C253" s="546">
        <f>IF(C233=0,0,(C228-C233)*C209+IF(C221=0,0,(C240-C245)*C221))</f>
        <v>5415805.3018099573</v>
      </c>
      <c r="D253" s="546">
        <f>IF(D233=0,0,(D228-D233)*D209+IF(D221=0,0,(D240-D245)*D221))</f>
        <v>5822797.6882234365</v>
      </c>
      <c r="E253" s="546">
        <f>D253-C253</f>
        <v>406992.38641347922</v>
      </c>
    </row>
    <row r="254" spans="1:5" ht="15" customHeight="1" x14ac:dyDescent="0.2">
      <c r="A254" s="512"/>
      <c r="B254" s="516" t="s">
        <v>748</v>
      </c>
      <c r="C254" s="564">
        <f>+C251+C252+C253</f>
        <v>17654192.839964196</v>
      </c>
      <c r="D254" s="564">
        <f>+D251+D252+D253</f>
        <v>21549793.587876413</v>
      </c>
      <c r="E254" s="564">
        <f>D254-C254</f>
        <v>3895600.7479122169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822</v>
      </c>
      <c r="B256" s="550" t="s">
        <v>823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714</v>
      </c>
      <c r="C258" s="546">
        <f>+C44</f>
        <v>421320863</v>
      </c>
      <c r="D258" s="549">
        <f>+D44</f>
        <v>491901806</v>
      </c>
      <c r="E258" s="546">
        <f t="shared" ref="E258:E271" si="30">D258-C258</f>
        <v>70580943</v>
      </c>
    </row>
    <row r="259" spans="1:5" x14ac:dyDescent="0.2">
      <c r="A259" s="512">
        <v>2</v>
      </c>
      <c r="B259" s="511" t="s">
        <v>731</v>
      </c>
      <c r="C259" s="546">
        <f>+(C43-C76)</f>
        <v>171005432</v>
      </c>
      <c r="D259" s="549">
        <f>+(D43-D76)</f>
        <v>217383591</v>
      </c>
      <c r="E259" s="546">
        <f t="shared" si="30"/>
        <v>46378159</v>
      </c>
    </row>
    <row r="260" spans="1:5" x14ac:dyDescent="0.2">
      <c r="A260" s="512">
        <v>3</v>
      </c>
      <c r="B260" s="511" t="s">
        <v>735</v>
      </c>
      <c r="C260" s="546">
        <f>C195</f>
        <v>11003041</v>
      </c>
      <c r="D260" s="546">
        <f>D195</f>
        <v>11335940</v>
      </c>
      <c r="E260" s="546">
        <f t="shared" si="30"/>
        <v>332899</v>
      </c>
    </row>
    <row r="261" spans="1:5" x14ac:dyDescent="0.2">
      <c r="A261" s="512">
        <v>4</v>
      </c>
      <c r="B261" s="511" t="s">
        <v>736</v>
      </c>
      <c r="C261" s="546">
        <f>C188</f>
        <v>90443699</v>
      </c>
      <c r="D261" s="546">
        <f>D188</f>
        <v>104971589</v>
      </c>
      <c r="E261" s="546">
        <f t="shared" si="30"/>
        <v>14527890</v>
      </c>
    </row>
    <row r="262" spans="1:5" x14ac:dyDescent="0.2">
      <c r="A262" s="512">
        <v>5</v>
      </c>
      <c r="B262" s="511" t="s">
        <v>737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738</v>
      </c>
      <c r="C263" s="546">
        <f>+C259+C260+C261+C262</f>
        <v>272452172</v>
      </c>
      <c r="D263" s="546">
        <f>+D259+D260+D261+D262</f>
        <v>333691120</v>
      </c>
      <c r="E263" s="546">
        <f t="shared" si="30"/>
        <v>61238948</v>
      </c>
    </row>
    <row r="264" spans="1:5" x14ac:dyDescent="0.2">
      <c r="A264" s="512">
        <v>7</v>
      </c>
      <c r="B264" s="511" t="s">
        <v>638</v>
      </c>
      <c r="C264" s="546">
        <f>+C258-C263</f>
        <v>148868691</v>
      </c>
      <c r="D264" s="546">
        <f>+D258-D263</f>
        <v>158210686</v>
      </c>
      <c r="E264" s="546">
        <f t="shared" si="30"/>
        <v>9341995</v>
      </c>
    </row>
    <row r="265" spans="1:5" x14ac:dyDescent="0.2">
      <c r="A265" s="512">
        <v>8</v>
      </c>
      <c r="B265" s="511" t="s">
        <v>824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825</v>
      </c>
      <c r="C266" s="546">
        <f>+C264+C265</f>
        <v>148868691</v>
      </c>
      <c r="D266" s="546">
        <f>+D264+D265</f>
        <v>158210686</v>
      </c>
      <c r="E266" s="565">
        <f t="shared" si="30"/>
        <v>9341995</v>
      </c>
    </row>
    <row r="267" spans="1:5" x14ac:dyDescent="0.2">
      <c r="A267" s="512">
        <v>10</v>
      </c>
      <c r="B267" s="511" t="s">
        <v>826</v>
      </c>
      <c r="C267" s="566">
        <f>IF(C258=0,0,C266/C258)</f>
        <v>0.3533380472544983</v>
      </c>
      <c r="D267" s="566">
        <f>IF(D258=0,0,D266/D258)</f>
        <v>0.32163062641815143</v>
      </c>
      <c r="E267" s="567">
        <f t="shared" si="30"/>
        <v>-3.1707420836346867E-2</v>
      </c>
    </row>
    <row r="268" spans="1:5" x14ac:dyDescent="0.2">
      <c r="A268" s="512">
        <v>11</v>
      </c>
      <c r="B268" s="511" t="s">
        <v>700</v>
      </c>
      <c r="C268" s="546">
        <f>+C260*C267</f>
        <v>3887793.0208011824</v>
      </c>
      <c r="D268" s="568">
        <f>+D260*D267</f>
        <v>3645985.4832385797</v>
      </c>
      <c r="E268" s="546">
        <f t="shared" si="30"/>
        <v>-241807.53756260267</v>
      </c>
    </row>
    <row r="269" spans="1:5" x14ac:dyDescent="0.2">
      <c r="A269" s="512">
        <v>12</v>
      </c>
      <c r="B269" s="511" t="s">
        <v>827</v>
      </c>
      <c r="C269" s="546">
        <f>((C17+C18+C28+C29)*C267)-(C50+C51+C61+C62)</f>
        <v>6852581.2516260929</v>
      </c>
      <c r="D269" s="568">
        <f>((D17+D18+D28+D29)*D267)-(D50+D51+D61+D62)</f>
        <v>6120556.4086884856</v>
      </c>
      <c r="E269" s="546">
        <f t="shared" si="30"/>
        <v>-732024.84293760732</v>
      </c>
    </row>
    <row r="270" spans="1:5" s="569" customFormat="1" x14ac:dyDescent="0.2">
      <c r="A270" s="570">
        <v>13</v>
      </c>
      <c r="B270" s="571" t="s">
        <v>828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829</v>
      </c>
      <c r="C271" s="546">
        <f>+C268+C269+C270</f>
        <v>10740374.272427276</v>
      </c>
      <c r="D271" s="546">
        <f>+D268+D269+D270</f>
        <v>9766541.8919270653</v>
      </c>
      <c r="E271" s="549">
        <f t="shared" si="30"/>
        <v>-973832.38050021045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830</v>
      </c>
      <c r="B273" s="550" t="s">
        <v>831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832</v>
      </c>
      <c r="C275" s="340"/>
      <c r="D275" s="340"/>
      <c r="E275" s="520"/>
    </row>
    <row r="276" spans="1:5" x14ac:dyDescent="0.2">
      <c r="A276" s="512">
        <v>1</v>
      </c>
      <c r="B276" s="511" t="s">
        <v>640</v>
      </c>
      <c r="C276" s="547">
        <f t="shared" ref="C276:D284" si="31">IF(C14=0,0,+C47/C14)</f>
        <v>0.58313317219870808</v>
      </c>
      <c r="D276" s="547">
        <f t="shared" si="31"/>
        <v>0.54217891191331014</v>
      </c>
      <c r="E276" s="574">
        <f t="shared" ref="E276:E284" si="32">D276-C276</f>
        <v>-4.0954260285397948E-2</v>
      </c>
    </row>
    <row r="277" spans="1:5" x14ac:dyDescent="0.2">
      <c r="A277" s="512">
        <v>2</v>
      </c>
      <c r="B277" s="511" t="s">
        <v>619</v>
      </c>
      <c r="C277" s="547">
        <f t="shared" si="31"/>
        <v>0.37659953333119106</v>
      </c>
      <c r="D277" s="547">
        <f t="shared" si="31"/>
        <v>0.31690011654544487</v>
      </c>
      <c r="E277" s="574">
        <f t="shared" si="32"/>
        <v>-5.9699416785746195E-2</v>
      </c>
    </row>
    <row r="278" spans="1:5" x14ac:dyDescent="0.2">
      <c r="A278" s="512">
        <v>3</v>
      </c>
      <c r="B278" s="511" t="s">
        <v>765</v>
      </c>
      <c r="C278" s="547">
        <f t="shared" si="31"/>
        <v>0.36065164822760259</v>
      </c>
      <c r="D278" s="547">
        <f t="shared" si="31"/>
        <v>0.35383558186100666</v>
      </c>
      <c r="E278" s="574">
        <f t="shared" si="32"/>
        <v>-6.8160663665959298E-3</v>
      </c>
    </row>
    <row r="279" spans="1:5" x14ac:dyDescent="0.2">
      <c r="A279" s="512">
        <v>4</v>
      </c>
      <c r="B279" s="511" t="s">
        <v>114</v>
      </c>
      <c r="C279" s="547">
        <f t="shared" si="31"/>
        <v>0.36065164822760259</v>
      </c>
      <c r="D279" s="547">
        <f t="shared" si="31"/>
        <v>0.35383558186100666</v>
      </c>
      <c r="E279" s="574">
        <f t="shared" si="32"/>
        <v>-6.8160663665959298E-3</v>
      </c>
    </row>
    <row r="280" spans="1:5" x14ac:dyDescent="0.2">
      <c r="A280" s="512">
        <v>5</v>
      </c>
      <c r="B280" s="511" t="s">
        <v>732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0.48687527505845946</v>
      </c>
      <c r="D281" s="547">
        <f t="shared" si="31"/>
        <v>0.39499875684676067</v>
      </c>
      <c r="E281" s="574">
        <f t="shared" si="32"/>
        <v>-9.1876518211698788E-2</v>
      </c>
    </row>
    <row r="282" spans="1:5" x14ac:dyDescent="0.2">
      <c r="A282" s="512">
        <v>7</v>
      </c>
      <c r="B282" s="511" t="s">
        <v>747</v>
      </c>
      <c r="C282" s="547">
        <f t="shared" si="31"/>
        <v>1.4513380003659159E-2</v>
      </c>
      <c r="D282" s="547">
        <f t="shared" si="31"/>
        <v>1.0497037196157043E-2</v>
      </c>
      <c r="E282" s="574">
        <f t="shared" si="32"/>
        <v>-4.0163428075021164E-3</v>
      </c>
    </row>
    <row r="283" spans="1:5" ht="29.25" customHeight="1" x14ac:dyDescent="0.2">
      <c r="A283" s="512"/>
      <c r="B283" s="516" t="s">
        <v>833</v>
      </c>
      <c r="C283" s="575">
        <f t="shared" si="31"/>
        <v>0.37348269714685911</v>
      </c>
      <c r="D283" s="575">
        <f t="shared" si="31"/>
        <v>0.32533918570874643</v>
      </c>
      <c r="E283" s="576">
        <f t="shared" si="32"/>
        <v>-4.8143511438112685E-2</v>
      </c>
    </row>
    <row r="284" spans="1:5" x14ac:dyDescent="0.2">
      <c r="A284" s="512"/>
      <c r="B284" s="516" t="s">
        <v>834</v>
      </c>
      <c r="C284" s="575">
        <f t="shared" si="31"/>
        <v>0.43522629951213121</v>
      </c>
      <c r="D284" s="575">
        <f t="shared" si="31"/>
        <v>0.38358114821793265</v>
      </c>
      <c r="E284" s="576">
        <f t="shared" si="32"/>
        <v>-5.1645151294198555E-2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835</v>
      </c>
      <c r="C286" s="520"/>
      <c r="D286" s="520"/>
      <c r="E286" s="520"/>
    </row>
    <row r="287" spans="1:5" x14ac:dyDescent="0.2">
      <c r="A287" s="512">
        <v>1</v>
      </c>
      <c r="B287" s="511" t="s">
        <v>640</v>
      </c>
      <c r="C287" s="547">
        <f t="shared" ref="C287:D295" si="33">IF(C25=0,0,+C58/C25)</f>
        <v>0.4515656652237176</v>
      </c>
      <c r="D287" s="547">
        <f t="shared" si="33"/>
        <v>0.42485268609187615</v>
      </c>
      <c r="E287" s="574">
        <f t="shared" ref="E287:E295" si="34">D287-C287</f>
        <v>-2.6712979131841452E-2</v>
      </c>
    </row>
    <row r="288" spans="1:5" x14ac:dyDescent="0.2">
      <c r="A288" s="512">
        <v>2</v>
      </c>
      <c r="B288" s="511" t="s">
        <v>619</v>
      </c>
      <c r="C288" s="547">
        <f t="shared" si="33"/>
        <v>0.26817912002696881</v>
      </c>
      <c r="D288" s="547">
        <f t="shared" si="33"/>
        <v>0.24442874167561326</v>
      </c>
      <c r="E288" s="574">
        <f t="shared" si="34"/>
        <v>-2.3750378351355544E-2</v>
      </c>
    </row>
    <row r="289" spans="1:5" x14ac:dyDescent="0.2">
      <c r="A289" s="512">
        <v>3</v>
      </c>
      <c r="B289" s="511" t="s">
        <v>765</v>
      </c>
      <c r="C289" s="547">
        <f t="shared" si="33"/>
        <v>0.20591249309709619</v>
      </c>
      <c r="D289" s="547">
        <f t="shared" si="33"/>
        <v>0.19474726658283234</v>
      </c>
      <c r="E289" s="574">
        <f t="shared" si="34"/>
        <v>-1.1165226514263854E-2</v>
      </c>
    </row>
    <row r="290" spans="1:5" x14ac:dyDescent="0.2">
      <c r="A290" s="512">
        <v>4</v>
      </c>
      <c r="B290" s="511" t="s">
        <v>114</v>
      </c>
      <c r="C290" s="547">
        <f t="shared" si="33"/>
        <v>0.20591249309709619</v>
      </c>
      <c r="D290" s="547">
        <f t="shared" si="33"/>
        <v>0.19474726658283234</v>
      </c>
      <c r="E290" s="574">
        <f t="shared" si="34"/>
        <v>-1.1165226514263854E-2</v>
      </c>
    </row>
    <row r="291" spans="1:5" x14ac:dyDescent="0.2">
      <c r="A291" s="512">
        <v>5</v>
      </c>
      <c r="B291" s="511" t="s">
        <v>732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0.77693638521013553</v>
      </c>
      <c r="D292" s="547">
        <f t="shared" si="33"/>
        <v>0.69347916594386427</v>
      </c>
      <c r="E292" s="574">
        <f t="shared" si="34"/>
        <v>-8.3457219266271254E-2</v>
      </c>
    </row>
    <row r="293" spans="1:5" x14ac:dyDescent="0.2">
      <c r="A293" s="512">
        <v>7</v>
      </c>
      <c r="B293" s="511" t="s">
        <v>747</v>
      </c>
      <c r="C293" s="547">
        <f t="shared" si="33"/>
        <v>3.5716210642477736E-2</v>
      </c>
      <c r="D293" s="547">
        <f t="shared" si="33"/>
        <v>3.6032601200689671E-2</v>
      </c>
      <c r="E293" s="574">
        <f t="shared" si="34"/>
        <v>3.1639055821193474E-4</v>
      </c>
    </row>
    <row r="294" spans="1:5" ht="29.25" customHeight="1" x14ac:dyDescent="0.2">
      <c r="A294" s="512"/>
      <c r="B294" s="516" t="s">
        <v>836</v>
      </c>
      <c r="C294" s="575">
        <f t="shared" si="33"/>
        <v>0.25168643649231232</v>
      </c>
      <c r="D294" s="575">
        <f t="shared" si="33"/>
        <v>0.23065321126270677</v>
      </c>
      <c r="E294" s="576">
        <f t="shared" si="34"/>
        <v>-2.1033225229605546E-2</v>
      </c>
    </row>
    <row r="295" spans="1:5" x14ac:dyDescent="0.2">
      <c r="A295" s="512"/>
      <c r="B295" s="516" t="s">
        <v>837</v>
      </c>
      <c r="C295" s="575">
        <f t="shared" si="33"/>
        <v>0.34850672922314008</v>
      </c>
      <c r="D295" s="575">
        <f t="shared" si="33"/>
        <v>0.32116216637075029</v>
      </c>
      <c r="E295" s="576">
        <f t="shared" si="34"/>
        <v>-2.7344562852389787E-2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838</v>
      </c>
      <c r="B297" s="501" t="s">
        <v>839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840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638</v>
      </c>
      <c r="C301" s="514">
        <f>+C48+C47+C50+C51+C52+C59+C58+C61+C62+C63</f>
        <v>159871732</v>
      </c>
      <c r="D301" s="514">
        <f>+D48+D47+D50+D51+D52+D59+D58+D61+D62+D63</f>
        <v>169546626</v>
      </c>
      <c r="E301" s="514">
        <f>D301-C301</f>
        <v>9674894</v>
      </c>
    </row>
    <row r="302" spans="1:5" ht="25.5" x14ac:dyDescent="0.2">
      <c r="A302" s="512">
        <v>2</v>
      </c>
      <c r="B302" s="511" t="s">
        <v>841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842</v>
      </c>
      <c r="C303" s="517">
        <f>+C301+C302</f>
        <v>159871732</v>
      </c>
      <c r="D303" s="517">
        <f>+D301+D302</f>
        <v>169546626</v>
      </c>
      <c r="E303" s="517">
        <f>D303-C303</f>
        <v>9674894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843</v>
      </c>
      <c r="C305" s="513">
        <v>6730528</v>
      </c>
      <c r="D305" s="578">
        <v>5670938</v>
      </c>
      <c r="E305" s="579">
        <f>D305-C305</f>
        <v>-1059590</v>
      </c>
    </row>
    <row r="306" spans="1:5" x14ac:dyDescent="0.2">
      <c r="A306" s="512">
        <v>4</v>
      </c>
      <c r="B306" s="516" t="s">
        <v>844</v>
      </c>
      <c r="C306" s="580">
        <f>+C303+C305</f>
        <v>166602260</v>
      </c>
      <c r="D306" s="580">
        <f>+D303+D305</f>
        <v>175217564</v>
      </c>
      <c r="E306" s="580">
        <f>D306-C306</f>
        <v>8615304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845</v>
      </c>
      <c r="C308" s="513">
        <v>166602260</v>
      </c>
      <c r="D308" s="513">
        <v>175217566</v>
      </c>
      <c r="E308" s="514">
        <f>D308-C308</f>
        <v>8615306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846</v>
      </c>
      <c r="C310" s="581">
        <f>C306-C308</f>
        <v>0</v>
      </c>
      <c r="D310" s="582">
        <f>D306-D308</f>
        <v>-2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847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848</v>
      </c>
      <c r="C314" s="514">
        <f>+C14+C15+C16+C19+C25+C26+C27+C30</f>
        <v>421320863</v>
      </c>
      <c r="D314" s="514">
        <f>+D14+D15+D16+D19+D25+D26+D27+D30</f>
        <v>491901806</v>
      </c>
      <c r="E314" s="514">
        <f>D314-C314</f>
        <v>70580943</v>
      </c>
    </row>
    <row r="315" spans="1:5" x14ac:dyDescent="0.2">
      <c r="A315" s="512">
        <v>2</v>
      </c>
      <c r="B315" s="583" t="s">
        <v>849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850</v>
      </c>
      <c r="C316" s="581">
        <f>C314+C315</f>
        <v>421320863</v>
      </c>
      <c r="D316" s="581">
        <f>D314+D315</f>
        <v>491901806</v>
      </c>
      <c r="E316" s="517">
        <f>D316-C316</f>
        <v>70580943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851</v>
      </c>
      <c r="C318" s="513">
        <v>421320863</v>
      </c>
      <c r="D318" s="513">
        <v>491901806</v>
      </c>
      <c r="E318" s="514">
        <f>D318-C318</f>
        <v>70580943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846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852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853</v>
      </c>
      <c r="C324" s="513">
        <f>+C193+C194</f>
        <v>11003041</v>
      </c>
      <c r="D324" s="513">
        <f>+D193+D194</f>
        <v>11335940</v>
      </c>
      <c r="E324" s="514">
        <f>D324-C324</f>
        <v>332899</v>
      </c>
    </row>
    <row r="325" spans="1:5" x14ac:dyDescent="0.2">
      <c r="A325" s="512">
        <v>2</v>
      </c>
      <c r="B325" s="511" t="s">
        <v>854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855</v>
      </c>
      <c r="C326" s="581">
        <f>C324+C325</f>
        <v>11003041</v>
      </c>
      <c r="D326" s="581">
        <f>D324+D325</f>
        <v>11335940</v>
      </c>
      <c r="E326" s="517">
        <f>D326-C326</f>
        <v>332899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856</v>
      </c>
      <c r="C328" s="513">
        <v>11003044</v>
      </c>
      <c r="D328" s="513">
        <v>11335940</v>
      </c>
      <c r="E328" s="514">
        <f>D328-C328</f>
        <v>332896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857</v>
      </c>
      <c r="C330" s="581">
        <f>C326-C328</f>
        <v>-3</v>
      </c>
      <c r="D330" s="581">
        <f>D326-D328</f>
        <v>0</v>
      </c>
      <c r="E330" s="517">
        <f>D330-C330</f>
        <v>3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610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858</v>
      </c>
      <c r="B5" s="696"/>
      <c r="C5" s="697"/>
      <c r="D5" s="585"/>
    </row>
    <row r="6" spans="1:58" s="338" customFormat="1" ht="15.75" customHeight="1" x14ac:dyDescent="0.25">
      <c r="A6" s="695" t="s">
        <v>859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764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640</v>
      </c>
      <c r="C14" s="513">
        <v>49771163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619</v>
      </c>
      <c r="C15" s="515">
        <v>105156405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765</v>
      </c>
      <c r="C16" s="515">
        <v>29843751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29843751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732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530908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747</v>
      </c>
      <c r="C20" s="515">
        <v>2434687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766</v>
      </c>
      <c r="C21" s="517">
        <f>SUM(C15+C16+C19)</f>
        <v>135531064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706</v>
      </c>
      <c r="C22" s="517">
        <f>SUM(C14+C21)</f>
        <v>185302227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767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640</v>
      </c>
      <c r="C25" s="513">
        <v>142894349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619</v>
      </c>
      <c r="C26" s="515">
        <v>106739845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765</v>
      </c>
      <c r="C27" s="515">
        <v>55812465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55812465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732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1152920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747</v>
      </c>
      <c r="C31" s="518">
        <v>9151074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768</v>
      </c>
      <c r="C32" s="517">
        <f>SUM(C26+C27+C30)</f>
        <v>163705230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712</v>
      </c>
      <c r="C33" s="517">
        <f>SUM(C25+C32)</f>
        <v>306599579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637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862</v>
      </c>
      <c r="C36" s="514">
        <f>SUM(C14+C25)</f>
        <v>192665512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863</v>
      </c>
      <c r="C37" s="518">
        <f>SUM(C21+C32)</f>
        <v>299236294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637</v>
      </c>
      <c r="C38" s="517">
        <f>SUM(+C36+C37)</f>
        <v>491901806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777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640</v>
      </c>
      <c r="C41" s="513">
        <v>26984875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619</v>
      </c>
      <c r="C42" s="515">
        <v>33324077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765</v>
      </c>
      <c r="C43" s="515">
        <v>10559781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10559781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732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209708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747</v>
      </c>
      <c r="C47" s="515">
        <v>25557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778</v>
      </c>
      <c r="C48" s="517">
        <f>SUM(C42+C43+C46)</f>
        <v>44093566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707</v>
      </c>
      <c r="C49" s="517">
        <f>SUM(C41+C48)</f>
        <v>71078441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779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640</v>
      </c>
      <c r="C52" s="513">
        <v>60709048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619</v>
      </c>
      <c r="C53" s="515">
        <v>26090286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765</v>
      </c>
      <c r="C54" s="515">
        <v>10869325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10869325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732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799526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747</v>
      </c>
      <c r="C58" s="515">
        <v>329737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780</v>
      </c>
      <c r="C59" s="517">
        <f>SUM(C53+C54+C57)</f>
        <v>37759137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713</v>
      </c>
      <c r="C60" s="517">
        <f>SUM(C52+C59)</f>
        <v>98468185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638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864</v>
      </c>
      <c r="C63" s="514">
        <f>SUM(C41+C52)</f>
        <v>87693923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865</v>
      </c>
      <c r="C64" s="518">
        <f>SUM(C48+C59)</f>
        <v>81852703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638</v>
      </c>
      <c r="C65" s="517">
        <f>SUM(+C63+C64)</f>
        <v>169546626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640</v>
      </c>
      <c r="C70" s="530">
        <v>3296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619</v>
      </c>
      <c r="C71" s="530">
        <v>3537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765</v>
      </c>
      <c r="C72" s="530">
        <v>1957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1957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732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41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747</v>
      </c>
      <c r="C76" s="545">
        <v>182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795</v>
      </c>
      <c r="C77" s="532">
        <f>SUM(C71+C72+C75)</f>
        <v>5535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709</v>
      </c>
      <c r="C78" s="596">
        <f>SUM(C70+C77)</f>
        <v>8831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800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640</v>
      </c>
      <c r="C81" s="541">
        <v>0.98934999999999995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619</v>
      </c>
      <c r="C82" s="541">
        <v>1.43563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765</v>
      </c>
      <c r="C83" s="541">
        <f>((C73*C84)+(C74*C85))/(C73+C74)</f>
        <v>0.92262999999999995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0.92262999999999995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732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0.90251000000000003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747</v>
      </c>
      <c r="C87" s="541">
        <v>1.0105299999999999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801</v>
      </c>
      <c r="C88" s="543">
        <f>((C71*C82)+(C73*C84)+(C74*C85)+(C75*C86))/(C71+C73+C74+C75)</f>
        <v>1.2503004751580848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710</v>
      </c>
      <c r="C89" s="543">
        <f>((C70*C81)+(C71*C82)+(C73*C84)+(C74*C85)+(C75*C86))/(C70+C71+C73+C74+C75)</f>
        <v>1.1529057558600384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802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803</v>
      </c>
      <c r="C92" s="513">
        <v>192665512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804</v>
      </c>
      <c r="C93" s="546">
        <v>87693923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652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736</v>
      </c>
      <c r="C95" s="513">
        <f>+C92-C93</f>
        <v>104971589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654</v>
      </c>
      <c r="C96" s="597">
        <f>(+C92-C93)/C92</f>
        <v>0.54483850228472652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751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737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868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806</v>
      </c>
      <c r="C103" s="513">
        <v>4953633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807</v>
      </c>
      <c r="C104" s="513">
        <v>6382307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808</v>
      </c>
      <c r="C105" s="578">
        <f>+C103+C104</f>
        <v>11335940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809</v>
      </c>
      <c r="C107" s="513">
        <v>19861936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694</v>
      </c>
      <c r="C108" s="513">
        <v>184446001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839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638</v>
      </c>
      <c r="C114" s="514">
        <f>+C65</f>
        <v>169546626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841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842</v>
      </c>
      <c r="C116" s="517">
        <f>+C114+C115</f>
        <v>169546626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843</v>
      </c>
      <c r="C118" s="578">
        <v>5670938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844</v>
      </c>
      <c r="C119" s="580">
        <f>+C116+C118</f>
        <v>175217564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845</v>
      </c>
      <c r="C121" s="513">
        <v>175217566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846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848</v>
      </c>
      <c r="C127" s="514">
        <f>+C38</f>
        <v>491901806</v>
      </c>
      <c r="D127" s="588"/>
      <c r="AR127" s="507"/>
    </row>
    <row r="128" spans="1:58" s="506" customFormat="1" x14ac:dyDescent="0.2">
      <c r="A128" s="512">
        <v>2</v>
      </c>
      <c r="B128" s="583" t="s">
        <v>849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850</v>
      </c>
      <c r="C129" s="581">
        <f>C127+C128</f>
        <v>491901806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851</v>
      </c>
      <c r="C131" s="513">
        <v>491901806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846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852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853</v>
      </c>
      <c r="C137" s="513">
        <f>C105</f>
        <v>11335940</v>
      </c>
      <c r="D137" s="588"/>
      <c r="AR137" s="507"/>
    </row>
    <row r="138" spans="1:44" s="506" customFormat="1" x14ac:dyDescent="0.2">
      <c r="A138" s="512">
        <v>2</v>
      </c>
      <c r="B138" s="511" t="s">
        <v>869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855</v>
      </c>
      <c r="C139" s="581">
        <f>C137+C138</f>
        <v>11335940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870</v>
      </c>
      <c r="C141" s="513">
        <v>11335940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857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871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614</v>
      </c>
      <c r="D8" s="35" t="s">
        <v>614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616</v>
      </c>
      <c r="D9" s="607" t="s">
        <v>617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873</v>
      </c>
      <c r="C12" s="49">
        <v>2613</v>
      </c>
      <c r="D12" s="49">
        <v>2746</v>
      </c>
      <c r="E12" s="49">
        <f>+D12-C12</f>
        <v>133</v>
      </c>
      <c r="F12" s="70">
        <f>IF(C12=0,0,+E12/C12)</f>
        <v>5.0899349406812094E-2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874</v>
      </c>
      <c r="C13" s="49">
        <v>2478</v>
      </c>
      <c r="D13" s="49">
        <v>2467</v>
      </c>
      <c r="E13" s="49">
        <f>+D13-C13</f>
        <v>-11</v>
      </c>
      <c r="F13" s="70">
        <f>IF(C13=0,0,+E13/C13)</f>
        <v>-4.4390637610976598E-3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875</v>
      </c>
      <c r="C15" s="51">
        <v>4838371</v>
      </c>
      <c r="D15" s="51">
        <v>4953633</v>
      </c>
      <c r="E15" s="51">
        <f>+D15-C15</f>
        <v>115262</v>
      </c>
      <c r="F15" s="70">
        <f>IF(C15=0,0,+E15/C15)</f>
        <v>2.3822480748169166E-2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876</v>
      </c>
      <c r="C16" s="27">
        <f>IF(C13=0,0,+C15/+C13)</f>
        <v>1952.5306698950767</v>
      </c>
      <c r="D16" s="27">
        <f>IF(D13=0,0,+D15/+D13)</f>
        <v>2007.9582488852857</v>
      </c>
      <c r="E16" s="27">
        <f>+D16-C16</f>
        <v>55.427578990208985</v>
      </c>
      <c r="F16" s="28">
        <f>IF(C16=0,0,+E16/C16)</f>
        <v>2.8387558692323896E-2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877</v>
      </c>
      <c r="C18" s="210">
        <v>0.39622299999999999</v>
      </c>
      <c r="D18" s="210">
        <v>0.39893000000000001</v>
      </c>
      <c r="E18" s="210">
        <f>+D18-C18</f>
        <v>2.7070000000000149E-3</v>
      </c>
      <c r="F18" s="70">
        <f>IF(C18=0,0,+E18/C18)</f>
        <v>6.8320112663828574E-3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878</v>
      </c>
      <c r="C19" s="27">
        <f>+C15*C18</f>
        <v>1917073.872733</v>
      </c>
      <c r="D19" s="27">
        <f>+D15*D18</f>
        <v>1976152.81269</v>
      </c>
      <c r="E19" s="27">
        <f>+D19-C19</f>
        <v>59078.939957000082</v>
      </c>
      <c r="F19" s="28">
        <f>IF(C19=0,0,+E19/C19)</f>
        <v>3.081724747141671E-2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879</v>
      </c>
      <c r="C20" s="27">
        <f>IF(C13=0,0,+C19/C13)</f>
        <v>773.63755961783693</v>
      </c>
      <c r="D20" s="27">
        <f>IF(D13=0,0,+D19/D13)</f>
        <v>801.03478422780711</v>
      </c>
      <c r="E20" s="27">
        <f>+D20-C20</f>
        <v>27.397224609970181</v>
      </c>
      <c r="F20" s="28">
        <f>IF(C20=0,0,+E20/C20)</f>
        <v>3.5413514079517955E-2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880</v>
      </c>
      <c r="C22" s="51">
        <v>831297</v>
      </c>
      <c r="D22" s="51">
        <v>951484</v>
      </c>
      <c r="E22" s="51">
        <f>+D22-C22</f>
        <v>120187</v>
      </c>
      <c r="F22" s="70">
        <f>IF(C22=0,0,+E22/C22)</f>
        <v>0.14457769004339002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881</v>
      </c>
      <c r="C23" s="49">
        <v>1204601</v>
      </c>
      <c r="D23" s="49">
        <v>1261318</v>
      </c>
      <c r="E23" s="49">
        <f>+D23-C23</f>
        <v>56717</v>
      </c>
      <c r="F23" s="70">
        <f>IF(C23=0,0,+E23/C23)</f>
        <v>4.7083640143084721E-2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882</v>
      </c>
      <c r="C24" s="49">
        <v>2802473</v>
      </c>
      <c r="D24" s="49">
        <v>2740831</v>
      </c>
      <c r="E24" s="49">
        <f>+D24-C24</f>
        <v>-61642</v>
      </c>
      <c r="F24" s="70">
        <f>IF(C24=0,0,+E24/C24)</f>
        <v>-2.1995573195531231E-2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875</v>
      </c>
      <c r="C25" s="27">
        <f>+C22+C23+C24</f>
        <v>4838371</v>
      </c>
      <c r="D25" s="27">
        <f>+D22+D23+D24</f>
        <v>4953633</v>
      </c>
      <c r="E25" s="27">
        <f>+E22+E23+E24</f>
        <v>115262</v>
      </c>
      <c r="F25" s="28">
        <f>IF(C25=0,0,+E25/C25)</f>
        <v>2.3822480748169166E-2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883</v>
      </c>
      <c r="C27" s="49">
        <v>746</v>
      </c>
      <c r="D27" s="49">
        <v>754</v>
      </c>
      <c r="E27" s="49">
        <f>+D27-C27</f>
        <v>8</v>
      </c>
      <c r="F27" s="70">
        <f>IF(C27=0,0,+E27/C27)</f>
        <v>1.0723860589812333E-2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884</v>
      </c>
      <c r="C28" s="49">
        <v>140</v>
      </c>
      <c r="D28" s="49">
        <v>158</v>
      </c>
      <c r="E28" s="49">
        <f>+D28-C28</f>
        <v>18</v>
      </c>
      <c r="F28" s="70">
        <f>IF(C28=0,0,+E28/C28)</f>
        <v>0.12857142857142856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885</v>
      </c>
      <c r="C29" s="49">
        <v>2413</v>
      </c>
      <c r="D29" s="49">
        <v>2288</v>
      </c>
      <c r="E29" s="49">
        <f>+D29-C29</f>
        <v>-125</v>
      </c>
      <c r="F29" s="70">
        <f>IF(C29=0,0,+E29/C29)</f>
        <v>-5.1802735184417741E-2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886</v>
      </c>
      <c r="C30" s="49">
        <v>1026</v>
      </c>
      <c r="D30" s="49">
        <v>1273</v>
      </c>
      <c r="E30" s="49">
        <f>+D30-C30</f>
        <v>247</v>
      </c>
      <c r="F30" s="70">
        <f>IF(C30=0,0,+E30/C30)</f>
        <v>0.24074074074074073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888</v>
      </c>
      <c r="C33" s="51">
        <v>1475620</v>
      </c>
      <c r="D33" s="51">
        <v>1651887</v>
      </c>
      <c r="E33" s="51">
        <f>+D33-C33</f>
        <v>176267</v>
      </c>
      <c r="F33" s="70">
        <f>IF(C33=0,0,+E33/C33)</f>
        <v>0.11945284016210135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889</v>
      </c>
      <c r="C34" s="49">
        <v>3279431</v>
      </c>
      <c r="D34" s="49">
        <v>3239580</v>
      </c>
      <c r="E34" s="49">
        <f>+D34-C34</f>
        <v>-39851</v>
      </c>
      <c r="F34" s="70">
        <f>IF(C34=0,0,+E34/C34)</f>
        <v>-1.2151803163414628E-2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890</v>
      </c>
      <c r="C35" s="49">
        <v>1409619</v>
      </c>
      <c r="D35" s="49">
        <v>1490840</v>
      </c>
      <c r="E35" s="49">
        <f>+D35-C35</f>
        <v>81221</v>
      </c>
      <c r="F35" s="70">
        <f>IF(C35=0,0,+E35/C35)</f>
        <v>5.7619115519867425E-2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891</v>
      </c>
      <c r="C36" s="27">
        <f>+C33+C34+C35</f>
        <v>6164670</v>
      </c>
      <c r="D36" s="27">
        <f>+D33+D34+D35</f>
        <v>6382307</v>
      </c>
      <c r="E36" s="27">
        <f>+E33+E34+E35</f>
        <v>217637</v>
      </c>
      <c r="F36" s="28">
        <f>IF(C36=0,0,+E36/C36)</f>
        <v>3.5303917322419533E-2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893</v>
      </c>
      <c r="C39" s="51">
        <f>+C25</f>
        <v>4838371</v>
      </c>
      <c r="D39" s="51">
        <f>+D25</f>
        <v>4953633</v>
      </c>
      <c r="E39" s="51">
        <f>+D39-C39</f>
        <v>115262</v>
      </c>
      <c r="F39" s="70">
        <f>IF(C39=0,0,+E39/C39)</f>
        <v>2.3822480748169166E-2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894</v>
      </c>
      <c r="C40" s="49">
        <f>+C36</f>
        <v>6164670</v>
      </c>
      <c r="D40" s="49">
        <f>+D36</f>
        <v>6382307</v>
      </c>
      <c r="E40" s="49">
        <f>+D40-C40</f>
        <v>217637</v>
      </c>
      <c r="F40" s="70">
        <f>IF(C40=0,0,+E40/C40)</f>
        <v>3.5303917322419533E-2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895</v>
      </c>
      <c r="C41" s="27">
        <f>+C39+C40</f>
        <v>11003041</v>
      </c>
      <c r="D41" s="27">
        <f>+D39+D40</f>
        <v>11335940</v>
      </c>
      <c r="E41" s="27">
        <f>+E39+E40</f>
        <v>332899</v>
      </c>
      <c r="F41" s="28">
        <f>IF(C41=0,0,+E41/C41)</f>
        <v>3.0255181272159214E-2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896</v>
      </c>
      <c r="C43" s="51">
        <f t="shared" ref="C43:D45" si="0">+C22+C33</f>
        <v>2306917</v>
      </c>
      <c r="D43" s="51">
        <f t="shared" si="0"/>
        <v>2603371</v>
      </c>
      <c r="E43" s="51">
        <f>+D43-C43</f>
        <v>296454</v>
      </c>
      <c r="F43" s="70">
        <f>IF(C43=0,0,+E43/C43)</f>
        <v>0.12850657392528644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897</v>
      </c>
      <c r="C44" s="49">
        <f t="shared" si="0"/>
        <v>4484032</v>
      </c>
      <c r="D44" s="49">
        <f t="shared" si="0"/>
        <v>4500898</v>
      </c>
      <c r="E44" s="49">
        <f>+D44-C44</f>
        <v>16866</v>
      </c>
      <c r="F44" s="70">
        <f>IF(C44=0,0,+E44/C44)</f>
        <v>3.7613469306195853E-3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898</v>
      </c>
      <c r="C45" s="49">
        <f t="shared" si="0"/>
        <v>4212092</v>
      </c>
      <c r="D45" s="49">
        <f t="shared" si="0"/>
        <v>4231671</v>
      </c>
      <c r="E45" s="49">
        <f>+D45-C45</f>
        <v>19579</v>
      </c>
      <c r="F45" s="70">
        <f>IF(C45=0,0,+E45/C45)</f>
        <v>4.6482840355813694E-3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895</v>
      </c>
      <c r="C46" s="27">
        <f>+C43+C44+C45</f>
        <v>11003041</v>
      </c>
      <c r="D46" s="27">
        <f>+D43+D44+D45</f>
        <v>11335940</v>
      </c>
      <c r="E46" s="27">
        <f>+E43+E44+E45</f>
        <v>332899</v>
      </c>
      <c r="F46" s="28">
        <f>IF(C46=0,0,+E46/C46)</f>
        <v>3.0255181272159214E-2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899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610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611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900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901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616</v>
      </c>
      <c r="D9" s="35" t="s">
        <v>617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902</v>
      </c>
      <c r="D10" s="35" t="s">
        <v>902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903</v>
      </c>
      <c r="D11" s="605" t="s">
        <v>903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175535197</v>
      </c>
      <c r="D15" s="51">
        <v>192665512</v>
      </c>
      <c r="E15" s="51">
        <f>+D15-C15</f>
        <v>17130315</v>
      </c>
      <c r="F15" s="70">
        <f>+E15/C15</f>
        <v>9.7589060728373464E-2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905</v>
      </c>
      <c r="C17" s="51">
        <v>90443699</v>
      </c>
      <c r="D17" s="51">
        <v>104971589</v>
      </c>
      <c r="E17" s="51">
        <f>+D17-C17</f>
        <v>14527890</v>
      </c>
      <c r="F17" s="70">
        <f>+E17/C17</f>
        <v>0.16062910032018926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906</v>
      </c>
      <c r="C19" s="27">
        <f>+C15-C17</f>
        <v>85091498</v>
      </c>
      <c r="D19" s="27">
        <f>+D15-D17</f>
        <v>87693923</v>
      </c>
      <c r="E19" s="27">
        <f>+D19-C19</f>
        <v>2602425</v>
      </c>
      <c r="F19" s="28">
        <f>+E19/C19</f>
        <v>3.0583842818233144E-2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907</v>
      </c>
      <c r="C21" s="628">
        <f>+C17/C15</f>
        <v>0.5152453783955363</v>
      </c>
      <c r="D21" s="628">
        <f>+D17/D15</f>
        <v>0.54483850228472652</v>
      </c>
      <c r="E21" s="628">
        <f>+D21-C21</f>
        <v>2.959312388919022E-2</v>
      </c>
      <c r="F21" s="28">
        <f>+E21/C21</f>
        <v>5.7435010831814952E-2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908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909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910</v>
      </c>
      <c r="B6" s="632" t="s">
        <v>911</v>
      </c>
      <c r="C6" s="632" t="s">
        <v>912</v>
      </c>
      <c r="D6" s="632" t="s">
        <v>913</v>
      </c>
      <c r="E6" s="632" t="s">
        <v>914</v>
      </c>
    </row>
    <row r="7" spans="1:6" ht="37.5" customHeight="1" x14ac:dyDescent="0.25">
      <c r="A7" s="633" t="s">
        <v>8</v>
      </c>
      <c r="B7" s="634" t="s">
        <v>915</v>
      </c>
      <c r="C7" s="631" t="s">
        <v>916</v>
      </c>
      <c r="D7" s="631" t="s">
        <v>917</v>
      </c>
      <c r="E7" s="631" t="s">
        <v>918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919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920</v>
      </c>
      <c r="C10" s="641">
        <v>160519223</v>
      </c>
      <c r="D10" s="641">
        <v>150353329</v>
      </c>
      <c r="E10" s="641">
        <v>185302227</v>
      </c>
    </row>
    <row r="11" spans="1:6" ht="26.1" customHeight="1" x14ac:dyDescent="0.25">
      <c r="A11" s="639">
        <v>2</v>
      </c>
      <c r="B11" s="640" t="s">
        <v>921</v>
      </c>
      <c r="C11" s="641">
        <v>258676150</v>
      </c>
      <c r="D11" s="641">
        <v>270967534</v>
      </c>
      <c r="E11" s="641">
        <v>306599579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419195373</v>
      </c>
      <c r="D12" s="641">
        <f>+D11+D10</f>
        <v>421320863</v>
      </c>
      <c r="E12" s="641">
        <f>+E11+E10</f>
        <v>491901806</v>
      </c>
    </row>
    <row r="13" spans="1:6" ht="26.1" customHeight="1" x14ac:dyDescent="0.25">
      <c r="A13" s="639">
        <v>4</v>
      </c>
      <c r="B13" s="640" t="s">
        <v>496</v>
      </c>
      <c r="C13" s="641">
        <v>166310748</v>
      </c>
      <c r="D13" s="641">
        <v>166602260</v>
      </c>
      <c r="E13" s="641">
        <v>175217566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922</v>
      </c>
      <c r="C16" s="641">
        <v>170234748</v>
      </c>
      <c r="D16" s="641">
        <v>173322666</v>
      </c>
      <c r="E16" s="641">
        <v>184446001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923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44935</v>
      </c>
      <c r="D19" s="644">
        <v>43475</v>
      </c>
      <c r="E19" s="644">
        <v>45545</v>
      </c>
    </row>
    <row r="20" spans="1:5" ht="26.1" customHeight="1" x14ac:dyDescent="0.25">
      <c r="A20" s="639">
        <v>2</v>
      </c>
      <c r="B20" s="640" t="s">
        <v>385</v>
      </c>
      <c r="C20" s="645">
        <v>9109</v>
      </c>
      <c r="D20" s="645">
        <v>9281</v>
      </c>
      <c r="E20" s="645">
        <v>8831</v>
      </c>
    </row>
    <row r="21" spans="1:5" ht="26.1" customHeight="1" x14ac:dyDescent="0.25">
      <c r="A21" s="639">
        <v>3</v>
      </c>
      <c r="B21" s="640" t="s">
        <v>924</v>
      </c>
      <c r="C21" s="646">
        <f>IF(C20=0,0,+C19/C20)</f>
        <v>4.9330332638050276</v>
      </c>
      <c r="D21" s="646">
        <f>IF(D20=0,0,+D19/D20)</f>
        <v>4.6843012606400176</v>
      </c>
      <c r="E21" s="646">
        <f>IF(E20=0,0,+E19/E20)</f>
        <v>5.1574000679424756</v>
      </c>
    </row>
    <row r="22" spans="1:5" ht="26.1" customHeight="1" x14ac:dyDescent="0.25">
      <c r="A22" s="639">
        <v>4</v>
      </c>
      <c r="B22" s="640" t="s">
        <v>925</v>
      </c>
      <c r="C22" s="645">
        <f>IF(C10=0,0,C19*(C12/C10))</f>
        <v>117347.59073531648</v>
      </c>
      <c r="D22" s="645">
        <f>IF(D10=0,0,D19*(D12/D10))</f>
        <v>121825.86604999614</v>
      </c>
      <c r="E22" s="645">
        <f>IF(E10=0,0,E19*(E12/E10))</f>
        <v>120903.39181012649</v>
      </c>
    </row>
    <row r="23" spans="1:5" ht="26.1" customHeight="1" x14ac:dyDescent="0.25">
      <c r="A23" s="639">
        <v>0</v>
      </c>
      <c r="B23" s="640" t="s">
        <v>926</v>
      </c>
      <c r="C23" s="645">
        <f>IF(C10=0,0,C20*(C12/C10))</f>
        <v>23788.12070786687</v>
      </c>
      <c r="D23" s="645">
        <f>IF(D10=0,0,D20*(D12/D10))</f>
        <v>26007.265389534543</v>
      </c>
      <c r="E23" s="645">
        <f>IF(E10=0,0,E20*(E12/E10))</f>
        <v>23442.701791090723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927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1.1815600955099352</v>
      </c>
      <c r="D26" s="647">
        <v>1.1207939984915418</v>
      </c>
      <c r="E26" s="647">
        <v>1.1529057558600384</v>
      </c>
    </row>
    <row r="27" spans="1:5" ht="26.1" customHeight="1" x14ac:dyDescent="0.25">
      <c r="A27" s="639">
        <v>2</v>
      </c>
      <c r="B27" s="640" t="s">
        <v>928</v>
      </c>
      <c r="C27" s="645">
        <f>C19*C26</f>
        <v>53093.402891738937</v>
      </c>
      <c r="D27" s="645">
        <f>D19*D26</f>
        <v>48726.519084419779</v>
      </c>
      <c r="E27" s="645">
        <f>E19*E26</f>
        <v>52509.092650645449</v>
      </c>
    </row>
    <row r="28" spans="1:5" ht="26.1" customHeight="1" x14ac:dyDescent="0.25">
      <c r="A28" s="639">
        <v>3</v>
      </c>
      <c r="B28" s="640" t="s">
        <v>929</v>
      </c>
      <c r="C28" s="645">
        <f>C20*C26</f>
        <v>10762.830910000001</v>
      </c>
      <c r="D28" s="645">
        <f>D20*D26</f>
        <v>10402.089099999999</v>
      </c>
      <c r="E28" s="645">
        <f>E20*E26</f>
        <v>10181.310729999999</v>
      </c>
    </row>
    <row r="29" spans="1:5" ht="26.1" customHeight="1" x14ac:dyDescent="0.25">
      <c r="A29" s="639">
        <v>4</v>
      </c>
      <c r="B29" s="640" t="s">
        <v>930</v>
      </c>
      <c r="C29" s="645">
        <f>C22*C26</f>
        <v>138653.23051708133</v>
      </c>
      <c r="D29" s="645">
        <f>D22*D26</f>
        <v>136541.69952987015</v>
      </c>
      <c r="E29" s="645">
        <f>E22*E26</f>
        <v>139390.21632089626</v>
      </c>
    </row>
    <row r="30" spans="1:5" ht="26.1" customHeight="1" x14ac:dyDescent="0.25">
      <c r="A30" s="639">
        <v>5</v>
      </c>
      <c r="B30" s="640" t="s">
        <v>931</v>
      </c>
      <c r="C30" s="645">
        <f>C23*C26</f>
        <v>28107.094175589049</v>
      </c>
      <c r="D30" s="645">
        <f>D23*D26</f>
        <v>29148.786965767107</v>
      </c>
      <c r="E30" s="645">
        <f>E23*E26</f>
        <v>27027.225827858925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932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933</v>
      </c>
      <c r="C33" s="641">
        <f>IF(C19=0,0,C12/C19)</f>
        <v>9328.9278513408262</v>
      </c>
      <c r="D33" s="641">
        <f>IF(D19=0,0,D12/D19)</f>
        <v>9691.1066820011492</v>
      </c>
      <c r="E33" s="641">
        <f>IF(E19=0,0,E12/E19)</f>
        <v>10800.347041387638</v>
      </c>
    </row>
    <row r="34" spans="1:5" ht="26.1" customHeight="1" x14ac:dyDescent="0.25">
      <c r="A34" s="639">
        <v>2</v>
      </c>
      <c r="B34" s="640" t="s">
        <v>934</v>
      </c>
      <c r="C34" s="641">
        <f>IF(C20=0,0,C12/C20)</f>
        <v>46019.911406301457</v>
      </c>
      <c r="D34" s="641">
        <f>IF(D20=0,0,D12/D20)</f>
        <v>45396.06324749488</v>
      </c>
      <c r="E34" s="641">
        <f>IF(E20=0,0,E12/E20)</f>
        <v>55701.71056505492</v>
      </c>
    </row>
    <row r="35" spans="1:5" ht="26.1" customHeight="1" x14ac:dyDescent="0.25">
      <c r="A35" s="639">
        <v>3</v>
      </c>
      <c r="B35" s="640" t="s">
        <v>935</v>
      </c>
      <c r="C35" s="641">
        <f>IF(C22=0,0,C12/C22)</f>
        <v>3572.2537665516857</v>
      </c>
      <c r="D35" s="641">
        <f>IF(D22=0,0,D12/D22)</f>
        <v>3458.3859459459459</v>
      </c>
      <c r="E35" s="641">
        <f>IF(E22=0,0,E12/E22)</f>
        <v>4068.5525743769899</v>
      </c>
    </row>
    <row r="36" spans="1:5" ht="26.1" customHeight="1" x14ac:dyDescent="0.25">
      <c r="A36" s="639">
        <v>4</v>
      </c>
      <c r="B36" s="640" t="s">
        <v>936</v>
      </c>
      <c r="C36" s="641">
        <f>IF(C23=0,0,C12/C23)</f>
        <v>17622.046657152267</v>
      </c>
      <c r="D36" s="641">
        <f>IF(D23=0,0,D12/D23)</f>
        <v>16200.121646374311</v>
      </c>
      <c r="E36" s="641">
        <f>IF(E23=0,0,E12/E23)</f>
        <v>20983.153323519422</v>
      </c>
    </row>
    <row r="37" spans="1:5" ht="26.1" customHeight="1" x14ac:dyDescent="0.25">
      <c r="A37" s="639">
        <v>5</v>
      </c>
      <c r="B37" s="640" t="s">
        <v>937</v>
      </c>
      <c r="C37" s="641">
        <f>IF(C29=0,0,C12/C29)</f>
        <v>3023.3365024146146</v>
      </c>
      <c r="D37" s="641">
        <f>IF(D29=0,0,D12/D29)</f>
        <v>3085.6570882789615</v>
      </c>
      <c r="E37" s="641">
        <f>IF(E29=0,0,E12/E29)</f>
        <v>3528.9550370419938</v>
      </c>
    </row>
    <row r="38" spans="1:5" ht="26.1" customHeight="1" x14ac:dyDescent="0.25">
      <c r="A38" s="639">
        <v>6</v>
      </c>
      <c r="B38" s="640" t="s">
        <v>938</v>
      </c>
      <c r="C38" s="641">
        <f>IF(C30=0,0,C12/C30)</f>
        <v>14914.219534087244</v>
      </c>
      <c r="D38" s="641">
        <f>IF(D30=0,0,D12/D30)</f>
        <v>14454.147388527945</v>
      </c>
      <c r="E38" s="641">
        <f>IF(E30=0,0,E12/E30)</f>
        <v>18200.232947806322</v>
      </c>
    </row>
    <row r="39" spans="1:5" ht="26.1" customHeight="1" x14ac:dyDescent="0.25">
      <c r="A39" s="639">
        <v>7</v>
      </c>
      <c r="B39" s="640" t="s">
        <v>939</v>
      </c>
      <c r="C39" s="641">
        <f>IF(C22=0,0,C10/C22)</f>
        <v>1367.8953440301927</v>
      </c>
      <c r="D39" s="641">
        <f>IF(D22=0,0,D10/D22)</f>
        <v>1234.1658949364371</v>
      </c>
      <c r="E39" s="641">
        <f>IF(E22=0,0,E10/E22)</f>
        <v>1532.647051713893</v>
      </c>
    </row>
    <row r="40" spans="1:5" ht="26.1" customHeight="1" x14ac:dyDescent="0.25">
      <c r="A40" s="639">
        <v>8</v>
      </c>
      <c r="B40" s="640" t="s">
        <v>940</v>
      </c>
      <c r="C40" s="641">
        <f>IF(C23=0,0,C10/C23)</f>
        <v>6747.8732335049635</v>
      </c>
      <c r="D40" s="641">
        <f>IF(D23=0,0,D10/D23)</f>
        <v>5781.2048574896671</v>
      </c>
      <c r="E40" s="641">
        <f>IF(E23=0,0,E10/E23)</f>
        <v>7904.4740086410666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941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942</v>
      </c>
      <c r="C43" s="641">
        <f>IF(C19=0,0,C13/C19)</f>
        <v>3701.1404918215198</v>
      </c>
      <c r="D43" s="641">
        <f>IF(D19=0,0,D13/D19)</f>
        <v>3832.1393904542842</v>
      </c>
      <c r="E43" s="641">
        <f>IF(E19=0,0,E13/E19)</f>
        <v>3847.1306619826546</v>
      </c>
    </row>
    <row r="44" spans="1:5" ht="26.1" customHeight="1" x14ac:dyDescent="0.25">
      <c r="A44" s="639">
        <v>2</v>
      </c>
      <c r="B44" s="640" t="s">
        <v>943</v>
      </c>
      <c r="C44" s="641">
        <f>IF(C20=0,0,C13/C20)</f>
        <v>18257.849160171259</v>
      </c>
      <c r="D44" s="641">
        <f>IF(D20=0,0,D13/D20)</f>
        <v>17950.895377653269</v>
      </c>
      <c r="E44" s="641">
        <f>IF(E20=0,0,E13/E20)</f>
        <v>19841.191937492924</v>
      </c>
    </row>
    <row r="45" spans="1:5" ht="26.1" customHeight="1" x14ac:dyDescent="0.25">
      <c r="A45" s="639">
        <v>3</v>
      </c>
      <c r="B45" s="640" t="s">
        <v>944</v>
      </c>
      <c r="C45" s="641">
        <f>IF(C22=0,0,C13/C22)</f>
        <v>1417.2489350473538</v>
      </c>
      <c r="D45" s="641">
        <f>IF(D22=0,0,D13/D22)</f>
        <v>1367.5442285107833</v>
      </c>
      <c r="E45" s="641">
        <f>IF(E22=0,0,E13/E22)</f>
        <v>1449.2361494305433</v>
      </c>
    </row>
    <row r="46" spans="1:5" ht="26.1" customHeight="1" x14ac:dyDescent="0.25">
      <c r="A46" s="639">
        <v>4</v>
      </c>
      <c r="B46" s="640" t="s">
        <v>945</v>
      </c>
      <c r="C46" s="641">
        <f>IF(C23=0,0,C13/C23)</f>
        <v>6991.3361396808477</v>
      </c>
      <c r="D46" s="641">
        <f>IF(D23=0,0,D13/D23)</f>
        <v>6405.9891535940415</v>
      </c>
      <c r="E46" s="641">
        <f>IF(E23=0,0,E13/E23)</f>
        <v>7474.2906155377759</v>
      </c>
    </row>
    <row r="47" spans="1:5" ht="26.1" customHeight="1" x14ac:dyDescent="0.25">
      <c r="A47" s="639">
        <v>5</v>
      </c>
      <c r="B47" s="640" t="s">
        <v>946</v>
      </c>
      <c r="C47" s="641">
        <f>IF(C29=0,0,C13/C29)</f>
        <v>1199.4725790360249</v>
      </c>
      <c r="D47" s="641">
        <f>IF(D29=0,0,D13/D29)</f>
        <v>1220.1566303453967</v>
      </c>
      <c r="E47" s="641">
        <f>IF(E29=0,0,E13/E29)</f>
        <v>1257.0291561684935</v>
      </c>
    </row>
    <row r="48" spans="1:5" ht="26.1" customHeight="1" x14ac:dyDescent="0.25">
      <c r="A48" s="639">
        <v>6</v>
      </c>
      <c r="B48" s="640" t="s">
        <v>947</v>
      </c>
      <c r="C48" s="641">
        <f>IF(C30=0,0,C13/C30)</f>
        <v>5917.0381314067154</v>
      </c>
      <c r="D48" s="641">
        <f>IF(D30=0,0,D13/D30)</f>
        <v>5715.5812417052166</v>
      </c>
      <c r="E48" s="641">
        <f>IF(E30=0,0,E13/E30)</f>
        <v>6483.0022554290617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948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949</v>
      </c>
      <c r="C51" s="641">
        <f>IF(C19=0,0,C16/C19)</f>
        <v>3788.4666295760544</v>
      </c>
      <c r="D51" s="641">
        <f>IF(D19=0,0,D16/D19)</f>
        <v>3986.7203220241518</v>
      </c>
      <c r="E51" s="641">
        <f>IF(E19=0,0,E16/E19)</f>
        <v>4049.7530135031288</v>
      </c>
    </row>
    <row r="52" spans="1:6" ht="26.1" customHeight="1" x14ac:dyDescent="0.25">
      <c r="A52" s="639">
        <v>2</v>
      </c>
      <c r="B52" s="640" t="s">
        <v>950</v>
      </c>
      <c r="C52" s="641">
        <f>IF(C20=0,0,C16/C20)</f>
        <v>18688.631902513996</v>
      </c>
      <c r="D52" s="641">
        <f>IF(D20=0,0,D16/D20)</f>
        <v>18674.999030276911</v>
      </c>
      <c r="E52" s="641">
        <f>IF(E20=0,0,E16/E20)</f>
        <v>20886.196466991281</v>
      </c>
    </row>
    <row r="53" spans="1:6" ht="26.1" customHeight="1" x14ac:dyDescent="0.25">
      <c r="A53" s="639">
        <v>3</v>
      </c>
      <c r="B53" s="640" t="s">
        <v>951</v>
      </c>
      <c r="C53" s="641">
        <f>IF(C22=0,0,C16/C22)</f>
        <v>1450.6880536130752</v>
      </c>
      <c r="D53" s="641">
        <f>IF(D22=0,0,D16/D22)</f>
        <v>1422.7082607306897</v>
      </c>
      <c r="E53" s="641">
        <f>IF(E22=0,0,E16/E22)</f>
        <v>1525.5651494845108</v>
      </c>
    </row>
    <row r="54" spans="1:6" ht="26.1" customHeight="1" x14ac:dyDescent="0.25">
      <c r="A54" s="639">
        <v>4</v>
      </c>
      <c r="B54" s="640" t="s">
        <v>952</v>
      </c>
      <c r="C54" s="641">
        <f>IF(C23=0,0,C16/C23)</f>
        <v>7156.2924238778714</v>
      </c>
      <c r="D54" s="641">
        <f>IF(D23=0,0,D16/D23)</f>
        <v>6664.3940992637363</v>
      </c>
      <c r="E54" s="641">
        <f>IF(E23=0,0,E16/E23)</f>
        <v>7867.9498056020893</v>
      </c>
    </row>
    <row r="55" spans="1:6" ht="26.1" customHeight="1" x14ac:dyDescent="0.25">
      <c r="A55" s="639">
        <v>5</v>
      </c>
      <c r="B55" s="640" t="s">
        <v>953</v>
      </c>
      <c r="C55" s="641">
        <f>IF(C29=0,0,C16/C29)</f>
        <v>1227.7733981757317</v>
      </c>
      <c r="D55" s="641">
        <f>IF(D29=0,0,D16/D29)</f>
        <v>1269.3753380598837</v>
      </c>
      <c r="E55" s="641">
        <f>IF(E29=0,0,E16/E29)</f>
        <v>1323.2349146756387</v>
      </c>
    </row>
    <row r="56" spans="1:6" ht="26.1" customHeight="1" x14ac:dyDescent="0.25">
      <c r="A56" s="639">
        <v>6</v>
      </c>
      <c r="B56" s="640" t="s">
        <v>954</v>
      </c>
      <c r="C56" s="641">
        <f>IF(C30=0,0,C16/C30)</f>
        <v>6056.6470136158196</v>
      </c>
      <c r="D56" s="641">
        <f>IF(D30=0,0,D16/D30)</f>
        <v>5946.1364962992611</v>
      </c>
      <c r="E56" s="641">
        <f>IF(E30=0,0,E16/E30)</f>
        <v>6824.4518388519955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955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956</v>
      </c>
      <c r="C59" s="649">
        <v>25806971</v>
      </c>
      <c r="D59" s="649">
        <v>26184283</v>
      </c>
      <c r="E59" s="649">
        <v>27483799</v>
      </c>
    </row>
    <row r="60" spans="1:6" ht="26.1" customHeight="1" x14ac:dyDescent="0.25">
      <c r="A60" s="639">
        <v>2</v>
      </c>
      <c r="B60" s="640" t="s">
        <v>957</v>
      </c>
      <c r="C60" s="649">
        <v>7915769</v>
      </c>
      <c r="D60" s="649">
        <v>8134838</v>
      </c>
      <c r="E60" s="649">
        <v>9278681</v>
      </c>
    </row>
    <row r="61" spans="1:6" ht="26.1" customHeight="1" x14ac:dyDescent="0.25">
      <c r="A61" s="650">
        <v>3</v>
      </c>
      <c r="B61" s="651" t="s">
        <v>958</v>
      </c>
      <c r="C61" s="652">
        <f>C59+C60</f>
        <v>33722740</v>
      </c>
      <c r="D61" s="652">
        <f>D59+D60</f>
        <v>34319121</v>
      </c>
      <c r="E61" s="652">
        <f>E59+E60</f>
        <v>36762480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959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960</v>
      </c>
      <c r="C64" s="641">
        <v>5482881</v>
      </c>
      <c r="D64" s="641">
        <v>5856368</v>
      </c>
      <c r="E64" s="649">
        <v>7064262</v>
      </c>
      <c r="F64" s="653"/>
    </row>
    <row r="65" spans="1:6" ht="26.1" customHeight="1" x14ac:dyDescent="0.25">
      <c r="A65" s="639">
        <v>2</v>
      </c>
      <c r="B65" s="640" t="s">
        <v>961</v>
      </c>
      <c r="C65" s="649">
        <v>1592038</v>
      </c>
      <c r="D65" s="649">
        <v>1698577</v>
      </c>
      <c r="E65" s="649">
        <v>2196063</v>
      </c>
      <c r="F65" s="653"/>
    </row>
    <row r="66" spans="1:6" ht="26.1" customHeight="1" x14ac:dyDescent="0.25">
      <c r="A66" s="650">
        <v>3</v>
      </c>
      <c r="B66" s="651" t="s">
        <v>962</v>
      </c>
      <c r="C66" s="654">
        <f>C64+C65</f>
        <v>7074919</v>
      </c>
      <c r="D66" s="654">
        <f>D64+D65</f>
        <v>7554945</v>
      </c>
      <c r="E66" s="654">
        <f>E64+E65</f>
        <v>9260325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963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964</v>
      </c>
      <c r="C69" s="649">
        <v>43826502</v>
      </c>
      <c r="D69" s="649">
        <v>45540909</v>
      </c>
      <c r="E69" s="649">
        <v>47001764</v>
      </c>
    </row>
    <row r="70" spans="1:6" ht="26.1" customHeight="1" x14ac:dyDescent="0.25">
      <c r="A70" s="639">
        <v>2</v>
      </c>
      <c r="B70" s="640" t="s">
        <v>965</v>
      </c>
      <c r="C70" s="649">
        <v>11482677</v>
      </c>
      <c r="D70" s="649">
        <v>11946049</v>
      </c>
      <c r="E70" s="649">
        <v>13392508</v>
      </c>
    </row>
    <row r="71" spans="1:6" ht="26.1" customHeight="1" x14ac:dyDescent="0.25">
      <c r="A71" s="650">
        <v>3</v>
      </c>
      <c r="B71" s="651" t="s">
        <v>966</v>
      </c>
      <c r="C71" s="652">
        <f>C69+C70</f>
        <v>55309179</v>
      </c>
      <c r="D71" s="652">
        <f>D69+D70</f>
        <v>57486958</v>
      </c>
      <c r="E71" s="652">
        <f>E69+E70</f>
        <v>60394272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967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968</v>
      </c>
      <c r="C75" s="641">
        <f t="shared" ref="C75:E76" si="0">+C59+C64+C69</f>
        <v>75116354</v>
      </c>
      <c r="D75" s="641">
        <f t="shared" si="0"/>
        <v>77581560</v>
      </c>
      <c r="E75" s="641">
        <f t="shared" si="0"/>
        <v>81549825</v>
      </c>
    </row>
    <row r="76" spans="1:6" ht="26.1" customHeight="1" x14ac:dyDescent="0.25">
      <c r="A76" s="639">
        <v>2</v>
      </c>
      <c r="B76" s="640" t="s">
        <v>969</v>
      </c>
      <c r="C76" s="641">
        <f t="shared" si="0"/>
        <v>20990484</v>
      </c>
      <c r="D76" s="641">
        <f t="shared" si="0"/>
        <v>21779464</v>
      </c>
      <c r="E76" s="641">
        <f t="shared" si="0"/>
        <v>24867252</v>
      </c>
    </row>
    <row r="77" spans="1:6" ht="26.1" customHeight="1" x14ac:dyDescent="0.25">
      <c r="A77" s="650">
        <v>3</v>
      </c>
      <c r="B77" s="651" t="s">
        <v>967</v>
      </c>
      <c r="C77" s="654">
        <f>C75+C76</f>
        <v>96106838</v>
      </c>
      <c r="D77" s="654">
        <f>D75+D76</f>
        <v>99361024</v>
      </c>
      <c r="E77" s="654">
        <f>E75+E76</f>
        <v>106417077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970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340.4</v>
      </c>
      <c r="D80" s="646">
        <v>321</v>
      </c>
      <c r="E80" s="646">
        <v>325</v>
      </c>
    </row>
    <row r="81" spans="1:5" ht="26.1" customHeight="1" x14ac:dyDescent="0.25">
      <c r="A81" s="639">
        <v>2</v>
      </c>
      <c r="B81" s="640" t="s">
        <v>597</v>
      </c>
      <c r="C81" s="646">
        <v>13.3</v>
      </c>
      <c r="D81" s="646">
        <v>16.7</v>
      </c>
      <c r="E81" s="646">
        <v>14.6</v>
      </c>
    </row>
    <row r="82" spans="1:5" ht="26.1" customHeight="1" x14ac:dyDescent="0.25">
      <c r="A82" s="639">
        <v>3</v>
      </c>
      <c r="B82" s="640" t="s">
        <v>971</v>
      </c>
      <c r="C82" s="646">
        <v>793.2</v>
      </c>
      <c r="D82" s="646">
        <v>801.2</v>
      </c>
      <c r="E82" s="646">
        <v>736.2</v>
      </c>
    </row>
    <row r="83" spans="1:5" ht="26.1" customHeight="1" x14ac:dyDescent="0.25">
      <c r="A83" s="650">
        <v>4</v>
      </c>
      <c r="B83" s="651" t="s">
        <v>970</v>
      </c>
      <c r="C83" s="656">
        <f>C80+C81+C82</f>
        <v>1146.9000000000001</v>
      </c>
      <c r="D83" s="656">
        <f>D80+D81+D82</f>
        <v>1138.9000000000001</v>
      </c>
      <c r="E83" s="656">
        <f>E80+E81+E82</f>
        <v>1075.8000000000002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972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973</v>
      </c>
      <c r="C86" s="649">
        <f>IF(C80=0,0,C59/C80)</f>
        <v>75813.663337250298</v>
      </c>
      <c r="D86" s="649">
        <f>IF(D80=0,0,D59/D80)</f>
        <v>81570.975077881623</v>
      </c>
      <c r="E86" s="649">
        <f>IF(E80=0,0,E59/E80)</f>
        <v>84565.535384615388</v>
      </c>
    </row>
    <row r="87" spans="1:5" ht="26.1" customHeight="1" x14ac:dyDescent="0.25">
      <c r="A87" s="639">
        <v>2</v>
      </c>
      <c r="B87" s="640" t="s">
        <v>974</v>
      </c>
      <c r="C87" s="649">
        <f>IF(C80=0,0,C60/C80)</f>
        <v>23254.315511163339</v>
      </c>
      <c r="D87" s="649">
        <f>IF(D80=0,0,D60/D80)</f>
        <v>25342.174454828659</v>
      </c>
      <c r="E87" s="649">
        <f>IF(E80=0,0,E60/E80)</f>
        <v>28549.787692307691</v>
      </c>
    </row>
    <row r="88" spans="1:5" ht="26.1" customHeight="1" x14ac:dyDescent="0.25">
      <c r="A88" s="650">
        <v>3</v>
      </c>
      <c r="B88" s="651" t="s">
        <v>975</v>
      </c>
      <c r="C88" s="652">
        <f>+C86+C87</f>
        <v>99067.978848413637</v>
      </c>
      <c r="D88" s="652">
        <f>+D86+D87</f>
        <v>106913.14953271029</v>
      </c>
      <c r="E88" s="652">
        <f>+E86+E87</f>
        <v>113115.32307692309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976</v>
      </c>
    </row>
    <row r="91" spans="1:5" ht="26.1" customHeight="1" x14ac:dyDescent="0.25">
      <c r="A91" s="639">
        <v>1</v>
      </c>
      <c r="B91" s="640" t="s">
        <v>977</v>
      </c>
      <c r="C91" s="641">
        <f>IF(C81=0,0,C64/C81)</f>
        <v>412246.6917293233</v>
      </c>
      <c r="D91" s="641">
        <f>IF(D81=0,0,D64/D81)</f>
        <v>350680.71856287424</v>
      </c>
      <c r="E91" s="641">
        <f>IF(E81=0,0,E64/E81)</f>
        <v>483853.56164383562</v>
      </c>
    </row>
    <row r="92" spans="1:5" ht="26.1" customHeight="1" x14ac:dyDescent="0.25">
      <c r="A92" s="639">
        <v>2</v>
      </c>
      <c r="B92" s="640" t="s">
        <v>978</v>
      </c>
      <c r="C92" s="641">
        <f>IF(C81=0,0,C65/C81)</f>
        <v>119702.10526315789</v>
      </c>
      <c r="D92" s="641">
        <f>IF(D81=0,0,D65/D81)</f>
        <v>101711.19760479042</v>
      </c>
      <c r="E92" s="641">
        <f>IF(E81=0,0,E65/E81)</f>
        <v>150415.27397260274</v>
      </c>
    </row>
    <row r="93" spans="1:5" ht="26.1" customHeight="1" x14ac:dyDescent="0.25">
      <c r="A93" s="650">
        <v>3</v>
      </c>
      <c r="B93" s="651" t="s">
        <v>979</v>
      </c>
      <c r="C93" s="654">
        <f>+C91+C92</f>
        <v>531948.79699248122</v>
      </c>
      <c r="D93" s="654">
        <f>+D91+D92</f>
        <v>452391.91616766469</v>
      </c>
      <c r="E93" s="654">
        <f>+E91+E92</f>
        <v>634268.83561643842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980</v>
      </c>
      <c r="B95" s="642" t="s">
        <v>981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982</v>
      </c>
      <c r="C96" s="649">
        <f>IF(C82=0,0,C69/C82)</f>
        <v>55252.776096822992</v>
      </c>
      <c r="D96" s="649">
        <f>IF(D82=0,0,D69/D82)</f>
        <v>56840.87493759361</v>
      </c>
      <c r="E96" s="649">
        <f>IF(E82=0,0,E69/E82)</f>
        <v>63843.743547948921</v>
      </c>
    </row>
    <row r="97" spans="1:5" ht="26.1" customHeight="1" x14ac:dyDescent="0.25">
      <c r="A97" s="639">
        <v>2</v>
      </c>
      <c r="B97" s="640" t="s">
        <v>983</v>
      </c>
      <c r="C97" s="649">
        <f>IF(C82=0,0,C70/C82)</f>
        <v>14476.395612708016</v>
      </c>
      <c r="D97" s="649">
        <f>IF(D82=0,0,D70/D82)</f>
        <v>14910.1959560659</v>
      </c>
      <c r="E97" s="649">
        <f>IF(E82=0,0,E70/E82)</f>
        <v>18191.399076337952</v>
      </c>
    </row>
    <row r="98" spans="1:5" ht="26.1" customHeight="1" x14ac:dyDescent="0.25">
      <c r="A98" s="650">
        <v>3</v>
      </c>
      <c r="B98" s="651" t="s">
        <v>984</v>
      </c>
      <c r="C98" s="654">
        <f>+C96+C97</f>
        <v>69729.171709531016</v>
      </c>
      <c r="D98" s="654">
        <f>+D96+D97</f>
        <v>71751.070893659504</v>
      </c>
      <c r="E98" s="654">
        <f>+E96+E97</f>
        <v>82035.142624286877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985</v>
      </c>
      <c r="B100" s="642" t="s">
        <v>986</v>
      </c>
    </row>
    <row r="101" spans="1:5" ht="26.1" customHeight="1" x14ac:dyDescent="0.25">
      <c r="A101" s="639">
        <v>1</v>
      </c>
      <c r="B101" s="640" t="s">
        <v>987</v>
      </c>
      <c r="C101" s="641">
        <f>IF(C83=0,0,C75/C83)</f>
        <v>65495.120760310398</v>
      </c>
      <c r="D101" s="641">
        <f>IF(D83=0,0,D75/D83)</f>
        <v>68119.729563614004</v>
      </c>
      <c r="E101" s="641">
        <f>IF(E83=0,0,E75/E83)</f>
        <v>75803.890128276616</v>
      </c>
    </row>
    <row r="102" spans="1:5" ht="26.1" customHeight="1" x14ac:dyDescent="0.25">
      <c r="A102" s="639">
        <v>2</v>
      </c>
      <c r="B102" s="640" t="s">
        <v>988</v>
      </c>
      <c r="C102" s="658">
        <f>IF(C83=0,0,C76/C83)</f>
        <v>18301.930421135232</v>
      </c>
      <c r="D102" s="658">
        <f>IF(D83=0,0,D76/D83)</f>
        <v>19123.245236631836</v>
      </c>
      <c r="E102" s="658">
        <f>IF(E83=0,0,E76/E83)</f>
        <v>23115.125488008918</v>
      </c>
    </row>
    <row r="103" spans="1:5" ht="26.1" customHeight="1" x14ac:dyDescent="0.25">
      <c r="A103" s="650">
        <v>3</v>
      </c>
      <c r="B103" s="651" t="s">
        <v>986</v>
      </c>
      <c r="C103" s="654">
        <f>+C101+C102</f>
        <v>83797.051181445626</v>
      </c>
      <c r="D103" s="654">
        <f>+D101+D102</f>
        <v>87242.974800245836</v>
      </c>
      <c r="E103" s="654">
        <f>+E101+E102</f>
        <v>98919.015616285527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989</v>
      </c>
      <c r="B107" s="634" t="s">
        <v>990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991</v>
      </c>
      <c r="C108" s="641">
        <f>IF(C19=0,0,C77/C19)</f>
        <v>2138.7968843885615</v>
      </c>
      <c r="D108" s="641">
        <f>IF(D19=0,0,D77/D19)</f>
        <v>2285.4749626221965</v>
      </c>
      <c r="E108" s="641">
        <f>IF(E19=0,0,E77/E19)</f>
        <v>2336.5260072455812</v>
      </c>
    </row>
    <row r="109" spans="1:5" ht="26.1" customHeight="1" x14ac:dyDescent="0.25">
      <c r="A109" s="639">
        <v>2</v>
      </c>
      <c r="B109" s="640" t="s">
        <v>992</v>
      </c>
      <c r="C109" s="641">
        <f>IF(C20=0,0,C77/C20)</f>
        <v>10550.756175211329</v>
      </c>
      <c r="D109" s="641">
        <f>IF(D20=0,0,D77/D20)</f>
        <v>10705.853248572352</v>
      </c>
      <c r="E109" s="641">
        <f>IF(E20=0,0,E77/E20)</f>
        <v>12050.399388517722</v>
      </c>
    </row>
    <row r="110" spans="1:5" ht="26.1" customHeight="1" x14ac:dyDescent="0.25">
      <c r="A110" s="639">
        <v>3</v>
      </c>
      <c r="B110" s="640" t="s">
        <v>993</v>
      </c>
      <c r="C110" s="641">
        <f>IF(C22=0,0,C77/C22)</f>
        <v>818.99285190075966</v>
      </c>
      <c r="D110" s="641">
        <f>IF(D22=0,0,D77/D22)</f>
        <v>815.5987494414627</v>
      </c>
      <c r="E110" s="641">
        <f>IF(E22=0,0,E77/E22)</f>
        <v>880.18272611510679</v>
      </c>
    </row>
    <row r="111" spans="1:5" ht="26.1" customHeight="1" x14ac:dyDescent="0.25">
      <c r="A111" s="639">
        <v>4</v>
      </c>
      <c r="B111" s="640" t="s">
        <v>994</v>
      </c>
      <c r="C111" s="641">
        <f>IF(C23=0,0,C77/C23)</f>
        <v>4040.118981244992</v>
      </c>
      <c r="D111" s="641">
        <f>IF(D23=0,0,D77/D23)</f>
        <v>3820.5102501850652</v>
      </c>
      <c r="E111" s="641">
        <f>IF(E23=0,0,E77/E23)</f>
        <v>4539.4544514678446</v>
      </c>
    </row>
    <row r="112" spans="1:5" ht="26.1" customHeight="1" x14ac:dyDescent="0.25">
      <c r="A112" s="639">
        <v>5</v>
      </c>
      <c r="B112" s="640" t="s">
        <v>995</v>
      </c>
      <c r="C112" s="641">
        <f>IF(C29=0,0,C77/C29)</f>
        <v>693.14532118427746</v>
      </c>
      <c r="D112" s="641">
        <f>IF(D29=0,0,D77/D29)</f>
        <v>727.69728472775876</v>
      </c>
      <c r="E112" s="641">
        <f>IF(E29=0,0,E77/E29)</f>
        <v>763.44724765339799</v>
      </c>
    </row>
    <row r="113" spans="1:7" ht="25.5" customHeight="1" x14ac:dyDescent="0.25">
      <c r="A113" s="639">
        <v>6</v>
      </c>
      <c r="B113" s="640" t="s">
        <v>996</v>
      </c>
      <c r="C113" s="641">
        <f>IF(C30=0,0,C77/C30)</f>
        <v>3419.3089260528604</v>
      </c>
      <c r="D113" s="641">
        <f>IF(D30=0,0,D77/D30)</f>
        <v>3408.7533082145574</v>
      </c>
      <c r="E113" s="641">
        <f>IF(E30=0,0,E77/E30)</f>
        <v>3937.4028869181307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FILING&amp;R&amp;12MANCHESTER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421321833</v>
      </c>
      <c r="D12" s="51">
        <v>491901806</v>
      </c>
      <c r="E12" s="51">
        <f t="shared" ref="E12:E19" si="0">D12-C12</f>
        <v>70579973</v>
      </c>
      <c r="F12" s="70">
        <f t="shared" ref="F12:F19" si="1">IF(C12=0,0,E12/C12)</f>
        <v>0.1675203311858752</v>
      </c>
    </row>
    <row r="13" spans="1:8" ht="23.1" customHeight="1" x14ac:dyDescent="0.2">
      <c r="A13" s="25">
        <v>2</v>
      </c>
      <c r="B13" s="48" t="s">
        <v>72</v>
      </c>
      <c r="C13" s="51">
        <v>249881202</v>
      </c>
      <c r="D13" s="51">
        <v>311730607</v>
      </c>
      <c r="E13" s="51">
        <f t="shared" si="0"/>
        <v>61849405</v>
      </c>
      <c r="F13" s="70">
        <f t="shared" si="1"/>
        <v>0.24751523726062435</v>
      </c>
    </row>
    <row r="14" spans="1:8" ht="23.1" customHeight="1" x14ac:dyDescent="0.2">
      <c r="A14" s="25">
        <v>3</v>
      </c>
      <c r="B14" s="48" t="s">
        <v>73</v>
      </c>
      <c r="C14" s="51">
        <v>4838371</v>
      </c>
      <c r="D14" s="51">
        <v>4953633</v>
      </c>
      <c r="E14" s="51">
        <f t="shared" si="0"/>
        <v>115262</v>
      </c>
      <c r="F14" s="70">
        <f t="shared" si="1"/>
        <v>2.3822480748169166E-2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166602260</v>
      </c>
      <c r="D16" s="27">
        <f>D12-D13-D14-D15</f>
        <v>175217566</v>
      </c>
      <c r="E16" s="27">
        <f t="shared" si="0"/>
        <v>8615306</v>
      </c>
      <c r="F16" s="28">
        <f t="shared" si="1"/>
        <v>5.171181951553358E-2</v>
      </c>
    </row>
    <row r="17" spans="1:7" ht="23.1" customHeight="1" x14ac:dyDescent="0.2">
      <c r="A17" s="25">
        <v>5</v>
      </c>
      <c r="B17" s="48" t="s">
        <v>76</v>
      </c>
      <c r="C17" s="51">
        <v>12669852</v>
      </c>
      <c r="D17" s="51">
        <v>19545250</v>
      </c>
      <c r="E17" s="51">
        <f t="shared" si="0"/>
        <v>6875398</v>
      </c>
      <c r="F17" s="70">
        <f t="shared" si="1"/>
        <v>0.5426581147119951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478506</v>
      </c>
      <c r="D18" s="51">
        <v>316686</v>
      </c>
      <c r="E18" s="51">
        <f t="shared" si="0"/>
        <v>-161820</v>
      </c>
      <c r="F18" s="70">
        <f t="shared" si="1"/>
        <v>-0.33817757771062434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179750618</v>
      </c>
      <c r="D19" s="27">
        <f>SUM(D16:D18)</f>
        <v>195079502</v>
      </c>
      <c r="E19" s="27">
        <f t="shared" si="0"/>
        <v>15328884</v>
      </c>
      <c r="F19" s="28">
        <f t="shared" si="1"/>
        <v>8.5278616399527482E-2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77581560</v>
      </c>
      <c r="D22" s="51">
        <v>81549825</v>
      </c>
      <c r="E22" s="51">
        <f t="shared" ref="E22:E31" si="2">D22-C22</f>
        <v>3968265</v>
      </c>
      <c r="F22" s="70">
        <f t="shared" ref="F22:F31" si="3">IF(C22=0,0,E22/C22)</f>
        <v>5.114959018612155E-2</v>
      </c>
    </row>
    <row r="23" spans="1:7" ht="23.1" customHeight="1" x14ac:dyDescent="0.2">
      <c r="A23" s="25">
        <v>2</v>
      </c>
      <c r="B23" s="48" t="s">
        <v>81</v>
      </c>
      <c r="C23" s="51">
        <v>21779464</v>
      </c>
      <c r="D23" s="51">
        <v>24867252</v>
      </c>
      <c r="E23" s="51">
        <f t="shared" si="2"/>
        <v>3087788</v>
      </c>
      <c r="F23" s="70">
        <f t="shared" si="3"/>
        <v>0.14177520622178763</v>
      </c>
    </row>
    <row r="24" spans="1:7" ht="23.1" customHeight="1" x14ac:dyDescent="0.2">
      <c r="A24" s="25">
        <v>3</v>
      </c>
      <c r="B24" s="48" t="s">
        <v>82</v>
      </c>
      <c r="C24" s="51">
        <v>6685874</v>
      </c>
      <c r="D24" s="51">
        <v>7076665</v>
      </c>
      <c r="E24" s="51">
        <f t="shared" si="2"/>
        <v>390791</v>
      </c>
      <c r="F24" s="70">
        <f t="shared" si="3"/>
        <v>5.8450248987641708E-2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24878879</v>
      </c>
      <c r="D25" s="51">
        <v>23608371</v>
      </c>
      <c r="E25" s="51">
        <f t="shared" si="2"/>
        <v>-1270508</v>
      </c>
      <c r="F25" s="70">
        <f t="shared" si="3"/>
        <v>-5.1067735005262897E-2</v>
      </c>
    </row>
    <row r="26" spans="1:7" ht="23.1" customHeight="1" x14ac:dyDescent="0.2">
      <c r="A26" s="25">
        <v>5</v>
      </c>
      <c r="B26" s="48" t="s">
        <v>84</v>
      </c>
      <c r="C26" s="51">
        <v>7107904</v>
      </c>
      <c r="D26" s="51">
        <v>6896812</v>
      </c>
      <c r="E26" s="51">
        <f t="shared" si="2"/>
        <v>-211092</v>
      </c>
      <c r="F26" s="70">
        <f t="shared" si="3"/>
        <v>-2.969820639108238E-2</v>
      </c>
    </row>
    <row r="27" spans="1:7" ht="23.1" customHeight="1" x14ac:dyDescent="0.2">
      <c r="A27" s="25">
        <v>6</v>
      </c>
      <c r="B27" s="48" t="s">
        <v>85</v>
      </c>
      <c r="C27" s="51">
        <v>6164670</v>
      </c>
      <c r="D27" s="51">
        <v>6382307</v>
      </c>
      <c r="E27" s="51">
        <f t="shared" si="2"/>
        <v>217637</v>
      </c>
      <c r="F27" s="70">
        <f t="shared" si="3"/>
        <v>3.5303917322419533E-2</v>
      </c>
    </row>
    <row r="28" spans="1:7" ht="23.1" customHeight="1" x14ac:dyDescent="0.2">
      <c r="A28" s="25">
        <v>7</v>
      </c>
      <c r="B28" s="48" t="s">
        <v>86</v>
      </c>
      <c r="C28" s="51">
        <v>2539198</v>
      </c>
      <c r="D28" s="51">
        <v>2714044</v>
      </c>
      <c r="E28" s="51">
        <f t="shared" si="2"/>
        <v>174846</v>
      </c>
      <c r="F28" s="70">
        <f t="shared" si="3"/>
        <v>6.8858749888744394E-2</v>
      </c>
    </row>
    <row r="29" spans="1:7" ht="23.1" customHeight="1" x14ac:dyDescent="0.2">
      <c r="A29" s="25">
        <v>8</v>
      </c>
      <c r="B29" s="48" t="s">
        <v>87</v>
      </c>
      <c r="C29" s="51">
        <v>1786350</v>
      </c>
      <c r="D29" s="51">
        <v>4762176</v>
      </c>
      <c r="E29" s="51">
        <f t="shared" si="2"/>
        <v>2975826</v>
      </c>
      <c r="F29" s="70">
        <f t="shared" si="3"/>
        <v>1.6658695104542782</v>
      </c>
    </row>
    <row r="30" spans="1:7" ht="23.1" customHeight="1" x14ac:dyDescent="0.2">
      <c r="A30" s="25">
        <v>9</v>
      </c>
      <c r="B30" s="48" t="s">
        <v>88</v>
      </c>
      <c r="C30" s="51">
        <v>24798767</v>
      </c>
      <c r="D30" s="51">
        <v>26588549</v>
      </c>
      <c r="E30" s="51">
        <f t="shared" si="2"/>
        <v>1789782</v>
      </c>
      <c r="F30" s="70">
        <f t="shared" si="3"/>
        <v>7.2172217271931308E-2</v>
      </c>
    </row>
    <row r="31" spans="1:7" ht="23.1" customHeight="1" x14ac:dyDescent="0.25">
      <c r="A31" s="29"/>
      <c r="B31" s="71" t="s">
        <v>89</v>
      </c>
      <c r="C31" s="27">
        <f>SUM(C22:C30)</f>
        <v>173322666</v>
      </c>
      <c r="D31" s="27">
        <f>SUM(D22:D30)</f>
        <v>184446001</v>
      </c>
      <c r="E31" s="27">
        <f t="shared" si="2"/>
        <v>11123335</v>
      </c>
      <c r="F31" s="28">
        <f t="shared" si="3"/>
        <v>6.4177036141366536E-2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6427952</v>
      </c>
      <c r="D33" s="27">
        <f>+D19-D31</f>
        <v>10633501</v>
      </c>
      <c r="E33" s="27">
        <f>D33-C33</f>
        <v>4205549</v>
      </c>
      <c r="F33" s="28">
        <f>IF(C33=0,0,E33/C33)</f>
        <v>0.65425955265378455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64367</v>
      </c>
      <c r="D36" s="51">
        <v>971</v>
      </c>
      <c r="E36" s="51">
        <f>D36-C36</f>
        <v>-63396</v>
      </c>
      <c r="F36" s="70">
        <f>IF(C36=0,0,E36/C36)</f>
        <v>-0.98491463016763248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-428674</v>
      </c>
      <c r="D38" s="51">
        <v>-869608</v>
      </c>
      <c r="E38" s="51">
        <f>D38-C38</f>
        <v>-440934</v>
      </c>
      <c r="F38" s="70">
        <f>IF(C38=0,0,E38/C38)</f>
        <v>1.0285998217759882</v>
      </c>
    </row>
    <row r="39" spans="1:6" ht="23.1" customHeight="1" x14ac:dyDescent="0.25">
      <c r="A39" s="20"/>
      <c r="B39" s="71" t="s">
        <v>95</v>
      </c>
      <c r="C39" s="27">
        <f>SUM(C36:C38)</f>
        <v>-364307</v>
      </c>
      <c r="D39" s="27">
        <f>SUM(D36:D38)</f>
        <v>-868637</v>
      </c>
      <c r="E39" s="27">
        <f>D39-C39</f>
        <v>-504330</v>
      </c>
      <c r="F39" s="28">
        <f>IF(C39=0,0,E39/C39)</f>
        <v>1.3843544043897043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6063645</v>
      </c>
      <c r="D41" s="27">
        <f>D33+D39</f>
        <v>9764864</v>
      </c>
      <c r="E41" s="27">
        <f>D41-C41</f>
        <v>3701219</v>
      </c>
      <c r="F41" s="28">
        <f>IF(C41=0,0,E41/C41)</f>
        <v>0.61039506765320195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6063645</v>
      </c>
      <c r="D48" s="27">
        <f>D41+D46</f>
        <v>9764864</v>
      </c>
      <c r="E48" s="27">
        <f>D48-C48</f>
        <v>3701219</v>
      </c>
      <c r="F48" s="28">
        <f>IF(C48=0,0,E48/C48)</f>
        <v>0.61039506765320195</v>
      </c>
    </row>
    <row r="49" spans="1:6" ht="23.1" customHeight="1" x14ac:dyDescent="0.2">
      <c r="A49" s="44"/>
      <c r="B49" s="48" t="s">
        <v>102</v>
      </c>
      <c r="C49" s="51">
        <v>4682252</v>
      </c>
      <c r="D49" s="51">
        <v>10033716</v>
      </c>
      <c r="E49" s="51">
        <f>D49-C49</f>
        <v>5351464</v>
      </c>
      <c r="F49" s="70">
        <f>IF(C49=0,0,E49/C49)</f>
        <v>1.142925241956221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68002706</v>
      </c>
      <c r="D14" s="97">
        <v>86041069</v>
      </c>
      <c r="E14" s="97">
        <f t="shared" ref="E14:E25" si="0">D14-C14</f>
        <v>18038363</v>
      </c>
      <c r="F14" s="98">
        <f t="shared" ref="F14:F25" si="1">IF(C14=0,0,E14/C14)</f>
        <v>0.26525948835036067</v>
      </c>
    </row>
    <row r="15" spans="1:6" ht="18" customHeight="1" x14ac:dyDescent="0.25">
      <c r="A15" s="99">
        <v>2</v>
      </c>
      <c r="B15" s="100" t="s">
        <v>113</v>
      </c>
      <c r="C15" s="97">
        <v>13437063</v>
      </c>
      <c r="D15" s="97">
        <v>19115336</v>
      </c>
      <c r="E15" s="97">
        <f t="shared" si="0"/>
        <v>5678273</v>
      </c>
      <c r="F15" s="98">
        <f t="shared" si="1"/>
        <v>0.42258289627725942</v>
      </c>
    </row>
    <row r="16" spans="1:6" ht="18" customHeight="1" x14ac:dyDescent="0.25">
      <c r="A16" s="99">
        <v>3</v>
      </c>
      <c r="B16" s="100" t="s">
        <v>114</v>
      </c>
      <c r="C16" s="97">
        <v>15458737</v>
      </c>
      <c r="D16" s="97">
        <v>27489510</v>
      </c>
      <c r="E16" s="97">
        <f t="shared" si="0"/>
        <v>12030773</v>
      </c>
      <c r="F16" s="98">
        <f t="shared" si="1"/>
        <v>0.77825070702735932</v>
      </c>
    </row>
    <row r="17" spans="1:6" ht="18" customHeight="1" x14ac:dyDescent="0.25">
      <c r="A17" s="99">
        <v>4</v>
      </c>
      <c r="B17" s="100" t="s">
        <v>115</v>
      </c>
      <c r="C17" s="97">
        <v>8681588</v>
      </c>
      <c r="D17" s="97">
        <v>2354241</v>
      </c>
      <c r="E17" s="97">
        <f t="shared" si="0"/>
        <v>-6327347</v>
      </c>
      <c r="F17" s="98">
        <f t="shared" si="1"/>
        <v>-0.72882368985950496</v>
      </c>
    </row>
    <row r="18" spans="1:6" ht="18" customHeight="1" x14ac:dyDescent="0.25">
      <c r="A18" s="99">
        <v>5</v>
      </c>
      <c r="B18" s="100" t="s">
        <v>116</v>
      </c>
      <c r="C18" s="97">
        <v>493077</v>
      </c>
      <c r="D18" s="97">
        <v>530908</v>
      </c>
      <c r="E18" s="97">
        <f t="shared" si="0"/>
        <v>37831</v>
      </c>
      <c r="F18" s="98">
        <f t="shared" si="1"/>
        <v>7.6724325004005459E-2</v>
      </c>
    </row>
    <row r="19" spans="1:6" ht="18" customHeight="1" x14ac:dyDescent="0.25">
      <c r="A19" s="99">
        <v>6</v>
      </c>
      <c r="B19" s="100" t="s">
        <v>117</v>
      </c>
      <c r="C19" s="97">
        <v>3217791</v>
      </c>
      <c r="D19" s="97">
        <v>3339944</v>
      </c>
      <c r="E19" s="97">
        <f t="shared" si="0"/>
        <v>122153</v>
      </c>
      <c r="F19" s="98">
        <f t="shared" si="1"/>
        <v>3.7961756994161523E-2</v>
      </c>
    </row>
    <row r="20" spans="1:6" ht="18" customHeight="1" x14ac:dyDescent="0.25">
      <c r="A20" s="99">
        <v>7</v>
      </c>
      <c r="B20" s="100" t="s">
        <v>118</v>
      </c>
      <c r="C20" s="97">
        <v>37865823</v>
      </c>
      <c r="D20" s="97">
        <v>43707418</v>
      </c>
      <c r="E20" s="97">
        <f t="shared" si="0"/>
        <v>5841595</v>
      </c>
      <c r="F20" s="98">
        <f t="shared" si="1"/>
        <v>0.15427091073657637</v>
      </c>
    </row>
    <row r="21" spans="1:6" ht="18" customHeight="1" x14ac:dyDescent="0.25">
      <c r="A21" s="99">
        <v>8</v>
      </c>
      <c r="B21" s="100" t="s">
        <v>119</v>
      </c>
      <c r="C21" s="97">
        <v>600319</v>
      </c>
      <c r="D21" s="97">
        <v>289114</v>
      </c>
      <c r="E21" s="97">
        <f t="shared" si="0"/>
        <v>-311205</v>
      </c>
      <c r="F21" s="98">
        <f t="shared" si="1"/>
        <v>-0.51839938432733268</v>
      </c>
    </row>
    <row r="22" spans="1:6" ht="18" customHeight="1" x14ac:dyDescent="0.25">
      <c r="A22" s="99">
        <v>9</v>
      </c>
      <c r="B22" s="100" t="s">
        <v>120</v>
      </c>
      <c r="C22" s="97">
        <v>2596225</v>
      </c>
      <c r="D22" s="97">
        <v>2434687</v>
      </c>
      <c r="E22" s="97">
        <f t="shared" si="0"/>
        <v>-161538</v>
      </c>
      <c r="F22" s="98">
        <f t="shared" si="1"/>
        <v>-6.2220339146260434E-2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150353329</v>
      </c>
      <c r="D25" s="103">
        <f>SUM(D14:D24)</f>
        <v>185302227</v>
      </c>
      <c r="E25" s="103">
        <f t="shared" si="0"/>
        <v>34948898</v>
      </c>
      <c r="F25" s="104">
        <f t="shared" si="1"/>
        <v>0.23244512264839842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72291459</v>
      </c>
      <c r="D27" s="97">
        <v>83269315</v>
      </c>
      <c r="E27" s="97">
        <f t="shared" ref="E27:E38" si="2">D27-C27</f>
        <v>10977856</v>
      </c>
      <c r="F27" s="98">
        <f t="shared" ref="F27:F38" si="3">IF(C27=0,0,E27/C27)</f>
        <v>0.15185550481143284</v>
      </c>
    </row>
    <row r="28" spans="1:6" ht="18" customHeight="1" x14ac:dyDescent="0.25">
      <c r="A28" s="99">
        <v>2</v>
      </c>
      <c r="B28" s="100" t="s">
        <v>113</v>
      </c>
      <c r="C28" s="97">
        <v>18435526</v>
      </c>
      <c r="D28" s="97">
        <v>23470530</v>
      </c>
      <c r="E28" s="97">
        <f t="shared" si="2"/>
        <v>5035004</v>
      </c>
      <c r="F28" s="98">
        <f t="shared" si="3"/>
        <v>0.27311420352204757</v>
      </c>
    </row>
    <row r="29" spans="1:6" ht="18" customHeight="1" x14ac:dyDescent="0.25">
      <c r="A29" s="99">
        <v>3</v>
      </c>
      <c r="B29" s="100" t="s">
        <v>114</v>
      </c>
      <c r="C29" s="97">
        <v>22454059</v>
      </c>
      <c r="D29" s="97">
        <v>49383932</v>
      </c>
      <c r="E29" s="97">
        <f t="shared" si="2"/>
        <v>26929873</v>
      </c>
      <c r="F29" s="98">
        <f t="shared" si="3"/>
        <v>1.1993320673113044</v>
      </c>
    </row>
    <row r="30" spans="1:6" ht="18" customHeight="1" x14ac:dyDescent="0.25">
      <c r="A30" s="99">
        <v>4</v>
      </c>
      <c r="B30" s="100" t="s">
        <v>115</v>
      </c>
      <c r="C30" s="97">
        <v>25225151</v>
      </c>
      <c r="D30" s="97">
        <v>6428533</v>
      </c>
      <c r="E30" s="97">
        <f t="shared" si="2"/>
        <v>-18796618</v>
      </c>
      <c r="F30" s="98">
        <f t="shared" si="3"/>
        <v>-0.74515383475801589</v>
      </c>
    </row>
    <row r="31" spans="1:6" ht="18" customHeight="1" x14ac:dyDescent="0.25">
      <c r="A31" s="99">
        <v>5</v>
      </c>
      <c r="B31" s="100" t="s">
        <v>116</v>
      </c>
      <c r="C31" s="97">
        <v>1306300</v>
      </c>
      <c r="D31" s="97">
        <v>1152920</v>
      </c>
      <c r="E31" s="97">
        <f t="shared" si="2"/>
        <v>-153380</v>
      </c>
      <c r="F31" s="98">
        <f t="shared" si="3"/>
        <v>-0.11741560131669601</v>
      </c>
    </row>
    <row r="32" spans="1:6" ht="18" customHeight="1" x14ac:dyDescent="0.25">
      <c r="A32" s="99">
        <v>6</v>
      </c>
      <c r="B32" s="100" t="s">
        <v>117</v>
      </c>
      <c r="C32" s="97">
        <v>6972343</v>
      </c>
      <c r="D32" s="97">
        <v>5997376</v>
      </c>
      <c r="E32" s="97">
        <f t="shared" si="2"/>
        <v>-974967</v>
      </c>
      <c r="F32" s="98">
        <f t="shared" si="3"/>
        <v>-0.13983348208772861</v>
      </c>
    </row>
    <row r="33" spans="1:6" ht="18" customHeight="1" x14ac:dyDescent="0.25">
      <c r="A33" s="99">
        <v>7</v>
      </c>
      <c r="B33" s="100" t="s">
        <v>118</v>
      </c>
      <c r="C33" s="97">
        <v>111669081</v>
      </c>
      <c r="D33" s="97">
        <v>123055037</v>
      </c>
      <c r="E33" s="97">
        <f t="shared" si="2"/>
        <v>11385956</v>
      </c>
      <c r="F33" s="98">
        <f t="shared" si="3"/>
        <v>0.10196158057394598</v>
      </c>
    </row>
    <row r="34" spans="1:6" ht="18" customHeight="1" x14ac:dyDescent="0.25">
      <c r="A34" s="99">
        <v>8</v>
      </c>
      <c r="B34" s="100" t="s">
        <v>119</v>
      </c>
      <c r="C34" s="97">
        <v>3856331</v>
      </c>
      <c r="D34" s="97">
        <v>4690862</v>
      </c>
      <c r="E34" s="97">
        <f t="shared" si="2"/>
        <v>834531</v>
      </c>
      <c r="F34" s="98">
        <f t="shared" si="3"/>
        <v>0.21640543822612737</v>
      </c>
    </row>
    <row r="35" spans="1:6" ht="18" customHeight="1" x14ac:dyDescent="0.25">
      <c r="A35" s="99">
        <v>9</v>
      </c>
      <c r="B35" s="100" t="s">
        <v>120</v>
      </c>
      <c r="C35" s="97">
        <v>8757284</v>
      </c>
      <c r="D35" s="97">
        <v>9151074</v>
      </c>
      <c r="E35" s="97">
        <f t="shared" si="2"/>
        <v>393790</v>
      </c>
      <c r="F35" s="98">
        <f t="shared" si="3"/>
        <v>4.4967138213172032E-2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270967534</v>
      </c>
      <c r="D38" s="103">
        <f>SUM(D27:D37)</f>
        <v>306599579</v>
      </c>
      <c r="E38" s="103">
        <f t="shared" si="2"/>
        <v>35632045</v>
      </c>
      <c r="F38" s="104">
        <f t="shared" si="3"/>
        <v>0.13149931460054545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140294165</v>
      </c>
      <c r="D41" s="103">
        <f t="shared" si="4"/>
        <v>169310384</v>
      </c>
      <c r="E41" s="107">
        <f t="shared" ref="E41:E52" si="5">D41-C41</f>
        <v>29016219</v>
      </c>
      <c r="F41" s="108">
        <f t="shared" ref="F41:F52" si="6">IF(C41=0,0,E41/C41)</f>
        <v>0.20682413270715858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31872589</v>
      </c>
      <c r="D42" s="103">
        <f t="shared" si="4"/>
        <v>42585866</v>
      </c>
      <c r="E42" s="107">
        <f t="shared" si="5"/>
        <v>10713277</v>
      </c>
      <c r="F42" s="108">
        <f t="shared" si="6"/>
        <v>0.33612823231899985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37912796</v>
      </c>
      <c r="D43" s="103">
        <f t="shared" si="4"/>
        <v>76873442</v>
      </c>
      <c r="E43" s="107">
        <f t="shared" si="5"/>
        <v>38960646</v>
      </c>
      <c r="F43" s="108">
        <f t="shared" si="6"/>
        <v>1.0276384258233024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33906739</v>
      </c>
      <c r="D44" s="103">
        <f t="shared" si="4"/>
        <v>8782774</v>
      </c>
      <c r="E44" s="107">
        <f t="shared" si="5"/>
        <v>-25123965</v>
      </c>
      <c r="F44" s="108">
        <f t="shared" si="6"/>
        <v>-0.7409726131433636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1799377</v>
      </c>
      <c r="D45" s="103">
        <f t="shared" si="4"/>
        <v>1683828</v>
      </c>
      <c r="E45" s="107">
        <f t="shared" si="5"/>
        <v>-115549</v>
      </c>
      <c r="F45" s="108">
        <f t="shared" si="6"/>
        <v>-6.4216114799733465E-2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10190134</v>
      </c>
      <c r="D46" s="103">
        <f t="shared" si="4"/>
        <v>9337320</v>
      </c>
      <c r="E46" s="107">
        <f t="shared" si="5"/>
        <v>-852814</v>
      </c>
      <c r="F46" s="108">
        <f t="shared" si="6"/>
        <v>-8.3690165409012279E-2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149534904</v>
      </c>
      <c r="D47" s="103">
        <f t="shared" si="4"/>
        <v>166762455</v>
      </c>
      <c r="E47" s="107">
        <f t="shared" si="5"/>
        <v>17227551</v>
      </c>
      <c r="F47" s="108">
        <f t="shared" si="6"/>
        <v>0.11520755716003268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4456650</v>
      </c>
      <c r="D48" s="103">
        <f t="shared" si="4"/>
        <v>4979976</v>
      </c>
      <c r="E48" s="107">
        <f t="shared" si="5"/>
        <v>523326</v>
      </c>
      <c r="F48" s="108">
        <f t="shared" si="6"/>
        <v>0.11742586920669112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11353509</v>
      </c>
      <c r="D49" s="103">
        <f t="shared" si="4"/>
        <v>11585761</v>
      </c>
      <c r="E49" s="107">
        <f t="shared" si="5"/>
        <v>232252</v>
      </c>
      <c r="F49" s="108">
        <f t="shared" si="6"/>
        <v>2.0456406913492559E-2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421320863</v>
      </c>
      <c r="D52" s="112">
        <f>SUM(D41:D51)</f>
        <v>491901806</v>
      </c>
      <c r="E52" s="111">
        <f t="shared" si="5"/>
        <v>70580943</v>
      </c>
      <c r="F52" s="113">
        <f t="shared" si="6"/>
        <v>0.16752301914847259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25053392</v>
      </c>
      <c r="D57" s="97">
        <v>27429266</v>
      </c>
      <c r="E57" s="97">
        <f t="shared" ref="E57:E68" si="7">D57-C57</f>
        <v>2375874</v>
      </c>
      <c r="F57" s="98">
        <f t="shared" ref="F57:F68" si="8">IF(C57=0,0,E57/C57)</f>
        <v>9.483242827957189E-2</v>
      </c>
    </row>
    <row r="58" spans="1:6" ht="18" customHeight="1" x14ac:dyDescent="0.25">
      <c r="A58" s="99">
        <v>2</v>
      </c>
      <c r="B58" s="100" t="s">
        <v>113</v>
      </c>
      <c r="C58" s="97">
        <v>5616787</v>
      </c>
      <c r="D58" s="97">
        <v>5894811</v>
      </c>
      <c r="E58" s="97">
        <f t="shared" si="7"/>
        <v>278024</v>
      </c>
      <c r="F58" s="98">
        <f t="shared" si="8"/>
        <v>4.9498761480540387E-2</v>
      </c>
    </row>
    <row r="59" spans="1:6" ht="18" customHeight="1" x14ac:dyDescent="0.25">
      <c r="A59" s="99">
        <v>3</v>
      </c>
      <c r="B59" s="100" t="s">
        <v>114</v>
      </c>
      <c r="C59" s="97">
        <v>5049155</v>
      </c>
      <c r="D59" s="97">
        <v>9731632</v>
      </c>
      <c r="E59" s="97">
        <f t="shared" si="7"/>
        <v>4682477</v>
      </c>
      <c r="F59" s="98">
        <f t="shared" si="8"/>
        <v>0.92737834350500237</v>
      </c>
    </row>
    <row r="60" spans="1:6" ht="18" customHeight="1" x14ac:dyDescent="0.25">
      <c r="A60" s="99">
        <v>4</v>
      </c>
      <c r="B60" s="100" t="s">
        <v>115</v>
      </c>
      <c r="C60" s="97">
        <v>3657093</v>
      </c>
      <c r="D60" s="97">
        <v>828149</v>
      </c>
      <c r="E60" s="97">
        <f t="shared" si="7"/>
        <v>-2828944</v>
      </c>
      <c r="F60" s="98">
        <f t="shared" si="8"/>
        <v>-0.77354992066102779</v>
      </c>
    </row>
    <row r="61" spans="1:6" ht="18" customHeight="1" x14ac:dyDescent="0.25">
      <c r="A61" s="99">
        <v>5</v>
      </c>
      <c r="B61" s="100" t="s">
        <v>116</v>
      </c>
      <c r="C61" s="97">
        <v>240067</v>
      </c>
      <c r="D61" s="97">
        <v>209708</v>
      </c>
      <c r="E61" s="97">
        <f t="shared" si="7"/>
        <v>-30359</v>
      </c>
      <c r="F61" s="98">
        <f t="shared" si="8"/>
        <v>-0.12646052976877289</v>
      </c>
    </row>
    <row r="62" spans="1:6" ht="18" customHeight="1" x14ac:dyDescent="0.25">
      <c r="A62" s="99">
        <v>6</v>
      </c>
      <c r="B62" s="100" t="s">
        <v>117</v>
      </c>
      <c r="C62" s="97">
        <v>2590213</v>
      </c>
      <c r="D62" s="97">
        <v>2029792</v>
      </c>
      <c r="E62" s="97">
        <f t="shared" si="7"/>
        <v>-560421</v>
      </c>
      <c r="F62" s="98">
        <f t="shared" si="8"/>
        <v>-0.21636097108616165</v>
      </c>
    </row>
    <row r="63" spans="1:6" ht="18" customHeight="1" x14ac:dyDescent="0.25">
      <c r="A63" s="99">
        <v>7</v>
      </c>
      <c r="B63" s="100" t="s">
        <v>118</v>
      </c>
      <c r="C63" s="97">
        <v>22853876</v>
      </c>
      <c r="D63" s="97">
        <v>24719356</v>
      </c>
      <c r="E63" s="97">
        <f t="shared" si="7"/>
        <v>1865480</v>
      </c>
      <c r="F63" s="98">
        <f t="shared" si="8"/>
        <v>8.1626416455571907E-2</v>
      </c>
    </row>
    <row r="64" spans="1:6" ht="18" customHeight="1" x14ac:dyDescent="0.25">
      <c r="A64" s="99">
        <v>8</v>
      </c>
      <c r="B64" s="100" t="s">
        <v>119</v>
      </c>
      <c r="C64" s="97">
        <v>339460</v>
      </c>
      <c r="D64" s="97">
        <v>210170</v>
      </c>
      <c r="E64" s="97">
        <f t="shared" si="7"/>
        <v>-129290</v>
      </c>
      <c r="F64" s="98">
        <f t="shared" si="8"/>
        <v>-0.38086961644965533</v>
      </c>
    </row>
    <row r="65" spans="1:6" ht="18" customHeight="1" x14ac:dyDescent="0.25">
      <c r="A65" s="99">
        <v>9</v>
      </c>
      <c r="B65" s="100" t="s">
        <v>120</v>
      </c>
      <c r="C65" s="97">
        <v>37680</v>
      </c>
      <c r="D65" s="97">
        <v>25557</v>
      </c>
      <c r="E65" s="97">
        <f t="shared" si="7"/>
        <v>-12123</v>
      </c>
      <c r="F65" s="98">
        <f t="shared" si="8"/>
        <v>-0.32173566878980892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65437723</v>
      </c>
      <c r="D68" s="103">
        <f>SUM(D57:D67)</f>
        <v>71078441</v>
      </c>
      <c r="E68" s="103">
        <f t="shared" si="7"/>
        <v>5640718</v>
      </c>
      <c r="F68" s="104">
        <f t="shared" si="8"/>
        <v>8.6199790295270515E-2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19759226</v>
      </c>
      <c r="D70" s="97">
        <v>20600599</v>
      </c>
      <c r="E70" s="97">
        <f t="shared" ref="E70:E81" si="9">D70-C70</f>
        <v>841373</v>
      </c>
      <c r="F70" s="98">
        <f t="shared" ref="F70:F81" si="10">IF(C70=0,0,E70/C70)</f>
        <v>4.258127317335203E-2</v>
      </c>
    </row>
    <row r="71" spans="1:6" ht="18" customHeight="1" x14ac:dyDescent="0.25">
      <c r="A71" s="99">
        <v>2</v>
      </c>
      <c r="B71" s="100" t="s">
        <v>113</v>
      </c>
      <c r="C71" s="97">
        <v>4571857</v>
      </c>
      <c r="D71" s="97">
        <v>5489687</v>
      </c>
      <c r="E71" s="97">
        <f t="shared" si="9"/>
        <v>917830</v>
      </c>
      <c r="F71" s="98">
        <f t="shared" si="10"/>
        <v>0.20075649785196695</v>
      </c>
    </row>
    <row r="72" spans="1:6" ht="18" customHeight="1" x14ac:dyDescent="0.25">
      <c r="A72" s="99">
        <v>3</v>
      </c>
      <c r="B72" s="100" t="s">
        <v>114</v>
      </c>
      <c r="C72" s="97">
        <v>4188813</v>
      </c>
      <c r="D72" s="97">
        <v>9637442</v>
      </c>
      <c r="E72" s="97">
        <f t="shared" si="9"/>
        <v>5448629</v>
      </c>
      <c r="F72" s="98">
        <f t="shared" si="10"/>
        <v>1.3007572789713935</v>
      </c>
    </row>
    <row r="73" spans="1:6" ht="18" customHeight="1" x14ac:dyDescent="0.25">
      <c r="A73" s="99">
        <v>4</v>
      </c>
      <c r="B73" s="100" t="s">
        <v>115</v>
      </c>
      <c r="C73" s="97">
        <v>5628932</v>
      </c>
      <c r="D73" s="97">
        <v>1231883</v>
      </c>
      <c r="E73" s="97">
        <f t="shared" si="9"/>
        <v>-4397049</v>
      </c>
      <c r="F73" s="98">
        <f t="shared" si="10"/>
        <v>-0.78115155770224265</v>
      </c>
    </row>
    <row r="74" spans="1:6" ht="18" customHeight="1" x14ac:dyDescent="0.25">
      <c r="A74" s="99">
        <v>5</v>
      </c>
      <c r="B74" s="100" t="s">
        <v>116</v>
      </c>
      <c r="C74" s="97">
        <v>1014912</v>
      </c>
      <c r="D74" s="97">
        <v>799526</v>
      </c>
      <c r="E74" s="97">
        <f t="shared" si="9"/>
        <v>-215386</v>
      </c>
      <c r="F74" s="98">
        <f t="shared" si="10"/>
        <v>-0.21222135515197377</v>
      </c>
    </row>
    <row r="75" spans="1:6" ht="18" customHeight="1" x14ac:dyDescent="0.25">
      <c r="A75" s="99">
        <v>6</v>
      </c>
      <c r="B75" s="100" t="s">
        <v>117</v>
      </c>
      <c r="C75" s="97">
        <v>2028892</v>
      </c>
      <c r="D75" s="97">
        <v>1080248</v>
      </c>
      <c r="E75" s="97">
        <f t="shared" si="9"/>
        <v>-948644</v>
      </c>
      <c r="F75" s="98">
        <f t="shared" si="10"/>
        <v>-0.46756751961168952</v>
      </c>
    </row>
    <row r="76" spans="1:6" ht="18" customHeight="1" x14ac:dyDescent="0.25">
      <c r="A76" s="99">
        <v>7</v>
      </c>
      <c r="B76" s="100" t="s">
        <v>118</v>
      </c>
      <c r="C76" s="97">
        <v>55559920</v>
      </c>
      <c r="D76" s="97">
        <v>57946401</v>
      </c>
      <c r="E76" s="97">
        <f t="shared" si="9"/>
        <v>2386481</v>
      </c>
      <c r="F76" s="98">
        <f t="shared" si="10"/>
        <v>4.2953283590041164E-2</v>
      </c>
    </row>
    <row r="77" spans="1:6" ht="18" customHeight="1" x14ac:dyDescent="0.25">
      <c r="A77" s="99">
        <v>8</v>
      </c>
      <c r="B77" s="100" t="s">
        <v>119</v>
      </c>
      <c r="C77" s="97">
        <v>1368680</v>
      </c>
      <c r="D77" s="97">
        <v>1352662</v>
      </c>
      <c r="E77" s="97">
        <f t="shared" si="9"/>
        <v>-16018</v>
      </c>
      <c r="F77" s="98">
        <f t="shared" si="10"/>
        <v>-1.1703246924043604E-2</v>
      </c>
    </row>
    <row r="78" spans="1:6" ht="18" customHeight="1" x14ac:dyDescent="0.25">
      <c r="A78" s="99">
        <v>9</v>
      </c>
      <c r="B78" s="100" t="s">
        <v>120</v>
      </c>
      <c r="C78" s="97">
        <v>312777</v>
      </c>
      <c r="D78" s="97">
        <v>329737</v>
      </c>
      <c r="E78" s="97">
        <f t="shared" si="9"/>
        <v>16960</v>
      </c>
      <c r="F78" s="98">
        <f t="shared" si="10"/>
        <v>5.4223935903215392E-2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94434009</v>
      </c>
      <c r="D81" s="103">
        <f>SUM(D70:D80)</f>
        <v>98468185</v>
      </c>
      <c r="E81" s="103">
        <f t="shared" si="9"/>
        <v>4034176</v>
      </c>
      <c r="F81" s="104">
        <f t="shared" si="10"/>
        <v>4.2719524911835526E-2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44812618</v>
      </c>
      <c r="D84" s="103">
        <f t="shared" si="11"/>
        <v>48029865</v>
      </c>
      <c r="E84" s="103">
        <f t="shared" ref="E84:E95" si="12">D84-C84</f>
        <v>3217247</v>
      </c>
      <c r="F84" s="104">
        <f t="shared" ref="F84:F95" si="13">IF(C84=0,0,E84/C84)</f>
        <v>7.1793328388000011E-2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10188644</v>
      </c>
      <c r="D85" s="103">
        <f t="shared" si="11"/>
        <v>11384498</v>
      </c>
      <c r="E85" s="103">
        <f t="shared" si="12"/>
        <v>1195854</v>
      </c>
      <c r="F85" s="104">
        <f t="shared" si="13"/>
        <v>0.11737126157317893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9237968</v>
      </c>
      <c r="D86" s="103">
        <f t="shared" si="11"/>
        <v>19369074</v>
      </c>
      <c r="E86" s="103">
        <f t="shared" si="12"/>
        <v>10131106</v>
      </c>
      <c r="F86" s="104">
        <f t="shared" si="13"/>
        <v>1.096681218207294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9286025</v>
      </c>
      <c r="D87" s="103">
        <f t="shared" si="11"/>
        <v>2060032</v>
      </c>
      <c r="E87" s="103">
        <f t="shared" si="12"/>
        <v>-7225993</v>
      </c>
      <c r="F87" s="104">
        <f t="shared" si="13"/>
        <v>-0.77815782318053206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1254979</v>
      </c>
      <c r="D88" s="103">
        <f t="shared" si="11"/>
        <v>1009234</v>
      </c>
      <c r="E88" s="103">
        <f t="shared" si="12"/>
        <v>-245745</v>
      </c>
      <c r="F88" s="104">
        <f t="shared" si="13"/>
        <v>-0.19581602560680297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4619105</v>
      </c>
      <c r="D89" s="103">
        <f t="shared" si="11"/>
        <v>3110040</v>
      </c>
      <c r="E89" s="103">
        <f t="shared" si="12"/>
        <v>-1509065</v>
      </c>
      <c r="F89" s="104">
        <f t="shared" si="13"/>
        <v>-0.32670073531560767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78413796</v>
      </c>
      <c r="D90" s="103">
        <f t="shared" si="11"/>
        <v>82665757</v>
      </c>
      <c r="E90" s="103">
        <f t="shared" si="12"/>
        <v>4251961</v>
      </c>
      <c r="F90" s="104">
        <f t="shared" si="13"/>
        <v>5.4224654549309158E-2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1708140</v>
      </c>
      <c r="D91" s="103">
        <f t="shared" si="11"/>
        <v>1562832</v>
      </c>
      <c r="E91" s="103">
        <f t="shared" si="12"/>
        <v>-145308</v>
      </c>
      <c r="F91" s="104">
        <f t="shared" si="13"/>
        <v>-8.5067968667673605E-2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350457</v>
      </c>
      <c r="D92" s="103">
        <f t="shared" si="11"/>
        <v>355294</v>
      </c>
      <c r="E92" s="103">
        <f t="shared" si="12"/>
        <v>4837</v>
      </c>
      <c r="F92" s="104">
        <f t="shared" si="13"/>
        <v>1.3801978559423838E-2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159871732</v>
      </c>
      <c r="D95" s="112">
        <f>SUM(D84:D94)</f>
        <v>169546626</v>
      </c>
      <c r="E95" s="112">
        <f t="shared" si="12"/>
        <v>9674894</v>
      </c>
      <c r="F95" s="113">
        <f t="shared" si="13"/>
        <v>6.051660214702622E-2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3051</v>
      </c>
      <c r="D100" s="117">
        <v>2898</v>
      </c>
      <c r="E100" s="117">
        <f t="shared" ref="E100:E111" si="14">D100-C100</f>
        <v>-153</v>
      </c>
      <c r="F100" s="98">
        <f t="shared" ref="F100:F111" si="15">IF(C100=0,0,E100/C100)</f>
        <v>-5.0147492625368731E-2</v>
      </c>
    </row>
    <row r="101" spans="1:6" ht="18" customHeight="1" x14ac:dyDescent="0.25">
      <c r="A101" s="99">
        <v>2</v>
      </c>
      <c r="B101" s="100" t="s">
        <v>113</v>
      </c>
      <c r="C101" s="117">
        <v>575</v>
      </c>
      <c r="D101" s="117">
        <v>639</v>
      </c>
      <c r="E101" s="117">
        <f t="shared" si="14"/>
        <v>64</v>
      </c>
      <c r="F101" s="98">
        <f t="shared" si="15"/>
        <v>0.11130434782608696</v>
      </c>
    </row>
    <row r="102" spans="1:6" ht="18" customHeight="1" x14ac:dyDescent="0.25">
      <c r="A102" s="99">
        <v>3</v>
      </c>
      <c r="B102" s="100" t="s">
        <v>114</v>
      </c>
      <c r="C102" s="117">
        <v>894</v>
      </c>
      <c r="D102" s="117">
        <v>1753</v>
      </c>
      <c r="E102" s="117">
        <f t="shared" si="14"/>
        <v>859</v>
      </c>
      <c r="F102" s="98">
        <f t="shared" si="15"/>
        <v>0.96085011185682323</v>
      </c>
    </row>
    <row r="103" spans="1:6" ht="18" customHeight="1" x14ac:dyDescent="0.25">
      <c r="A103" s="99">
        <v>4</v>
      </c>
      <c r="B103" s="100" t="s">
        <v>115</v>
      </c>
      <c r="C103" s="117">
        <v>960</v>
      </c>
      <c r="D103" s="117">
        <v>204</v>
      </c>
      <c r="E103" s="117">
        <f t="shared" si="14"/>
        <v>-756</v>
      </c>
      <c r="F103" s="98">
        <f t="shared" si="15"/>
        <v>-0.78749999999999998</v>
      </c>
    </row>
    <row r="104" spans="1:6" ht="18" customHeight="1" x14ac:dyDescent="0.25">
      <c r="A104" s="99">
        <v>5</v>
      </c>
      <c r="B104" s="100" t="s">
        <v>116</v>
      </c>
      <c r="C104" s="117">
        <v>47</v>
      </c>
      <c r="D104" s="117">
        <v>41</v>
      </c>
      <c r="E104" s="117">
        <f t="shared" si="14"/>
        <v>-6</v>
      </c>
      <c r="F104" s="98">
        <f t="shared" si="15"/>
        <v>-0.1276595744680851</v>
      </c>
    </row>
    <row r="105" spans="1:6" ht="18" customHeight="1" x14ac:dyDescent="0.25">
      <c r="A105" s="99">
        <v>6</v>
      </c>
      <c r="B105" s="100" t="s">
        <v>117</v>
      </c>
      <c r="C105" s="117">
        <v>342</v>
      </c>
      <c r="D105" s="117">
        <v>228</v>
      </c>
      <c r="E105" s="117">
        <f t="shared" si="14"/>
        <v>-114</v>
      </c>
      <c r="F105" s="98">
        <f t="shared" si="15"/>
        <v>-0.33333333333333331</v>
      </c>
    </row>
    <row r="106" spans="1:6" ht="18" customHeight="1" x14ac:dyDescent="0.25">
      <c r="A106" s="99">
        <v>7</v>
      </c>
      <c r="B106" s="100" t="s">
        <v>118</v>
      </c>
      <c r="C106" s="117">
        <v>3174</v>
      </c>
      <c r="D106" s="117">
        <v>2875</v>
      </c>
      <c r="E106" s="117">
        <f t="shared" si="14"/>
        <v>-299</v>
      </c>
      <c r="F106" s="98">
        <f t="shared" si="15"/>
        <v>-9.420289855072464E-2</v>
      </c>
    </row>
    <row r="107" spans="1:6" ht="18" customHeight="1" x14ac:dyDescent="0.25">
      <c r="A107" s="99">
        <v>8</v>
      </c>
      <c r="B107" s="100" t="s">
        <v>119</v>
      </c>
      <c r="C107" s="117">
        <v>22</v>
      </c>
      <c r="D107" s="117">
        <v>11</v>
      </c>
      <c r="E107" s="117">
        <f t="shared" si="14"/>
        <v>-11</v>
      </c>
      <c r="F107" s="98">
        <f t="shared" si="15"/>
        <v>-0.5</v>
      </c>
    </row>
    <row r="108" spans="1:6" ht="18" customHeight="1" x14ac:dyDescent="0.25">
      <c r="A108" s="99">
        <v>9</v>
      </c>
      <c r="B108" s="100" t="s">
        <v>120</v>
      </c>
      <c r="C108" s="117">
        <v>216</v>
      </c>
      <c r="D108" s="117">
        <v>182</v>
      </c>
      <c r="E108" s="117">
        <f t="shared" si="14"/>
        <v>-34</v>
      </c>
      <c r="F108" s="98">
        <f t="shared" si="15"/>
        <v>-0.15740740740740741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9281</v>
      </c>
      <c r="D111" s="118">
        <f>SUM(D100:D110)</f>
        <v>8831</v>
      </c>
      <c r="E111" s="118">
        <f t="shared" si="14"/>
        <v>-450</v>
      </c>
      <c r="F111" s="104">
        <f t="shared" si="15"/>
        <v>-4.848615450921237E-2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17820</v>
      </c>
      <c r="D113" s="117">
        <v>18666</v>
      </c>
      <c r="E113" s="117">
        <f t="shared" ref="E113:E124" si="16">D113-C113</f>
        <v>846</v>
      </c>
      <c r="F113" s="98">
        <f t="shared" ref="F113:F124" si="17">IF(C113=0,0,E113/C113)</f>
        <v>4.7474747474747475E-2</v>
      </c>
    </row>
    <row r="114" spans="1:6" ht="18" customHeight="1" x14ac:dyDescent="0.25">
      <c r="A114" s="99">
        <v>2</v>
      </c>
      <c r="B114" s="100" t="s">
        <v>113</v>
      </c>
      <c r="C114" s="117">
        <v>3101</v>
      </c>
      <c r="D114" s="117">
        <v>4076</v>
      </c>
      <c r="E114" s="117">
        <f t="shared" si="16"/>
        <v>975</v>
      </c>
      <c r="F114" s="98">
        <f t="shared" si="17"/>
        <v>0.31441470493389229</v>
      </c>
    </row>
    <row r="115" spans="1:6" ht="18" customHeight="1" x14ac:dyDescent="0.25">
      <c r="A115" s="99">
        <v>3</v>
      </c>
      <c r="B115" s="100" t="s">
        <v>114</v>
      </c>
      <c r="C115" s="117">
        <v>5501</v>
      </c>
      <c r="D115" s="117">
        <v>8643</v>
      </c>
      <c r="E115" s="117">
        <f t="shared" si="16"/>
        <v>3142</v>
      </c>
      <c r="F115" s="98">
        <f t="shared" si="17"/>
        <v>0.57116887838574804</v>
      </c>
    </row>
    <row r="116" spans="1:6" ht="18" customHeight="1" x14ac:dyDescent="0.25">
      <c r="A116" s="99">
        <v>4</v>
      </c>
      <c r="B116" s="100" t="s">
        <v>115</v>
      </c>
      <c r="C116" s="117">
        <v>3466</v>
      </c>
      <c r="D116" s="117">
        <v>840</v>
      </c>
      <c r="E116" s="117">
        <f t="shared" si="16"/>
        <v>-2626</v>
      </c>
      <c r="F116" s="98">
        <f t="shared" si="17"/>
        <v>-0.75764570109636464</v>
      </c>
    </row>
    <row r="117" spans="1:6" ht="18" customHeight="1" x14ac:dyDescent="0.25">
      <c r="A117" s="99">
        <v>5</v>
      </c>
      <c r="B117" s="100" t="s">
        <v>116</v>
      </c>
      <c r="C117" s="117">
        <v>190</v>
      </c>
      <c r="D117" s="117">
        <v>141</v>
      </c>
      <c r="E117" s="117">
        <f t="shared" si="16"/>
        <v>-49</v>
      </c>
      <c r="F117" s="98">
        <f t="shared" si="17"/>
        <v>-0.25789473684210529</v>
      </c>
    </row>
    <row r="118" spans="1:6" ht="18" customHeight="1" x14ac:dyDescent="0.25">
      <c r="A118" s="99">
        <v>6</v>
      </c>
      <c r="B118" s="100" t="s">
        <v>117</v>
      </c>
      <c r="C118" s="117">
        <v>1091</v>
      </c>
      <c r="D118" s="117">
        <v>946</v>
      </c>
      <c r="E118" s="117">
        <f t="shared" si="16"/>
        <v>-145</v>
      </c>
      <c r="F118" s="98">
        <f t="shared" si="17"/>
        <v>-0.13290559120073328</v>
      </c>
    </row>
    <row r="119" spans="1:6" ht="18" customHeight="1" x14ac:dyDescent="0.25">
      <c r="A119" s="99">
        <v>7</v>
      </c>
      <c r="B119" s="100" t="s">
        <v>118</v>
      </c>
      <c r="C119" s="117">
        <v>10984</v>
      </c>
      <c r="D119" s="117">
        <v>11213</v>
      </c>
      <c r="E119" s="117">
        <f t="shared" si="16"/>
        <v>229</v>
      </c>
      <c r="F119" s="98">
        <f t="shared" si="17"/>
        <v>2.0848506919155133E-2</v>
      </c>
    </row>
    <row r="120" spans="1:6" ht="18" customHeight="1" x14ac:dyDescent="0.25">
      <c r="A120" s="99">
        <v>8</v>
      </c>
      <c r="B120" s="100" t="s">
        <v>119</v>
      </c>
      <c r="C120" s="117">
        <v>76</v>
      </c>
      <c r="D120" s="117">
        <v>45</v>
      </c>
      <c r="E120" s="117">
        <f t="shared" si="16"/>
        <v>-31</v>
      </c>
      <c r="F120" s="98">
        <f t="shared" si="17"/>
        <v>-0.40789473684210525</v>
      </c>
    </row>
    <row r="121" spans="1:6" ht="18" customHeight="1" x14ac:dyDescent="0.25">
      <c r="A121" s="99">
        <v>9</v>
      </c>
      <c r="B121" s="100" t="s">
        <v>120</v>
      </c>
      <c r="C121" s="117">
        <v>1246</v>
      </c>
      <c r="D121" s="117">
        <v>975</v>
      </c>
      <c r="E121" s="117">
        <f t="shared" si="16"/>
        <v>-271</v>
      </c>
      <c r="F121" s="98">
        <f t="shared" si="17"/>
        <v>-0.2174959871589085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43475</v>
      </c>
      <c r="D124" s="118">
        <f>SUM(D113:D123)</f>
        <v>45545</v>
      </c>
      <c r="E124" s="118">
        <f t="shared" si="16"/>
        <v>2070</v>
      </c>
      <c r="F124" s="104">
        <f t="shared" si="17"/>
        <v>4.7613571017826338E-2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79269</v>
      </c>
      <c r="D126" s="117">
        <v>81022</v>
      </c>
      <c r="E126" s="117">
        <f t="shared" ref="E126:E137" si="18">D126-C126</f>
        <v>1753</v>
      </c>
      <c r="F126" s="98">
        <f t="shared" ref="F126:F137" si="19">IF(C126=0,0,E126/C126)</f>
        <v>2.2114571900743039E-2</v>
      </c>
    </row>
    <row r="127" spans="1:6" ht="18" customHeight="1" x14ac:dyDescent="0.25">
      <c r="A127" s="99">
        <v>2</v>
      </c>
      <c r="B127" s="100" t="s">
        <v>113</v>
      </c>
      <c r="C127" s="117">
        <v>19037</v>
      </c>
      <c r="D127" s="117">
        <v>22493</v>
      </c>
      <c r="E127" s="117">
        <f t="shared" si="18"/>
        <v>3456</v>
      </c>
      <c r="F127" s="98">
        <f t="shared" si="19"/>
        <v>0.18154120922414246</v>
      </c>
    </row>
    <row r="128" spans="1:6" ht="18" customHeight="1" x14ac:dyDescent="0.25">
      <c r="A128" s="99">
        <v>3</v>
      </c>
      <c r="B128" s="100" t="s">
        <v>114</v>
      </c>
      <c r="C128" s="117">
        <v>13016</v>
      </c>
      <c r="D128" s="117">
        <v>30963</v>
      </c>
      <c r="E128" s="117">
        <f t="shared" si="18"/>
        <v>17947</v>
      </c>
      <c r="F128" s="98">
        <f t="shared" si="19"/>
        <v>1.3788414259373079</v>
      </c>
    </row>
    <row r="129" spans="1:6" ht="18" customHeight="1" x14ac:dyDescent="0.25">
      <c r="A129" s="99">
        <v>4</v>
      </c>
      <c r="B129" s="100" t="s">
        <v>115</v>
      </c>
      <c r="C129" s="117">
        <v>19628</v>
      </c>
      <c r="D129" s="117">
        <v>5049</v>
      </c>
      <c r="E129" s="117">
        <f t="shared" si="18"/>
        <v>-14579</v>
      </c>
      <c r="F129" s="98">
        <f t="shared" si="19"/>
        <v>-0.7427654371306297</v>
      </c>
    </row>
    <row r="130" spans="1:6" ht="18" customHeight="1" x14ac:dyDescent="0.25">
      <c r="A130" s="99">
        <v>5</v>
      </c>
      <c r="B130" s="100" t="s">
        <v>116</v>
      </c>
      <c r="C130" s="117">
        <v>1006</v>
      </c>
      <c r="D130" s="117">
        <v>887</v>
      </c>
      <c r="E130" s="117">
        <f t="shared" si="18"/>
        <v>-119</v>
      </c>
      <c r="F130" s="98">
        <f t="shared" si="19"/>
        <v>-0.11829025844930417</v>
      </c>
    </row>
    <row r="131" spans="1:6" ht="18" customHeight="1" x14ac:dyDescent="0.25">
      <c r="A131" s="99">
        <v>6</v>
      </c>
      <c r="B131" s="100" t="s">
        <v>117</v>
      </c>
      <c r="C131" s="117">
        <v>5111</v>
      </c>
      <c r="D131" s="117">
        <v>4149</v>
      </c>
      <c r="E131" s="117">
        <f t="shared" si="18"/>
        <v>-962</v>
      </c>
      <c r="F131" s="98">
        <f t="shared" si="19"/>
        <v>-0.18822148307571904</v>
      </c>
    </row>
    <row r="132" spans="1:6" ht="18" customHeight="1" x14ac:dyDescent="0.25">
      <c r="A132" s="99">
        <v>7</v>
      </c>
      <c r="B132" s="100" t="s">
        <v>118</v>
      </c>
      <c r="C132" s="117">
        <v>98396</v>
      </c>
      <c r="D132" s="117">
        <v>96613</v>
      </c>
      <c r="E132" s="117">
        <f t="shared" si="18"/>
        <v>-1783</v>
      </c>
      <c r="F132" s="98">
        <f t="shared" si="19"/>
        <v>-1.8120655311191513E-2</v>
      </c>
    </row>
    <row r="133" spans="1:6" ht="18" customHeight="1" x14ac:dyDescent="0.25">
      <c r="A133" s="99">
        <v>8</v>
      </c>
      <c r="B133" s="100" t="s">
        <v>119</v>
      </c>
      <c r="C133" s="117">
        <v>1546</v>
      </c>
      <c r="D133" s="117">
        <v>1668</v>
      </c>
      <c r="E133" s="117">
        <f t="shared" si="18"/>
        <v>122</v>
      </c>
      <c r="F133" s="98">
        <f t="shared" si="19"/>
        <v>7.8913324708926258E-2</v>
      </c>
    </row>
    <row r="134" spans="1:6" ht="18" customHeight="1" x14ac:dyDescent="0.25">
      <c r="A134" s="99">
        <v>9</v>
      </c>
      <c r="B134" s="100" t="s">
        <v>120</v>
      </c>
      <c r="C134" s="117">
        <v>7852</v>
      </c>
      <c r="D134" s="117">
        <v>8796</v>
      </c>
      <c r="E134" s="117">
        <f t="shared" si="18"/>
        <v>944</v>
      </c>
      <c r="F134" s="98">
        <f t="shared" si="19"/>
        <v>0.12022414671421294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244861</v>
      </c>
      <c r="D137" s="118">
        <f>SUM(D126:D136)</f>
        <v>251640</v>
      </c>
      <c r="E137" s="118">
        <f t="shared" si="18"/>
        <v>6779</v>
      </c>
      <c r="F137" s="104">
        <f t="shared" si="19"/>
        <v>2.7685094808891576E-2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16725882</v>
      </c>
      <c r="D142" s="97">
        <v>20167266</v>
      </c>
      <c r="E142" s="97">
        <f t="shared" ref="E142:E153" si="20">D142-C142</f>
        <v>3441384</v>
      </c>
      <c r="F142" s="98">
        <f t="shared" ref="F142:F153" si="21">IF(C142=0,0,E142/C142)</f>
        <v>0.20575201953475458</v>
      </c>
    </row>
    <row r="143" spans="1:6" ht="18" customHeight="1" x14ac:dyDescent="0.25">
      <c r="A143" s="99">
        <v>2</v>
      </c>
      <c r="B143" s="100" t="s">
        <v>113</v>
      </c>
      <c r="C143" s="97">
        <v>3611374</v>
      </c>
      <c r="D143" s="97">
        <v>4604924</v>
      </c>
      <c r="E143" s="97">
        <f t="shared" si="20"/>
        <v>993550</v>
      </c>
      <c r="F143" s="98">
        <f t="shared" si="21"/>
        <v>0.27511689456699862</v>
      </c>
    </row>
    <row r="144" spans="1:6" ht="18" customHeight="1" x14ac:dyDescent="0.25">
      <c r="A144" s="99">
        <v>3</v>
      </c>
      <c r="B144" s="100" t="s">
        <v>114</v>
      </c>
      <c r="C144" s="97">
        <v>11121111</v>
      </c>
      <c r="D144" s="97">
        <v>26740327</v>
      </c>
      <c r="E144" s="97">
        <f t="shared" si="20"/>
        <v>15619216</v>
      </c>
      <c r="F144" s="98">
        <f t="shared" si="21"/>
        <v>1.4044654351530166</v>
      </c>
    </row>
    <row r="145" spans="1:6" ht="18" customHeight="1" x14ac:dyDescent="0.25">
      <c r="A145" s="99">
        <v>4</v>
      </c>
      <c r="B145" s="100" t="s">
        <v>115</v>
      </c>
      <c r="C145" s="97">
        <v>13428610</v>
      </c>
      <c r="D145" s="97">
        <v>3220817</v>
      </c>
      <c r="E145" s="97">
        <f t="shared" si="20"/>
        <v>-10207793</v>
      </c>
      <c r="F145" s="98">
        <f t="shared" si="21"/>
        <v>-0.76015261445525639</v>
      </c>
    </row>
    <row r="146" spans="1:6" ht="18" customHeight="1" x14ac:dyDescent="0.25">
      <c r="A146" s="99">
        <v>5</v>
      </c>
      <c r="B146" s="100" t="s">
        <v>116</v>
      </c>
      <c r="C146" s="97">
        <v>522598</v>
      </c>
      <c r="D146" s="97">
        <v>413329</v>
      </c>
      <c r="E146" s="97">
        <f t="shared" si="20"/>
        <v>-109269</v>
      </c>
      <c r="F146" s="98">
        <f t="shared" si="21"/>
        <v>-0.20908805621146656</v>
      </c>
    </row>
    <row r="147" spans="1:6" ht="18" customHeight="1" x14ac:dyDescent="0.25">
      <c r="A147" s="99">
        <v>6</v>
      </c>
      <c r="B147" s="100" t="s">
        <v>117</v>
      </c>
      <c r="C147" s="97">
        <v>2475403</v>
      </c>
      <c r="D147" s="97">
        <v>2262593</v>
      </c>
      <c r="E147" s="97">
        <f t="shared" si="20"/>
        <v>-212810</v>
      </c>
      <c r="F147" s="98">
        <f t="shared" si="21"/>
        <v>-8.5969840062406003E-2</v>
      </c>
    </row>
    <row r="148" spans="1:6" ht="18" customHeight="1" x14ac:dyDescent="0.25">
      <c r="A148" s="99">
        <v>7</v>
      </c>
      <c r="B148" s="100" t="s">
        <v>118</v>
      </c>
      <c r="C148" s="97">
        <v>25478372</v>
      </c>
      <c r="D148" s="97">
        <v>30305357</v>
      </c>
      <c r="E148" s="97">
        <f t="shared" si="20"/>
        <v>4826985</v>
      </c>
      <c r="F148" s="98">
        <f t="shared" si="21"/>
        <v>0.18945421630550022</v>
      </c>
    </row>
    <row r="149" spans="1:6" ht="18" customHeight="1" x14ac:dyDescent="0.25">
      <c r="A149" s="99">
        <v>8</v>
      </c>
      <c r="B149" s="100" t="s">
        <v>119</v>
      </c>
      <c r="C149" s="97">
        <v>1410919</v>
      </c>
      <c r="D149" s="97">
        <v>1714544</v>
      </c>
      <c r="E149" s="97">
        <f t="shared" si="20"/>
        <v>303625</v>
      </c>
      <c r="F149" s="98">
        <f t="shared" si="21"/>
        <v>0.21519662007528426</v>
      </c>
    </row>
    <row r="150" spans="1:6" ht="18" customHeight="1" x14ac:dyDescent="0.25">
      <c r="A150" s="99">
        <v>9</v>
      </c>
      <c r="B150" s="100" t="s">
        <v>120</v>
      </c>
      <c r="C150" s="97">
        <v>6684084</v>
      </c>
      <c r="D150" s="97">
        <v>7198806</v>
      </c>
      <c r="E150" s="97">
        <f t="shared" si="20"/>
        <v>514722</v>
      </c>
      <c r="F150" s="98">
        <f t="shared" si="21"/>
        <v>7.7007111221223432E-2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81458353</v>
      </c>
      <c r="D153" s="103">
        <f>SUM(D142:D152)</f>
        <v>96627963</v>
      </c>
      <c r="E153" s="103">
        <f t="shared" si="20"/>
        <v>15169610</v>
      </c>
      <c r="F153" s="104">
        <f t="shared" si="21"/>
        <v>0.18622534634354809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3786659</v>
      </c>
      <c r="D155" s="97">
        <v>3898772</v>
      </c>
      <c r="E155" s="97">
        <f t="shared" ref="E155:E166" si="22">D155-C155</f>
        <v>112113</v>
      </c>
      <c r="F155" s="98">
        <f t="shared" ref="F155:F166" si="23">IF(C155=0,0,E155/C155)</f>
        <v>2.9607366282519761E-2</v>
      </c>
    </row>
    <row r="156" spans="1:6" ht="18" customHeight="1" x14ac:dyDescent="0.25">
      <c r="A156" s="99">
        <v>2</v>
      </c>
      <c r="B156" s="100" t="s">
        <v>113</v>
      </c>
      <c r="C156" s="97">
        <v>823984</v>
      </c>
      <c r="D156" s="97">
        <v>930685</v>
      </c>
      <c r="E156" s="97">
        <f t="shared" si="22"/>
        <v>106701</v>
      </c>
      <c r="F156" s="98">
        <f t="shared" si="23"/>
        <v>0.12949401930134566</v>
      </c>
    </row>
    <row r="157" spans="1:6" ht="18" customHeight="1" x14ac:dyDescent="0.25">
      <c r="A157" s="99">
        <v>3</v>
      </c>
      <c r="B157" s="100" t="s">
        <v>114</v>
      </c>
      <c r="C157" s="97">
        <v>1941603</v>
      </c>
      <c r="D157" s="97">
        <v>3983521</v>
      </c>
      <c r="E157" s="97">
        <f t="shared" si="22"/>
        <v>2041918</v>
      </c>
      <c r="F157" s="98">
        <f t="shared" si="23"/>
        <v>1.0516660717973756</v>
      </c>
    </row>
    <row r="158" spans="1:6" ht="18" customHeight="1" x14ac:dyDescent="0.25">
      <c r="A158" s="99">
        <v>4</v>
      </c>
      <c r="B158" s="100" t="s">
        <v>115</v>
      </c>
      <c r="C158" s="97">
        <v>2875673</v>
      </c>
      <c r="D158" s="97">
        <v>625629</v>
      </c>
      <c r="E158" s="97">
        <f t="shared" si="22"/>
        <v>-2250044</v>
      </c>
      <c r="F158" s="98">
        <f t="shared" si="23"/>
        <v>-0.78244084080491771</v>
      </c>
    </row>
    <row r="159" spans="1:6" ht="18" customHeight="1" x14ac:dyDescent="0.25">
      <c r="A159" s="99">
        <v>5</v>
      </c>
      <c r="B159" s="100" t="s">
        <v>116</v>
      </c>
      <c r="C159" s="97">
        <v>140244</v>
      </c>
      <c r="D159" s="97">
        <v>86529</v>
      </c>
      <c r="E159" s="97">
        <f t="shared" si="22"/>
        <v>-53715</v>
      </c>
      <c r="F159" s="98">
        <f t="shared" si="23"/>
        <v>-0.38301103790536495</v>
      </c>
    </row>
    <row r="160" spans="1:6" ht="18" customHeight="1" x14ac:dyDescent="0.25">
      <c r="A160" s="99">
        <v>6</v>
      </c>
      <c r="B160" s="100" t="s">
        <v>117</v>
      </c>
      <c r="C160" s="97">
        <v>1659359</v>
      </c>
      <c r="D160" s="97">
        <v>1446375</v>
      </c>
      <c r="E160" s="97">
        <f t="shared" si="22"/>
        <v>-212984</v>
      </c>
      <c r="F160" s="98">
        <f t="shared" si="23"/>
        <v>-0.12835317734137097</v>
      </c>
    </row>
    <row r="161" spans="1:6" ht="18" customHeight="1" x14ac:dyDescent="0.25">
      <c r="A161" s="99">
        <v>7</v>
      </c>
      <c r="B161" s="100" t="s">
        <v>118</v>
      </c>
      <c r="C161" s="97">
        <v>17165474</v>
      </c>
      <c r="D161" s="97">
        <v>15748626</v>
      </c>
      <c r="E161" s="97">
        <f t="shared" si="22"/>
        <v>-1416848</v>
      </c>
      <c r="F161" s="98">
        <f t="shared" si="23"/>
        <v>-8.2540569517625909E-2</v>
      </c>
    </row>
    <row r="162" spans="1:6" ht="18" customHeight="1" x14ac:dyDescent="0.25">
      <c r="A162" s="99">
        <v>8</v>
      </c>
      <c r="B162" s="100" t="s">
        <v>119</v>
      </c>
      <c r="C162" s="97">
        <v>990955</v>
      </c>
      <c r="D162" s="97">
        <v>1159396</v>
      </c>
      <c r="E162" s="97">
        <f t="shared" si="22"/>
        <v>168441</v>
      </c>
      <c r="F162" s="98">
        <f t="shared" si="23"/>
        <v>0.16997845512662027</v>
      </c>
    </row>
    <row r="163" spans="1:6" ht="18" customHeight="1" x14ac:dyDescent="0.25">
      <c r="A163" s="99">
        <v>9</v>
      </c>
      <c r="B163" s="100" t="s">
        <v>120</v>
      </c>
      <c r="C163" s="97">
        <v>126903</v>
      </c>
      <c r="D163" s="97">
        <v>146670</v>
      </c>
      <c r="E163" s="97">
        <f t="shared" si="22"/>
        <v>19767</v>
      </c>
      <c r="F163" s="98">
        <f t="shared" si="23"/>
        <v>0.15576463913382663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29510854</v>
      </c>
      <c r="D166" s="103">
        <f>SUM(D155:D165)</f>
        <v>28026203</v>
      </c>
      <c r="E166" s="103">
        <f t="shared" si="22"/>
        <v>-1484651</v>
      </c>
      <c r="F166" s="104">
        <f t="shared" si="23"/>
        <v>-5.0308642372735128E-2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7113</v>
      </c>
      <c r="D168" s="117">
        <v>6923</v>
      </c>
      <c r="E168" s="117">
        <f t="shared" ref="E168:E179" si="24">D168-C168</f>
        <v>-190</v>
      </c>
      <c r="F168" s="98">
        <f t="shared" ref="F168:F179" si="25">IF(C168=0,0,E168/C168)</f>
        <v>-2.6711654716715872E-2</v>
      </c>
    </row>
    <row r="169" spans="1:6" ht="18" customHeight="1" x14ac:dyDescent="0.25">
      <c r="A169" s="99">
        <v>2</v>
      </c>
      <c r="B169" s="100" t="s">
        <v>113</v>
      </c>
      <c r="C169" s="117">
        <v>1406</v>
      </c>
      <c r="D169" s="117">
        <v>1507</v>
      </c>
      <c r="E169" s="117">
        <f t="shared" si="24"/>
        <v>101</v>
      </c>
      <c r="F169" s="98">
        <f t="shared" si="25"/>
        <v>7.183499288762446E-2</v>
      </c>
    </row>
    <row r="170" spans="1:6" ht="18" customHeight="1" x14ac:dyDescent="0.25">
      <c r="A170" s="99">
        <v>3</v>
      </c>
      <c r="B170" s="100" t="s">
        <v>114</v>
      </c>
      <c r="C170" s="117">
        <v>6164</v>
      </c>
      <c r="D170" s="117">
        <v>13136</v>
      </c>
      <c r="E170" s="117">
        <f t="shared" si="24"/>
        <v>6972</v>
      </c>
      <c r="F170" s="98">
        <f t="shared" si="25"/>
        <v>1.1310837118754056</v>
      </c>
    </row>
    <row r="171" spans="1:6" ht="18" customHeight="1" x14ac:dyDescent="0.25">
      <c r="A171" s="99">
        <v>4</v>
      </c>
      <c r="B171" s="100" t="s">
        <v>115</v>
      </c>
      <c r="C171" s="117">
        <v>8974</v>
      </c>
      <c r="D171" s="117">
        <v>2089</v>
      </c>
      <c r="E171" s="117">
        <f t="shared" si="24"/>
        <v>-6885</v>
      </c>
      <c r="F171" s="98">
        <f t="shared" si="25"/>
        <v>-0.76721640294183191</v>
      </c>
    </row>
    <row r="172" spans="1:6" ht="18" customHeight="1" x14ac:dyDescent="0.25">
      <c r="A172" s="99">
        <v>5</v>
      </c>
      <c r="B172" s="100" t="s">
        <v>116</v>
      </c>
      <c r="C172" s="117">
        <v>277</v>
      </c>
      <c r="D172" s="117">
        <v>184</v>
      </c>
      <c r="E172" s="117">
        <f t="shared" si="24"/>
        <v>-93</v>
      </c>
      <c r="F172" s="98">
        <f t="shared" si="25"/>
        <v>-0.33574007220216606</v>
      </c>
    </row>
    <row r="173" spans="1:6" ht="18" customHeight="1" x14ac:dyDescent="0.25">
      <c r="A173" s="99">
        <v>6</v>
      </c>
      <c r="B173" s="100" t="s">
        <v>117</v>
      </c>
      <c r="C173" s="117">
        <v>1217</v>
      </c>
      <c r="D173" s="117">
        <v>974</v>
      </c>
      <c r="E173" s="117">
        <f t="shared" si="24"/>
        <v>-243</v>
      </c>
      <c r="F173" s="98">
        <f t="shared" si="25"/>
        <v>-0.19967132292522596</v>
      </c>
    </row>
    <row r="174" spans="1:6" ht="18" customHeight="1" x14ac:dyDescent="0.25">
      <c r="A174" s="99">
        <v>7</v>
      </c>
      <c r="B174" s="100" t="s">
        <v>118</v>
      </c>
      <c r="C174" s="117">
        <v>12328</v>
      </c>
      <c r="D174" s="117">
        <v>11686</v>
      </c>
      <c r="E174" s="117">
        <f t="shared" si="24"/>
        <v>-642</v>
      </c>
      <c r="F174" s="98">
        <f t="shared" si="25"/>
        <v>-5.2076573653471771E-2</v>
      </c>
    </row>
    <row r="175" spans="1:6" ht="18" customHeight="1" x14ac:dyDescent="0.25">
      <c r="A175" s="99">
        <v>8</v>
      </c>
      <c r="B175" s="100" t="s">
        <v>119</v>
      </c>
      <c r="C175" s="117">
        <v>1014</v>
      </c>
      <c r="D175" s="117">
        <v>978</v>
      </c>
      <c r="E175" s="117">
        <f t="shared" si="24"/>
        <v>-36</v>
      </c>
      <c r="F175" s="98">
        <f t="shared" si="25"/>
        <v>-3.5502958579881658E-2</v>
      </c>
    </row>
    <row r="176" spans="1:6" ht="18" customHeight="1" x14ac:dyDescent="0.25">
      <c r="A176" s="99">
        <v>9</v>
      </c>
      <c r="B176" s="100" t="s">
        <v>120</v>
      </c>
      <c r="C176" s="117">
        <v>4009</v>
      </c>
      <c r="D176" s="117">
        <v>3998</v>
      </c>
      <c r="E176" s="117">
        <f t="shared" si="24"/>
        <v>-11</v>
      </c>
      <c r="F176" s="98">
        <f t="shared" si="25"/>
        <v>-2.7438263906211027E-3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42502</v>
      </c>
      <c r="D179" s="118">
        <f>SUM(D168:D178)</f>
        <v>41475</v>
      </c>
      <c r="E179" s="118">
        <f t="shared" si="24"/>
        <v>-1027</v>
      </c>
      <c r="F179" s="104">
        <f t="shared" si="25"/>
        <v>-2.4163568773234202E-2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FILING&amp;RMANCHESTER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26184283</v>
      </c>
      <c r="D15" s="146">
        <v>27483799</v>
      </c>
      <c r="E15" s="146">
        <f>+D15-C15</f>
        <v>1299516</v>
      </c>
      <c r="F15" s="150">
        <f>IF(C15=0,0,E15/C15)</f>
        <v>4.9629619417113691E-2</v>
      </c>
    </row>
    <row r="16" spans="1:7" ht="15" customHeight="1" x14ac:dyDescent="0.2">
      <c r="A16" s="141">
        <v>2</v>
      </c>
      <c r="B16" s="149" t="s">
        <v>158</v>
      </c>
      <c r="C16" s="146">
        <v>5856368</v>
      </c>
      <c r="D16" s="146">
        <v>7064262</v>
      </c>
      <c r="E16" s="146">
        <f>+D16-C16</f>
        <v>1207894</v>
      </c>
      <c r="F16" s="150">
        <f>IF(C16=0,0,E16/C16)</f>
        <v>0.2062530906527732</v>
      </c>
    </row>
    <row r="17" spans="1:7" ht="15" customHeight="1" x14ac:dyDescent="0.2">
      <c r="A17" s="141">
        <v>3</v>
      </c>
      <c r="B17" s="149" t="s">
        <v>159</v>
      </c>
      <c r="C17" s="146">
        <v>45540909</v>
      </c>
      <c r="D17" s="146">
        <v>47001764</v>
      </c>
      <c r="E17" s="146">
        <f>+D17-C17</f>
        <v>1460855</v>
      </c>
      <c r="F17" s="150">
        <f>IF(C17=0,0,E17/C17)</f>
        <v>3.2077862126116102E-2</v>
      </c>
    </row>
    <row r="18" spans="1:7" ht="15.75" customHeight="1" x14ac:dyDescent="0.25">
      <c r="A18" s="141"/>
      <c r="B18" s="151" t="s">
        <v>160</v>
      </c>
      <c r="C18" s="147">
        <f>SUM(C15:C17)</f>
        <v>77581560</v>
      </c>
      <c r="D18" s="147">
        <f>SUM(D15:D17)</f>
        <v>81549825</v>
      </c>
      <c r="E18" s="147">
        <f>+D18-C18</f>
        <v>3968265</v>
      </c>
      <c r="F18" s="148">
        <f>IF(C18=0,0,E18/C18)</f>
        <v>5.114959018612155E-2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8134838</v>
      </c>
      <c r="D21" s="146">
        <v>9278681</v>
      </c>
      <c r="E21" s="146">
        <f>+D21-C21</f>
        <v>1143843</v>
      </c>
      <c r="F21" s="150">
        <f>IF(C21=0,0,E21/C21)</f>
        <v>0.14061042149825234</v>
      </c>
    </row>
    <row r="22" spans="1:7" ht="15" customHeight="1" x14ac:dyDescent="0.2">
      <c r="A22" s="141">
        <v>2</v>
      </c>
      <c r="B22" s="149" t="s">
        <v>163</v>
      </c>
      <c r="C22" s="146">
        <v>1698577</v>
      </c>
      <c r="D22" s="146">
        <v>2196063</v>
      </c>
      <c r="E22" s="146">
        <f>+D22-C22</f>
        <v>497486</v>
      </c>
      <c r="F22" s="150">
        <f>IF(C22=0,0,E22/C22)</f>
        <v>0.29288398465303606</v>
      </c>
    </row>
    <row r="23" spans="1:7" ht="15" customHeight="1" x14ac:dyDescent="0.2">
      <c r="A23" s="141">
        <v>3</v>
      </c>
      <c r="B23" s="149" t="s">
        <v>164</v>
      </c>
      <c r="C23" s="146">
        <v>11946049</v>
      </c>
      <c r="D23" s="146">
        <v>13392508</v>
      </c>
      <c r="E23" s="146">
        <f>+D23-C23</f>
        <v>1446459</v>
      </c>
      <c r="F23" s="150">
        <f>IF(C23=0,0,E23/C23)</f>
        <v>0.12108262740258306</v>
      </c>
    </row>
    <row r="24" spans="1:7" ht="15.75" customHeight="1" x14ac:dyDescent="0.25">
      <c r="A24" s="141"/>
      <c r="B24" s="151" t="s">
        <v>165</v>
      </c>
      <c r="C24" s="147">
        <f>SUM(C21:C23)</f>
        <v>21779464</v>
      </c>
      <c r="D24" s="147">
        <f>SUM(D21:D23)</f>
        <v>24867252</v>
      </c>
      <c r="E24" s="147">
        <f>+D24-C24</f>
        <v>3087788</v>
      </c>
      <c r="F24" s="148">
        <f>IF(C24=0,0,E24/C24)</f>
        <v>0.14177520622178763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6685874</v>
      </c>
      <c r="D28" s="146">
        <v>7076665</v>
      </c>
      <c r="E28" s="146">
        <f>+D28-C28</f>
        <v>390791</v>
      </c>
      <c r="F28" s="150">
        <f>IF(C28=0,0,E28/C28)</f>
        <v>5.8450248987641708E-2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6685874</v>
      </c>
      <c r="D30" s="147">
        <f>SUM(D27:D29)</f>
        <v>7076665</v>
      </c>
      <c r="E30" s="147">
        <f>+D30-C30</f>
        <v>390791</v>
      </c>
      <c r="F30" s="148">
        <f>IF(C30=0,0,E30/C30)</f>
        <v>5.8450248987641708E-2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20212082</v>
      </c>
      <c r="D33" s="146">
        <v>18642097</v>
      </c>
      <c r="E33" s="146">
        <f>+D33-C33</f>
        <v>-1569985</v>
      </c>
      <c r="F33" s="150">
        <f>IF(C33=0,0,E33/C33)</f>
        <v>-7.7675570483040787E-2</v>
      </c>
    </row>
    <row r="34" spans="1:7" ht="15" customHeight="1" x14ac:dyDescent="0.2">
      <c r="A34" s="141">
        <v>2</v>
      </c>
      <c r="B34" s="149" t="s">
        <v>174</v>
      </c>
      <c r="C34" s="146">
        <v>4666797</v>
      </c>
      <c r="D34" s="146">
        <v>4966274</v>
      </c>
      <c r="E34" s="146">
        <f>+D34-C34</f>
        <v>299477</v>
      </c>
      <c r="F34" s="150">
        <f>IF(C34=0,0,E34/C34)</f>
        <v>6.4171850629028859E-2</v>
      </c>
    </row>
    <row r="35" spans="1:7" ht="15.75" customHeight="1" x14ac:dyDescent="0.25">
      <c r="A35" s="141"/>
      <c r="B35" s="151" t="s">
        <v>175</v>
      </c>
      <c r="C35" s="147">
        <f>SUM(C33:C34)</f>
        <v>24878879</v>
      </c>
      <c r="D35" s="147">
        <f>SUM(D33:D34)</f>
        <v>23608371</v>
      </c>
      <c r="E35" s="147">
        <f>+D35-C35</f>
        <v>-1270508</v>
      </c>
      <c r="F35" s="148">
        <f>IF(C35=0,0,E35/C35)</f>
        <v>-5.1067735005262897E-2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3507682</v>
      </c>
      <c r="D38" s="146">
        <v>3205524</v>
      </c>
      <c r="E38" s="146">
        <f>+D38-C38</f>
        <v>-302158</v>
      </c>
      <c r="F38" s="150">
        <f>IF(C38=0,0,E38/C38)</f>
        <v>-8.6141788223675922E-2</v>
      </c>
    </row>
    <row r="39" spans="1:7" ht="15" customHeight="1" x14ac:dyDescent="0.2">
      <c r="A39" s="141">
        <v>2</v>
      </c>
      <c r="B39" s="149" t="s">
        <v>179</v>
      </c>
      <c r="C39" s="146">
        <v>3600222</v>
      </c>
      <c r="D39" s="146">
        <v>3599495</v>
      </c>
      <c r="E39" s="146">
        <f>+D39-C39</f>
        <v>-727</v>
      </c>
      <c r="F39" s="150">
        <f>IF(C39=0,0,E39/C39)</f>
        <v>-2.019319919716062E-4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91793</v>
      </c>
      <c r="E40" s="146">
        <f>+D40-C40</f>
        <v>91793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7107904</v>
      </c>
      <c r="D41" s="147">
        <f>SUM(D38:D40)</f>
        <v>6896812</v>
      </c>
      <c r="E41" s="147">
        <f>+D41-C41</f>
        <v>-211092</v>
      </c>
      <c r="F41" s="148">
        <f>IF(C41=0,0,E41/C41)</f>
        <v>-2.969820639108238E-2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6164670</v>
      </c>
      <c r="D44" s="146">
        <v>6382307</v>
      </c>
      <c r="E44" s="146">
        <f>+D44-C44</f>
        <v>217637</v>
      </c>
      <c r="F44" s="150">
        <f>IF(C44=0,0,E44/C44)</f>
        <v>3.5303917322419533E-2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2539198</v>
      </c>
      <c r="D47" s="146">
        <v>2714044</v>
      </c>
      <c r="E47" s="146">
        <f>+D47-C47</f>
        <v>174846</v>
      </c>
      <c r="F47" s="150">
        <f>IF(C47=0,0,E47/C47)</f>
        <v>6.8858749888744394E-2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1786350</v>
      </c>
      <c r="D50" s="146">
        <v>4762176</v>
      </c>
      <c r="E50" s="146">
        <f>+D50-C50</f>
        <v>2975826</v>
      </c>
      <c r="F50" s="150">
        <f>IF(C50=0,0,E50/C50)</f>
        <v>1.6658695104542782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186654</v>
      </c>
      <c r="D53" s="146">
        <v>175926</v>
      </c>
      <c r="E53" s="146">
        <f t="shared" ref="E53:E59" si="0">+D53-C53</f>
        <v>-10728</v>
      </c>
      <c r="F53" s="150">
        <f t="shared" ref="F53:F59" si="1">IF(C53=0,0,E53/C53)</f>
        <v>-5.7475328683017773E-2</v>
      </c>
    </row>
    <row r="54" spans="1:7" ht="15" customHeight="1" x14ac:dyDescent="0.2">
      <c r="A54" s="141">
        <v>2</v>
      </c>
      <c r="B54" s="149" t="s">
        <v>193</v>
      </c>
      <c r="C54" s="146">
        <v>778801</v>
      </c>
      <c r="D54" s="146">
        <v>599005</v>
      </c>
      <c r="E54" s="146">
        <f t="shared" si="0"/>
        <v>-179796</v>
      </c>
      <c r="F54" s="150">
        <f t="shared" si="1"/>
        <v>-0.23086256951390663</v>
      </c>
    </row>
    <row r="55" spans="1:7" ht="15" customHeight="1" x14ac:dyDescent="0.2">
      <c r="A55" s="141">
        <v>3</v>
      </c>
      <c r="B55" s="149" t="s">
        <v>194</v>
      </c>
      <c r="C55" s="146">
        <v>104052</v>
      </c>
      <c r="D55" s="146">
        <v>38513</v>
      </c>
      <c r="E55" s="146">
        <f t="shared" si="0"/>
        <v>-65539</v>
      </c>
      <c r="F55" s="150">
        <f t="shared" si="1"/>
        <v>-0.62986775842847809</v>
      </c>
    </row>
    <row r="56" spans="1:7" ht="15" customHeight="1" x14ac:dyDescent="0.2">
      <c r="A56" s="141">
        <v>4</v>
      </c>
      <c r="B56" s="149" t="s">
        <v>195</v>
      </c>
      <c r="C56" s="146">
        <v>1619181</v>
      </c>
      <c r="D56" s="146">
        <v>1527183</v>
      </c>
      <c r="E56" s="146">
        <f t="shared" si="0"/>
        <v>-91998</v>
      </c>
      <c r="F56" s="150">
        <f t="shared" si="1"/>
        <v>-5.6817613348970869E-2</v>
      </c>
    </row>
    <row r="57" spans="1:7" ht="15" customHeight="1" x14ac:dyDescent="0.2">
      <c r="A57" s="141">
        <v>5</v>
      </c>
      <c r="B57" s="149" t="s">
        <v>196</v>
      </c>
      <c r="C57" s="146">
        <v>566451</v>
      </c>
      <c r="D57" s="146">
        <v>517870</v>
      </c>
      <c r="E57" s="146">
        <f t="shared" si="0"/>
        <v>-48581</v>
      </c>
      <c r="F57" s="150">
        <f t="shared" si="1"/>
        <v>-8.5763817170417214E-2</v>
      </c>
    </row>
    <row r="58" spans="1:7" ht="15" customHeight="1" x14ac:dyDescent="0.2">
      <c r="A58" s="141">
        <v>6</v>
      </c>
      <c r="B58" s="149" t="s">
        <v>197</v>
      </c>
      <c r="C58" s="146">
        <v>3097</v>
      </c>
      <c r="D58" s="146">
        <v>25215</v>
      </c>
      <c r="E58" s="146">
        <f t="shared" si="0"/>
        <v>22118</v>
      </c>
      <c r="F58" s="150">
        <f t="shared" si="1"/>
        <v>7.1417500807232805</v>
      </c>
    </row>
    <row r="59" spans="1:7" ht="15.75" customHeight="1" x14ac:dyDescent="0.25">
      <c r="A59" s="141"/>
      <c r="B59" s="151" t="s">
        <v>198</v>
      </c>
      <c r="C59" s="147">
        <f>SUM(C53:C58)</f>
        <v>3258236</v>
      </c>
      <c r="D59" s="147">
        <f>SUM(D53:D58)</f>
        <v>2883712</v>
      </c>
      <c r="E59" s="147">
        <f t="shared" si="0"/>
        <v>-374524</v>
      </c>
      <c r="F59" s="148">
        <f t="shared" si="1"/>
        <v>-0.11494686081671186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119311</v>
      </c>
      <c r="D62" s="146">
        <v>116430</v>
      </c>
      <c r="E62" s="146">
        <f t="shared" ref="E62:E90" si="2">+D62-C62</f>
        <v>-2881</v>
      </c>
      <c r="F62" s="150">
        <f t="shared" ref="F62:F90" si="3">IF(C62=0,0,E62/C62)</f>
        <v>-2.4146977227581697E-2</v>
      </c>
    </row>
    <row r="63" spans="1:7" ht="15" customHeight="1" x14ac:dyDescent="0.2">
      <c r="A63" s="141">
        <v>2</v>
      </c>
      <c r="B63" s="149" t="s">
        <v>202</v>
      </c>
      <c r="C63" s="146">
        <v>717065</v>
      </c>
      <c r="D63" s="146">
        <v>857464</v>
      </c>
      <c r="E63" s="146">
        <f t="shared" si="2"/>
        <v>140399</v>
      </c>
      <c r="F63" s="150">
        <f t="shared" si="3"/>
        <v>0.19579675482696826</v>
      </c>
    </row>
    <row r="64" spans="1:7" ht="15" customHeight="1" x14ac:dyDescent="0.2">
      <c r="A64" s="141">
        <v>3</v>
      </c>
      <c r="B64" s="149" t="s">
        <v>203</v>
      </c>
      <c r="C64" s="146">
        <v>493555</v>
      </c>
      <c r="D64" s="146">
        <v>799681</v>
      </c>
      <c r="E64" s="146">
        <f t="shared" si="2"/>
        <v>306126</v>
      </c>
      <c r="F64" s="150">
        <f t="shared" si="3"/>
        <v>0.62024698361884689</v>
      </c>
    </row>
    <row r="65" spans="1:6" ht="15" customHeight="1" x14ac:dyDescent="0.2">
      <c r="A65" s="141">
        <v>4</v>
      </c>
      <c r="B65" s="149" t="s">
        <v>204</v>
      </c>
      <c r="C65" s="146">
        <v>292333</v>
      </c>
      <c r="D65" s="146">
        <v>302882</v>
      </c>
      <c r="E65" s="146">
        <f t="shared" si="2"/>
        <v>10549</v>
      </c>
      <c r="F65" s="150">
        <f t="shared" si="3"/>
        <v>3.6085559960729714E-2</v>
      </c>
    </row>
    <row r="66" spans="1:6" ht="15" customHeight="1" x14ac:dyDescent="0.2">
      <c r="A66" s="141">
        <v>5</v>
      </c>
      <c r="B66" s="149" t="s">
        <v>205</v>
      </c>
      <c r="C66" s="146">
        <v>446125</v>
      </c>
      <c r="D66" s="146">
        <v>508365</v>
      </c>
      <c r="E66" s="146">
        <f t="shared" si="2"/>
        <v>62240</v>
      </c>
      <c r="F66" s="150">
        <f t="shared" si="3"/>
        <v>0.13951246847856544</v>
      </c>
    </row>
    <row r="67" spans="1:6" ht="15" customHeight="1" x14ac:dyDescent="0.2">
      <c r="A67" s="141">
        <v>6</v>
      </c>
      <c r="B67" s="149" t="s">
        <v>206</v>
      </c>
      <c r="C67" s="146">
        <v>1301432</v>
      </c>
      <c r="D67" s="146">
        <v>1407014</v>
      </c>
      <c r="E67" s="146">
        <f t="shared" si="2"/>
        <v>105582</v>
      </c>
      <c r="F67" s="150">
        <f t="shared" si="3"/>
        <v>8.1127557951548759E-2</v>
      </c>
    </row>
    <row r="68" spans="1:6" ht="15" customHeight="1" x14ac:dyDescent="0.2">
      <c r="A68" s="141">
        <v>7</v>
      </c>
      <c r="B68" s="149" t="s">
        <v>207</v>
      </c>
      <c r="C68" s="146">
        <v>2441052</v>
      </c>
      <c r="D68" s="146">
        <v>486288</v>
      </c>
      <c r="E68" s="146">
        <f t="shared" si="2"/>
        <v>-1954764</v>
      </c>
      <c r="F68" s="150">
        <f t="shared" si="3"/>
        <v>-0.80078752931113306</v>
      </c>
    </row>
    <row r="69" spans="1:6" ht="15" customHeight="1" x14ac:dyDescent="0.2">
      <c r="A69" s="141">
        <v>8</v>
      </c>
      <c r="B69" s="149" t="s">
        <v>208</v>
      </c>
      <c r="C69" s="146">
        <v>660129</v>
      </c>
      <c r="D69" s="146">
        <v>673739</v>
      </c>
      <c r="E69" s="146">
        <f t="shared" si="2"/>
        <v>13610</v>
      </c>
      <c r="F69" s="150">
        <f t="shared" si="3"/>
        <v>2.0617182399197732E-2</v>
      </c>
    </row>
    <row r="70" spans="1:6" ht="15" customHeight="1" x14ac:dyDescent="0.2">
      <c r="A70" s="141">
        <v>9</v>
      </c>
      <c r="B70" s="149" t="s">
        <v>209</v>
      </c>
      <c r="C70" s="146">
        <v>103143</v>
      </c>
      <c r="D70" s="146">
        <v>133188</v>
      </c>
      <c r="E70" s="146">
        <f t="shared" si="2"/>
        <v>30045</v>
      </c>
      <c r="F70" s="150">
        <f t="shared" si="3"/>
        <v>0.29129461039527649</v>
      </c>
    </row>
    <row r="71" spans="1:6" ht="15" customHeight="1" x14ac:dyDescent="0.2">
      <c r="A71" s="141">
        <v>10</v>
      </c>
      <c r="B71" s="149" t="s">
        <v>210</v>
      </c>
      <c r="C71" s="146">
        <v>12010</v>
      </c>
      <c r="D71" s="146">
        <v>12364</v>
      </c>
      <c r="E71" s="146">
        <f t="shared" si="2"/>
        <v>354</v>
      </c>
      <c r="F71" s="150">
        <f t="shared" si="3"/>
        <v>2.9475437135720234E-2</v>
      </c>
    </row>
    <row r="72" spans="1:6" ht="15" customHeight="1" x14ac:dyDescent="0.2">
      <c r="A72" s="141">
        <v>11</v>
      </c>
      <c r="B72" s="149" t="s">
        <v>211</v>
      </c>
      <c r="C72" s="146">
        <v>10571</v>
      </c>
      <c r="D72" s="146">
        <v>0</v>
      </c>
      <c r="E72" s="146">
        <f t="shared" si="2"/>
        <v>-10571</v>
      </c>
      <c r="F72" s="150">
        <f t="shared" si="3"/>
        <v>-1</v>
      </c>
    </row>
    <row r="73" spans="1:6" ht="15" customHeight="1" x14ac:dyDescent="0.2">
      <c r="A73" s="141">
        <v>12</v>
      </c>
      <c r="B73" s="149" t="s">
        <v>212</v>
      </c>
      <c r="C73" s="146">
        <v>492085</v>
      </c>
      <c r="D73" s="146">
        <v>1106240</v>
      </c>
      <c r="E73" s="146">
        <f t="shared" si="2"/>
        <v>614155</v>
      </c>
      <c r="F73" s="150">
        <f t="shared" si="3"/>
        <v>1.2480668990113497</v>
      </c>
    </row>
    <row r="74" spans="1:6" ht="15" customHeight="1" x14ac:dyDescent="0.2">
      <c r="A74" s="141">
        <v>13</v>
      </c>
      <c r="B74" s="149" t="s">
        <v>213</v>
      </c>
      <c r="C74" s="146">
        <v>349296</v>
      </c>
      <c r="D74" s="146">
        <v>127645</v>
      </c>
      <c r="E74" s="146">
        <f t="shared" si="2"/>
        <v>-221651</v>
      </c>
      <c r="F74" s="150">
        <f t="shared" si="3"/>
        <v>-0.63456495350648157</v>
      </c>
    </row>
    <row r="75" spans="1:6" ht="15" customHeight="1" x14ac:dyDescent="0.2">
      <c r="A75" s="141">
        <v>14</v>
      </c>
      <c r="B75" s="149" t="s">
        <v>214</v>
      </c>
      <c r="C75" s="146">
        <v>181283</v>
      </c>
      <c r="D75" s="146">
        <v>181531</v>
      </c>
      <c r="E75" s="146">
        <f t="shared" si="2"/>
        <v>248</v>
      </c>
      <c r="F75" s="150">
        <f t="shared" si="3"/>
        <v>1.3680267868470845E-3</v>
      </c>
    </row>
    <row r="76" spans="1:6" ht="15" customHeight="1" x14ac:dyDescent="0.2">
      <c r="A76" s="141">
        <v>15</v>
      </c>
      <c r="B76" s="149" t="s">
        <v>215</v>
      </c>
      <c r="C76" s="146">
        <v>1083720</v>
      </c>
      <c r="D76" s="146">
        <v>1079854</v>
      </c>
      <c r="E76" s="146">
        <f t="shared" si="2"/>
        <v>-3866</v>
      </c>
      <c r="F76" s="150">
        <f t="shared" si="3"/>
        <v>-3.56734211789023E-3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2461228</v>
      </c>
      <c r="E78" s="146">
        <f t="shared" si="2"/>
        <v>2461228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1868920</v>
      </c>
      <c r="E80" s="146">
        <f t="shared" si="2"/>
        <v>1868920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1216556</v>
      </c>
      <c r="E81" s="146">
        <f t="shared" si="2"/>
        <v>1216556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553774</v>
      </c>
      <c r="E82" s="146">
        <f t="shared" si="2"/>
        <v>553774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590280</v>
      </c>
      <c r="E83" s="146">
        <f t="shared" si="2"/>
        <v>590280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778391</v>
      </c>
      <c r="E84" s="146">
        <f t="shared" si="2"/>
        <v>778391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162916</v>
      </c>
      <c r="E86" s="146">
        <f t="shared" si="2"/>
        <v>162916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2321266</v>
      </c>
      <c r="E87" s="146">
        <f t="shared" si="2"/>
        <v>2321266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3509024</v>
      </c>
      <c r="E88" s="146">
        <f t="shared" si="2"/>
        <v>3509024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12837421</v>
      </c>
      <c r="D89" s="146">
        <v>2206403</v>
      </c>
      <c r="E89" s="146">
        <f t="shared" si="2"/>
        <v>-10631018</v>
      </c>
      <c r="F89" s="150">
        <f t="shared" si="3"/>
        <v>-0.82812723832925628</v>
      </c>
    </row>
    <row r="90" spans="1:7" ht="15.75" customHeight="1" x14ac:dyDescent="0.25">
      <c r="A90" s="141"/>
      <c r="B90" s="151" t="s">
        <v>229</v>
      </c>
      <c r="C90" s="147">
        <f>SUM(C62:C89)</f>
        <v>21540531</v>
      </c>
      <c r="D90" s="147">
        <f>SUM(D62:D89)</f>
        <v>23461443</v>
      </c>
      <c r="E90" s="147">
        <f t="shared" si="2"/>
        <v>1920912</v>
      </c>
      <c r="F90" s="148">
        <f t="shared" si="3"/>
        <v>8.9176631718131741E-2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0</v>
      </c>
      <c r="D93" s="146">
        <v>243394</v>
      </c>
      <c r="E93" s="146">
        <f>+D93-C93</f>
        <v>243394</v>
      </c>
      <c r="F93" s="150">
        <f>IF(C93=0,0,E93/C93)</f>
        <v>0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173322666</v>
      </c>
      <c r="D95" s="147">
        <f>+D93+D90+D59+D50+D47+D44+D41+D35+D30+D24+D18</f>
        <v>184446001</v>
      </c>
      <c r="E95" s="147">
        <f>+D95-C95</f>
        <v>11123335</v>
      </c>
      <c r="F95" s="148">
        <f>IF(C95=0,0,E95/C95)</f>
        <v>6.4177036141366536E-2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4203805</v>
      </c>
      <c r="D103" s="146">
        <v>4103402</v>
      </c>
      <c r="E103" s="146">
        <f t="shared" ref="E103:E121" si="4">D103-C103</f>
        <v>-100403</v>
      </c>
      <c r="F103" s="150">
        <f t="shared" ref="F103:F121" si="5">IF(C103=0,0,E103/C103)</f>
        <v>-2.3883838570057363E-2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1750207</v>
      </c>
      <c r="D104" s="146">
        <v>1981884</v>
      </c>
      <c r="E104" s="146">
        <f t="shared" si="4"/>
        <v>231677</v>
      </c>
      <c r="F104" s="150">
        <f t="shared" si="5"/>
        <v>0.13237119952097096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1734569</v>
      </c>
      <c r="D105" s="146">
        <v>1666354</v>
      </c>
      <c r="E105" s="146">
        <f t="shared" si="4"/>
        <v>-68215</v>
      </c>
      <c r="F105" s="150">
        <f t="shared" si="5"/>
        <v>-3.9326772241404059E-2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1669664</v>
      </c>
      <c r="D106" s="146">
        <v>1599080</v>
      </c>
      <c r="E106" s="146">
        <f t="shared" si="4"/>
        <v>-70584</v>
      </c>
      <c r="F106" s="150">
        <f t="shared" si="5"/>
        <v>-4.2274373766218835E-2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4601371</v>
      </c>
      <c r="D107" s="146">
        <v>4700982</v>
      </c>
      <c r="E107" s="146">
        <f t="shared" si="4"/>
        <v>99611</v>
      </c>
      <c r="F107" s="150">
        <f t="shared" si="5"/>
        <v>2.1648113138453735E-2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1564098</v>
      </c>
      <c r="D108" s="146">
        <v>1518914</v>
      </c>
      <c r="E108" s="146">
        <f t="shared" si="4"/>
        <v>-45184</v>
      </c>
      <c r="F108" s="150">
        <f t="shared" si="5"/>
        <v>-2.8888215444300806E-2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16848079</v>
      </c>
      <c r="D109" s="146">
        <v>18962912</v>
      </c>
      <c r="E109" s="146">
        <f t="shared" si="4"/>
        <v>2114833</v>
      </c>
      <c r="F109" s="150">
        <f t="shared" si="5"/>
        <v>0.12552368729989929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285449</v>
      </c>
      <c r="D110" s="146">
        <v>364464</v>
      </c>
      <c r="E110" s="146">
        <f t="shared" si="4"/>
        <v>79015</v>
      </c>
      <c r="F110" s="150">
        <f t="shared" si="5"/>
        <v>0.27680951763712608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1331330</v>
      </c>
      <c r="D111" s="146">
        <v>1572918</v>
      </c>
      <c r="E111" s="146">
        <f t="shared" si="4"/>
        <v>241588</v>
      </c>
      <c r="F111" s="150">
        <f t="shared" si="5"/>
        <v>0.18146364913282206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3312347</v>
      </c>
      <c r="D112" s="146">
        <v>3441424</v>
      </c>
      <c r="E112" s="146">
        <f t="shared" si="4"/>
        <v>129077</v>
      </c>
      <c r="F112" s="150">
        <f t="shared" si="5"/>
        <v>3.8968441410274952E-2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1865988</v>
      </c>
      <c r="D113" s="146">
        <v>1982561</v>
      </c>
      <c r="E113" s="146">
        <f t="shared" si="4"/>
        <v>116573</v>
      </c>
      <c r="F113" s="150">
        <f t="shared" si="5"/>
        <v>6.2472534657243242E-2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850483</v>
      </c>
      <c r="D114" s="146">
        <v>904358</v>
      </c>
      <c r="E114" s="146">
        <f t="shared" si="4"/>
        <v>53875</v>
      </c>
      <c r="F114" s="150">
        <f t="shared" si="5"/>
        <v>6.334635730520187E-2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2646007</v>
      </c>
      <c r="D115" s="146">
        <v>2371552</v>
      </c>
      <c r="E115" s="146">
        <f t="shared" si="4"/>
        <v>-274455</v>
      </c>
      <c r="F115" s="150">
        <f t="shared" si="5"/>
        <v>-0.10372421539323214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854551</v>
      </c>
      <c r="D116" s="146">
        <v>892989</v>
      </c>
      <c r="E116" s="146">
        <f t="shared" si="4"/>
        <v>38438</v>
      </c>
      <c r="F116" s="150">
        <f t="shared" si="5"/>
        <v>4.4980346404135035E-2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1271247</v>
      </c>
      <c r="D117" s="146">
        <v>1289518</v>
      </c>
      <c r="E117" s="146">
        <f t="shared" si="4"/>
        <v>18271</v>
      </c>
      <c r="F117" s="150">
        <f t="shared" si="5"/>
        <v>1.4372501960673261E-2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1034580</v>
      </c>
      <c r="D118" s="146">
        <v>1055032</v>
      </c>
      <c r="E118" s="146">
        <f t="shared" si="4"/>
        <v>20452</v>
      </c>
      <c r="F118" s="150">
        <f t="shared" si="5"/>
        <v>1.9768408436273657E-2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6166867</v>
      </c>
      <c r="D119" s="146">
        <v>6554124</v>
      </c>
      <c r="E119" s="146">
        <f t="shared" si="4"/>
        <v>387257</v>
      </c>
      <c r="F119" s="150">
        <f t="shared" si="5"/>
        <v>6.2796392398279388E-2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27893205</v>
      </c>
      <c r="D120" s="146">
        <v>32376620</v>
      </c>
      <c r="E120" s="146">
        <f t="shared" si="4"/>
        <v>4483415</v>
      </c>
      <c r="F120" s="150">
        <f t="shared" si="5"/>
        <v>0.16073502489226318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79883847</v>
      </c>
      <c r="D121" s="147">
        <f>SUM(D103:D120)</f>
        <v>87339088</v>
      </c>
      <c r="E121" s="147">
        <f t="shared" si="4"/>
        <v>7455241</v>
      </c>
      <c r="F121" s="148">
        <f t="shared" si="5"/>
        <v>9.3326013705874733E-2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6685581</v>
      </c>
      <c r="D124" s="146">
        <v>7152739</v>
      </c>
      <c r="E124" s="146">
        <f t="shared" ref="E124:E130" si="6">D124-C124</f>
        <v>467158</v>
      </c>
      <c r="F124" s="150">
        <f t="shared" ref="F124:F130" si="7">IF(C124=0,0,E124/C124)</f>
        <v>6.9875452858921314E-2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1840454</v>
      </c>
      <c r="D126" s="146">
        <v>1814184</v>
      </c>
      <c r="E126" s="146">
        <f t="shared" si="6"/>
        <v>-26270</v>
      </c>
      <c r="F126" s="150">
        <f t="shared" si="7"/>
        <v>-1.4273652044549877E-2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1743218</v>
      </c>
      <c r="D127" s="146">
        <v>1700454</v>
      </c>
      <c r="E127" s="146">
        <f t="shared" si="6"/>
        <v>-42764</v>
      </c>
      <c r="F127" s="150">
        <f t="shared" si="7"/>
        <v>-2.4531642055095806E-2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369372</v>
      </c>
      <c r="D128" s="146">
        <v>258241</v>
      </c>
      <c r="E128" s="146">
        <f t="shared" si="6"/>
        <v>-111131</v>
      </c>
      <c r="F128" s="150">
        <f t="shared" si="7"/>
        <v>-0.30086471091474176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10638625</v>
      </c>
      <c r="D130" s="147">
        <f>SUM(D124:D129)</f>
        <v>10925618</v>
      </c>
      <c r="E130" s="147">
        <f t="shared" si="6"/>
        <v>286993</v>
      </c>
      <c r="F130" s="148">
        <f t="shared" si="7"/>
        <v>2.697651247224148E-2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11940513</v>
      </c>
      <c r="D133" s="146">
        <v>11994151</v>
      </c>
      <c r="E133" s="146">
        <f t="shared" ref="E133:E167" si="8">D133-C133</f>
        <v>53638</v>
      </c>
      <c r="F133" s="150">
        <f t="shared" ref="F133:F167" si="9">IF(C133=0,0,E133/C133)</f>
        <v>4.4921018050062007E-3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1111554</v>
      </c>
      <c r="D134" s="146">
        <v>1129181</v>
      </c>
      <c r="E134" s="146">
        <f t="shared" si="8"/>
        <v>17627</v>
      </c>
      <c r="F134" s="150">
        <f t="shared" si="9"/>
        <v>1.5857979009566786E-2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495185</v>
      </c>
      <c r="D135" s="146">
        <v>454972</v>
      </c>
      <c r="E135" s="146">
        <f t="shared" si="8"/>
        <v>-40213</v>
      </c>
      <c r="F135" s="150">
        <f t="shared" si="9"/>
        <v>-8.1208033361269027E-2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3716232</v>
      </c>
      <c r="D136" s="146">
        <v>3853356</v>
      </c>
      <c r="E136" s="146">
        <f t="shared" si="8"/>
        <v>137124</v>
      </c>
      <c r="F136" s="150">
        <f t="shared" si="9"/>
        <v>3.6898665099487866E-2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2677872</v>
      </c>
      <c r="D137" s="146">
        <v>2590875</v>
      </c>
      <c r="E137" s="146">
        <f t="shared" si="8"/>
        <v>-86997</v>
      </c>
      <c r="F137" s="150">
        <f t="shared" si="9"/>
        <v>-3.2487363100252735E-2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651729</v>
      </c>
      <c r="D138" s="146">
        <v>723956</v>
      </c>
      <c r="E138" s="146">
        <f t="shared" si="8"/>
        <v>72227</v>
      </c>
      <c r="F138" s="150">
        <f t="shared" si="9"/>
        <v>0.11082367057473275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626616</v>
      </c>
      <c r="D140" s="146">
        <v>607171</v>
      </c>
      <c r="E140" s="146">
        <f t="shared" si="8"/>
        <v>-19445</v>
      </c>
      <c r="F140" s="150">
        <f t="shared" si="9"/>
        <v>-3.1031764270302704E-2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857473</v>
      </c>
      <c r="D141" s="146">
        <v>824965</v>
      </c>
      <c r="E141" s="146">
        <f t="shared" si="8"/>
        <v>-32508</v>
      </c>
      <c r="F141" s="150">
        <f t="shared" si="9"/>
        <v>-3.7911397793283286E-2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11956198</v>
      </c>
      <c r="D142" s="146">
        <v>11859292</v>
      </c>
      <c r="E142" s="146">
        <f t="shared" si="8"/>
        <v>-96906</v>
      </c>
      <c r="F142" s="150">
        <f t="shared" si="9"/>
        <v>-8.105084910771802E-3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1643596</v>
      </c>
      <c r="D144" s="146">
        <v>1728338</v>
      </c>
      <c r="E144" s="146">
        <f t="shared" si="8"/>
        <v>84742</v>
      </c>
      <c r="F144" s="150">
        <f t="shared" si="9"/>
        <v>5.1558898902163308E-2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198535</v>
      </c>
      <c r="D145" s="146">
        <v>193514</v>
      </c>
      <c r="E145" s="146">
        <f t="shared" si="8"/>
        <v>-5021</v>
      </c>
      <c r="F145" s="150">
        <f t="shared" si="9"/>
        <v>-2.52902510892286E-2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82771</v>
      </c>
      <c r="D146" s="146">
        <v>199096</v>
      </c>
      <c r="E146" s="146">
        <f t="shared" si="8"/>
        <v>116325</v>
      </c>
      <c r="F146" s="150">
        <f t="shared" si="9"/>
        <v>1.4053835280472629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67049</v>
      </c>
      <c r="D148" s="146">
        <v>73648</v>
      </c>
      <c r="E148" s="146">
        <f t="shared" si="8"/>
        <v>6599</v>
      </c>
      <c r="F148" s="150">
        <f t="shared" si="9"/>
        <v>9.8420558099300517E-2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4534568</v>
      </c>
      <c r="D154" s="146">
        <v>4782585</v>
      </c>
      <c r="E154" s="146">
        <f t="shared" si="8"/>
        <v>248017</v>
      </c>
      <c r="F154" s="150">
        <f t="shared" si="9"/>
        <v>5.4694736080702723E-2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181157</v>
      </c>
      <c r="D155" s="146">
        <v>141787</v>
      </c>
      <c r="E155" s="146">
        <f t="shared" si="8"/>
        <v>-39370</v>
      </c>
      <c r="F155" s="150">
        <f t="shared" si="9"/>
        <v>-0.2173253034660543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9425925</v>
      </c>
      <c r="D156" s="146">
        <v>9794772</v>
      </c>
      <c r="E156" s="146">
        <f t="shared" si="8"/>
        <v>368847</v>
      </c>
      <c r="F156" s="150">
        <f t="shared" si="9"/>
        <v>3.9131119757477385E-2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301714</v>
      </c>
      <c r="D157" s="146">
        <v>259352</v>
      </c>
      <c r="E157" s="146">
        <f t="shared" si="8"/>
        <v>-42362</v>
      </c>
      <c r="F157" s="150">
        <f t="shared" si="9"/>
        <v>-0.14040448901940247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453650</v>
      </c>
      <c r="D158" s="146">
        <v>480968</v>
      </c>
      <c r="E158" s="146">
        <f t="shared" si="8"/>
        <v>27318</v>
      </c>
      <c r="F158" s="150">
        <f t="shared" si="9"/>
        <v>6.0218229912928467E-2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2191726</v>
      </c>
      <c r="D160" s="146">
        <v>2222124</v>
      </c>
      <c r="E160" s="146">
        <f t="shared" si="8"/>
        <v>30398</v>
      </c>
      <c r="F160" s="150">
        <f t="shared" si="9"/>
        <v>1.386943440922816E-2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864162</v>
      </c>
      <c r="D161" s="146">
        <v>907990</v>
      </c>
      <c r="E161" s="146">
        <f t="shared" si="8"/>
        <v>43828</v>
      </c>
      <c r="F161" s="150">
        <f t="shared" si="9"/>
        <v>5.0717342350161197E-2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0</v>
      </c>
      <c r="D163" s="146">
        <v>0</v>
      </c>
      <c r="E163" s="146">
        <f t="shared" si="8"/>
        <v>0</v>
      </c>
      <c r="F163" s="150">
        <f t="shared" si="9"/>
        <v>0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1746537</v>
      </c>
      <c r="D164" s="146">
        <v>1791743</v>
      </c>
      <c r="E164" s="146">
        <f t="shared" si="8"/>
        <v>45206</v>
      </c>
      <c r="F164" s="150">
        <f t="shared" si="9"/>
        <v>2.5883219193180561E-2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6416241</v>
      </c>
      <c r="D166" s="146">
        <v>7082136</v>
      </c>
      <c r="E166" s="146">
        <f t="shared" si="8"/>
        <v>665895</v>
      </c>
      <c r="F166" s="150">
        <f t="shared" si="9"/>
        <v>0.10378272885946771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62141003</v>
      </c>
      <c r="D167" s="147">
        <f>SUM(D133:D166)</f>
        <v>63695972</v>
      </c>
      <c r="E167" s="147">
        <f t="shared" si="8"/>
        <v>1554969</v>
      </c>
      <c r="F167" s="148">
        <f t="shared" si="9"/>
        <v>2.5023236268008099E-2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6476320</v>
      </c>
      <c r="D170" s="146">
        <v>7029820</v>
      </c>
      <c r="E170" s="146">
        <f t="shared" ref="E170:E183" si="10">D170-C170</f>
        <v>553500</v>
      </c>
      <c r="F170" s="150">
        <f t="shared" ref="F170:F183" si="11">IF(C170=0,0,E170/C170)</f>
        <v>8.546520246065667E-2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6439869</v>
      </c>
      <c r="D171" s="146">
        <v>7133021</v>
      </c>
      <c r="E171" s="146">
        <f t="shared" si="10"/>
        <v>693152</v>
      </c>
      <c r="F171" s="150">
        <f t="shared" si="11"/>
        <v>0.10763448759594334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4007282</v>
      </c>
      <c r="D173" s="146">
        <v>4118629</v>
      </c>
      <c r="E173" s="146">
        <f t="shared" si="10"/>
        <v>111347</v>
      </c>
      <c r="F173" s="150">
        <f t="shared" si="11"/>
        <v>2.7786165286096662E-2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1251677</v>
      </c>
      <c r="D175" s="146">
        <v>1511004</v>
      </c>
      <c r="E175" s="146">
        <f t="shared" si="10"/>
        <v>259327</v>
      </c>
      <c r="F175" s="150">
        <f t="shared" si="11"/>
        <v>0.2071836424253222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1448660</v>
      </c>
      <c r="D179" s="146">
        <v>1372247</v>
      </c>
      <c r="E179" s="146">
        <f t="shared" si="10"/>
        <v>-76413</v>
      </c>
      <c r="F179" s="150">
        <f t="shared" si="11"/>
        <v>-5.2747366531829418E-2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0</v>
      </c>
      <c r="D181" s="146">
        <v>0</v>
      </c>
      <c r="E181" s="146">
        <f t="shared" si="10"/>
        <v>0</v>
      </c>
      <c r="F181" s="150">
        <f t="shared" si="11"/>
        <v>0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1035383</v>
      </c>
      <c r="D182" s="146">
        <v>1320602</v>
      </c>
      <c r="E182" s="146">
        <f t="shared" si="10"/>
        <v>285219</v>
      </c>
      <c r="F182" s="150">
        <f t="shared" si="11"/>
        <v>0.2754719751048646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20659191</v>
      </c>
      <c r="D183" s="147">
        <f>SUM(D170:D182)</f>
        <v>22485323</v>
      </c>
      <c r="E183" s="147">
        <f t="shared" si="10"/>
        <v>1826132</v>
      </c>
      <c r="F183" s="148">
        <f t="shared" si="11"/>
        <v>8.8393199907973161E-2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0</v>
      </c>
      <c r="D186" s="146">
        <v>0</v>
      </c>
      <c r="E186" s="146">
        <f>D186-C186</f>
        <v>0</v>
      </c>
      <c r="F186" s="150">
        <f>IF(C186=0,0,E186/C186)</f>
        <v>0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173322666</v>
      </c>
      <c r="D188" s="147">
        <f>+D186+D183+D167+D130+D121</f>
        <v>184446001</v>
      </c>
      <c r="E188" s="147">
        <f>D188-C188</f>
        <v>11123335</v>
      </c>
      <c r="F188" s="148">
        <f>IF(C188=0,0,E188/C188)</f>
        <v>6.4177036141366536E-2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166310748</v>
      </c>
      <c r="D11" s="164">
        <v>166602260</v>
      </c>
      <c r="E11" s="51">
        <v>175217566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10448262</v>
      </c>
      <c r="D12" s="49">
        <v>13148358</v>
      </c>
      <c r="E12" s="49">
        <v>19861936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176759010</v>
      </c>
      <c r="D13" s="51">
        <f>+D11+D12</f>
        <v>179750618</v>
      </c>
      <c r="E13" s="51">
        <f>+E11+E12</f>
        <v>195079502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170234748</v>
      </c>
      <c r="D14" s="49">
        <v>173322666</v>
      </c>
      <c r="E14" s="49">
        <v>184446001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6524262</v>
      </c>
      <c r="D15" s="51">
        <f>+D13-D14</f>
        <v>6427952</v>
      </c>
      <c r="E15" s="51">
        <f>+E13-E14</f>
        <v>10633501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-842128</v>
      </c>
      <c r="D16" s="49">
        <v>-364307</v>
      </c>
      <c r="E16" s="49">
        <v>-868637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5682134</v>
      </c>
      <c r="D17" s="51">
        <f>D15+D16</f>
        <v>6063645</v>
      </c>
      <c r="E17" s="51">
        <f>E15+E16</f>
        <v>9764864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3.7087185299248315E-2</v>
      </c>
      <c r="D20" s="169">
        <f>IF(+D27=0,0,+D24/+D27)</f>
        <v>3.5833012921482062E-2</v>
      </c>
      <c r="E20" s="169">
        <f>IF(+E27=0,0,+E24/+E27)</f>
        <v>5.4752348690687312E-2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-4.7870789342435022E-3</v>
      </c>
      <c r="D21" s="169">
        <f>IF(D27=0,0,+D26/D27)</f>
        <v>-2.0308517298178899E-3</v>
      </c>
      <c r="E21" s="169">
        <f>IF(E27=0,0,+E26/E27)</f>
        <v>-4.4726488397031751E-3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3.2300106365004806E-2</v>
      </c>
      <c r="D22" s="169">
        <f>IF(D27=0,0,+D28/D27)</f>
        <v>3.3802161191664175E-2</v>
      </c>
      <c r="E22" s="169">
        <f>IF(E27=0,0,+E28/E27)</f>
        <v>5.0279699850984134E-2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6524262</v>
      </c>
      <c r="D24" s="51">
        <f>+D15</f>
        <v>6427952</v>
      </c>
      <c r="E24" s="51">
        <f>+E15</f>
        <v>10633501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176759010</v>
      </c>
      <c r="D25" s="51">
        <f>+D13</f>
        <v>179750618</v>
      </c>
      <c r="E25" s="51">
        <f>+E13</f>
        <v>195079502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-842128</v>
      </c>
      <c r="D26" s="51">
        <f>+D16</f>
        <v>-364307</v>
      </c>
      <c r="E26" s="51">
        <f>+E16</f>
        <v>-868637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175916882</v>
      </c>
      <c r="D27" s="51">
        <f>+D25+D26</f>
        <v>179386311</v>
      </c>
      <c r="E27" s="51">
        <f>+E25+E26</f>
        <v>194210865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5682134</v>
      </c>
      <c r="D28" s="51">
        <f>+D17</f>
        <v>6063645</v>
      </c>
      <c r="E28" s="51">
        <f>+E17</f>
        <v>9764864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5363698</v>
      </c>
      <c r="D31" s="51">
        <v>3473307</v>
      </c>
      <c r="E31" s="51">
        <v>4925515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15191387</v>
      </c>
      <c r="D32" s="51">
        <v>12141642</v>
      </c>
      <c r="E32" s="51">
        <v>15005773</v>
      </c>
      <c r="F32" s="13"/>
    </row>
    <row r="33" spans="1:6" ht="24" customHeight="1" x14ac:dyDescent="0.2">
      <c r="A33" s="25">
        <v>3</v>
      </c>
      <c r="B33" s="48" t="s">
        <v>331</v>
      </c>
      <c r="C33" s="51">
        <v>-6736480</v>
      </c>
      <c r="D33" s="51">
        <f>+D32-C32</f>
        <v>-3049745</v>
      </c>
      <c r="E33" s="51">
        <f>+E32-D32</f>
        <v>2864131</v>
      </c>
      <c r="F33" s="5"/>
    </row>
    <row r="34" spans="1:6" ht="24" customHeight="1" x14ac:dyDescent="0.2">
      <c r="A34" s="25">
        <v>4</v>
      </c>
      <c r="B34" s="48" t="s">
        <v>332</v>
      </c>
      <c r="C34" s="171">
        <v>0.69269999999999998</v>
      </c>
      <c r="D34" s="171">
        <f>IF(C32=0,0,+D33/C32)</f>
        <v>-0.20075487511443163</v>
      </c>
      <c r="E34" s="171">
        <f>IF(D32=0,0,+E33/D32)</f>
        <v>0.23589321773776561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0.39622313501746625</v>
      </c>
      <c r="D38" s="172">
        <f>IF((D40+D41)=0,0,+D39/(D40+D41))</f>
        <v>0.39892967700006532</v>
      </c>
      <c r="E38" s="172">
        <f>IF((E40+E41)=0,0,+E39/(E40+E41))</f>
        <v>0.36041240491007664</v>
      </c>
      <c r="F38" s="5"/>
    </row>
    <row r="39" spans="1:6" ht="24" customHeight="1" x14ac:dyDescent="0.2">
      <c r="A39" s="21">
        <v>2</v>
      </c>
      <c r="B39" s="48" t="s">
        <v>336</v>
      </c>
      <c r="C39" s="51">
        <v>170234748</v>
      </c>
      <c r="D39" s="51">
        <v>173322666</v>
      </c>
      <c r="E39" s="23">
        <v>184446001</v>
      </c>
      <c r="F39" s="5"/>
    </row>
    <row r="40" spans="1:6" ht="24" customHeight="1" x14ac:dyDescent="0.2">
      <c r="A40" s="21">
        <v>3</v>
      </c>
      <c r="B40" s="48" t="s">
        <v>337</v>
      </c>
      <c r="C40" s="51">
        <v>419195373</v>
      </c>
      <c r="D40" s="51">
        <v>421320863</v>
      </c>
      <c r="E40" s="23">
        <v>491901806</v>
      </c>
      <c r="F40" s="5"/>
    </row>
    <row r="41" spans="1:6" ht="24" customHeight="1" x14ac:dyDescent="0.2">
      <c r="A41" s="21">
        <v>4</v>
      </c>
      <c r="B41" s="48" t="s">
        <v>338</v>
      </c>
      <c r="C41" s="51">
        <v>10448262</v>
      </c>
      <c r="D41" s="51">
        <v>13148358</v>
      </c>
      <c r="E41" s="23">
        <v>19861936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1.1929124848195167</v>
      </c>
      <c r="D43" s="173">
        <f>IF(D38=0,0,IF((D46-D47)=0,0,((+D44-D45)/(D46-D47)/D38)))</f>
        <v>1.2938166417528405</v>
      </c>
      <c r="E43" s="173">
        <f>IF(E38=0,0,IF((E46-E47)=0,0,((+E44-E45)/(E46-E47)/E38)))</f>
        <v>1.3382484568445903</v>
      </c>
      <c r="F43" s="5"/>
    </row>
    <row r="44" spans="1:6" ht="24" customHeight="1" x14ac:dyDescent="0.2">
      <c r="A44" s="21">
        <v>6</v>
      </c>
      <c r="B44" s="48" t="s">
        <v>340</v>
      </c>
      <c r="C44" s="51">
        <v>80684016</v>
      </c>
      <c r="D44" s="51">
        <v>85091498</v>
      </c>
      <c r="E44" s="23">
        <v>87693923</v>
      </c>
      <c r="F44" s="5"/>
    </row>
    <row r="45" spans="1:6" ht="24" customHeight="1" x14ac:dyDescent="0.2">
      <c r="A45" s="21">
        <v>7</v>
      </c>
      <c r="B45" s="48" t="s">
        <v>341</v>
      </c>
      <c r="C45" s="51">
        <v>3423922</v>
      </c>
      <c r="D45" s="51">
        <v>350457</v>
      </c>
      <c r="E45" s="23">
        <v>355294</v>
      </c>
      <c r="F45" s="5"/>
    </row>
    <row r="46" spans="1:6" ht="24" customHeight="1" x14ac:dyDescent="0.2">
      <c r="A46" s="21">
        <v>8</v>
      </c>
      <c r="B46" s="48" t="s">
        <v>342</v>
      </c>
      <c r="C46" s="51">
        <v>175831222</v>
      </c>
      <c r="D46" s="51">
        <v>175535197</v>
      </c>
      <c r="E46" s="23">
        <v>192665512</v>
      </c>
      <c r="F46" s="5"/>
    </row>
    <row r="47" spans="1:6" ht="24" customHeight="1" x14ac:dyDescent="0.2">
      <c r="A47" s="21">
        <v>9</v>
      </c>
      <c r="B47" s="48" t="s">
        <v>343</v>
      </c>
      <c r="C47" s="51">
        <v>12372982</v>
      </c>
      <c r="D47" s="51">
        <v>11353509</v>
      </c>
      <c r="E47" s="174">
        <v>11585761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0.86485664021465658</v>
      </c>
      <c r="D49" s="175">
        <f>IF(D38=0,0,IF(D51=0,0,(D50/D51)/D38))</f>
        <v>0.80080544545769283</v>
      </c>
      <c r="E49" s="175">
        <f>IF(E38=0,0,IF(E51=0,0,(E50/E51)/E38))</f>
        <v>0.77798002059428106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61571207</v>
      </c>
      <c r="D50" s="176">
        <v>55001262</v>
      </c>
      <c r="E50" s="176">
        <v>59414363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179677507</v>
      </c>
      <c r="D51" s="176">
        <v>172166754</v>
      </c>
      <c r="E51" s="176">
        <v>211896250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0.6743063902462294</v>
      </c>
      <c r="D53" s="175">
        <f>IF(D38=0,0,IF(D55=0,0,(D54/D55)/D38))</f>
        <v>0.64654040944529889</v>
      </c>
      <c r="E53" s="175">
        <f>IF(E38=0,0,IF(E55=0,0,(E54/E55)/E38))</f>
        <v>0.69413738902728617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12838356</v>
      </c>
      <c r="D54" s="176">
        <v>18523993</v>
      </c>
      <c r="E54" s="176">
        <v>21429106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48052093</v>
      </c>
      <c r="D55" s="176">
        <v>71819535</v>
      </c>
      <c r="E55" s="176">
        <v>85656216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3545884.8345759292</v>
      </c>
      <c r="D57" s="53">
        <f>+D60*D38</f>
        <v>4389439.5921484753</v>
      </c>
      <c r="E57" s="53">
        <f>+E60*E38</f>
        <v>4085613.3973163343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2236613</v>
      </c>
      <c r="D58" s="51">
        <v>4838371</v>
      </c>
      <c r="E58" s="52">
        <v>4953633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6712599</v>
      </c>
      <c r="D59" s="51">
        <v>6164670</v>
      </c>
      <c r="E59" s="52">
        <v>6382307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8949212</v>
      </c>
      <c r="D60" s="51">
        <v>11003041</v>
      </c>
      <c r="E60" s="52">
        <v>11335940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2.0829383402828718E-2</v>
      </c>
      <c r="D62" s="178">
        <f>IF(D63=0,0,+D57/D63)</f>
        <v>2.5325248528940095E-2</v>
      </c>
      <c r="E62" s="178">
        <f>IF(E63=0,0,+E57/E63)</f>
        <v>2.2150729076074325E-2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170234748</v>
      </c>
      <c r="D63" s="176">
        <v>173322666</v>
      </c>
      <c r="E63" s="176">
        <v>184446001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0.98109353093216056</v>
      </c>
      <c r="D67" s="179">
        <f>IF(D69=0,0,D68/D69)</f>
        <v>1.0148625504618987</v>
      </c>
      <c r="E67" s="179">
        <f>IF(E69=0,0,E68/E69)</f>
        <v>1.3114270425416319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45777884</v>
      </c>
      <c r="D68" s="180">
        <v>41209391</v>
      </c>
      <c r="E68" s="180">
        <v>46454149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46660061</v>
      </c>
      <c r="D69" s="180">
        <v>40605884</v>
      </c>
      <c r="E69" s="180">
        <v>35422595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15.707636099982826</v>
      </c>
      <c r="D71" s="181">
        <f>IF((D77/365)=0,0,+D74/(D77/365))</f>
        <v>23.893604197441864</v>
      </c>
      <c r="E71" s="181">
        <f>IF((E77/365)=0,0,+E74/(E77/365))</f>
        <v>13.187110390011412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6996083</v>
      </c>
      <c r="D72" s="182">
        <v>10880739</v>
      </c>
      <c r="E72" s="182">
        <v>6414687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6996083</v>
      </c>
      <c r="D74" s="180">
        <f>+D72+D73</f>
        <v>10880739</v>
      </c>
      <c r="E74" s="180">
        <f>+E72+E73</f>
        <v>6414687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170234748</v>
      </c>
      <c r="D75" s="180">
        <f>+D14</f>
        <v>173322666</v>
      </c>
      <c r="E75" s="180">
        <f>+E14</f>
        <v>184446001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7666028</v>
      </c>
      <c r="D76" s="180">
        <v>7107904</v>
      </c>
      <c r="E76" s="180">
        <v>6896812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162568720</v>
      </c>
      <c r="D77" s="180">
        <f>+D75-D76</f>
        <v>166214762</v>
      </c>
      <c r="E77" s="180">
        <f>+E75-E76</f>
        <v>177549189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53.956659794471015</v>
      </c>
      <c r="D79" s="179">
        <f>IF((D84/365)=0,0,+D83/(D84/365))</f>
        <v>51.951852874024638</v>
      </c>
      <c r="E79" s="179">
        <f>IF((E84/365)=0,0,+E83/(E84/365))</f>
        <v>59.87127840253185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24506769</v>
      </c>
      <c r="D80" s="189">
        <v>24700330</v>
      </c>
      <c r="E80" s="189">
        <v>26534856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359760</v>
      </c>
      <c r="D81" s="190">
        <v>432832</v>
      </c>
      <c r="E81" s="190">
        <v>3549365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281399</v>
      </c>
      <c r="D82" s="190">
        <v>1420022</v>
      </c>
      <c r="E82" s="190">
        <v>1343126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24585130</v>
      </c>
      <c r="D83" s="191">
        <f>+D80+D81-D82</f>
        <v>23713140</v>
      </c>
      <c r="E83" s="191">
        <f>+E80+E81-E82</f>
        <v>28741095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166310748</v>
      </c>
      <c r="D84" s="191">
        <f>+D11</f>
        <v>166602260</v>
      </c>
      <c r="E84" s="191">
        <f>+E11</f>
        <v>175217566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104.7613726982657</v>
      </c>
      <c r="D86" s="179">
        <f>IF((D90/365)=0,0,+D87/(D90/365))</f>
        <v>89.168660362429179</v>
      </c>
      <c r="E86" s="179">
        <f>IF((E90/365)=0,0,+E87/(E90/365))</f>
        <v>72.820649014623214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46660061</v>
      </c>
      <c r="D87" s="51">
        <f>+D69</f>
        <v>40605884</v>
      </c>
      <c r="E87" s="51">
        <f>+E69</f>
        <v>35422595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170234748</v>
      </c>
      <c r="D88" s="51">
        <f t="shared" si="0"/>
        <v>173322666</v>
      </c>
      <c r="E88" s="51">
        <f t="shared" si="0"/>
        <v>184446001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7666028</v>
      </c>
      <c r="D89" s="52">
        <f t="shared" si="0"/>
        <v>7107904</v>
      </c>
      <c r="E89" s="52">
        <f t="shared" si="0"/>
        <v>6896812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162568720</v>
      </c>
      <c r="D90" s="51">
        <f>+D88-D89</f>
        <v>166214762</v>
      </c>
      <c r="E90" s="51">
        <f>+E88-E89</f>
        <v>177549189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10.084412032352036</v>
      </c>
      <c r="D94" s="192">
        <f>IF(D96=0,0,(D95/D96)*100)</f>
        <v>8.20190089758003</v>
      </c>
      <c r="E94" s="192">
        <f>IF(E96=0,0,(E95/E96)*100)</f>
        <v>8.8232203719821563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15191387</v>
      </c>
      <c r="D95" s="51">
        <f>+D32</f>
        <v>12141642</v>
      </c>
      <c r="E95" s="51">
        <f>+E32</f>
        <v>15005773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150642268</v>
      </c>
      <c r="D96" s="51">
        <v>148034488</v>
      </c>
      <c r="E96" s="51">
        <v>170071384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14.340413036699667</v>
      </c>
      <c r="D98" s="192">
        <f>IF(D104=0,0,(D101/D104)*100)</f>
        <v>14.584070317113298</v>
      </c>
      <c r="E98" s="192">
        <f>IF(E104=0,0,(E101/E104)*100)</f>
        <v>19.130412058855853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5682134</v>
      </c>
      <c r="D99" s="51">
        <f>+D28</f>
        <v>6063645</v>
      </c>
      <c r="E99" s="51">
        <f>+E28</f>
        <v>9764864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7666028</v>
      </c>
      <c r="D100" s="52">
        <f>+D76</f>
        <v>7107904</v>
      </c>
      <c r="E100" s="52">
        <f>+E76</f>
        <v>6896812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13348162</v>
      </c>
      <c r="D101" s="51">
        <f>+D99+D100</f>
        <v>13171549</v>
      </c>
      <c r="E101" s="51">
        <f>+E99+E100</f>
        <v>16661676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46660061</v>
      </c>
      <c r="D102" s="180">
        <f>+D69</f>
        <v>40605884</v>
      </c>
      <c r="E102" s="180">
        <f>+E69</f>
        <v>35422595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46420675</v>
      </c>
      <c r="D103" s="194">
        <v>49708745</v>
      </c>
      <c r="E103" s="194">
        <v>51672633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93080736</v>
      </c>
      <c r="D104" s="180">
        <f>+D102+D103</f>
        <v>90314629</v>
      </c>
      <c r="E104" s="180">
        <f>+E102+E103</f>
        <v>87095228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75.343485501264354</v>
      </c>
      <c r="D106" s="197">
        <f>IF(D109=0,0,(D107/D109)*100)</f>
        <v>80.369335441668298</v>
      </c>
      <c r="E106" s="197">
        <f>IF(E109=0,0,(E107/E109)*100)</f>
        <v>77.495303352032735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46420675</v>
      </c>
      <c r="D107" s="180">
        <f>+D103</f>
        <v>49708745</v>
      </c>
      <c r="E107" s="180">
        <f>+E103</f>
        <v>51672633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15191387</v>
      </c>
      <c r="D108" s="180">
        <f>+D32</f>
        <v>12141642</v>
      </c>
      <c r="E108" s="180">
        <f>+E32</f>
        <v>15005773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61612062</v>
      </c>
      <c r="D109" s="180">
        <f>+D107+D108</f>
        <v>61850387</v>
      </c>
      <c r="E109" s="180">
        <f>+E107+E108</f>
        <v>66678406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2.9914303091555117</v>
      </c>
      <c r="D111" s="197">
        <f>IF((+D113+D115)=0,0,((+D112+D113+D114)/(+D113+D115)))</f>
        <v>2.1755668182982641</v>
      </c>
      <c r="E111" s="197">
        <f>IF((+E113+E115)=0,0,((+E112+E113+E114)/(+E113+E115)))</f>
        <v>1.519931344800969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5682134</v>
      </c>
      <c r="D112" s="180">
        <f>+D17</f>
        <v>6063645</v>
      </c>
      <c r="E112" s="180">
        <f>+E17</f>
        <v>9764864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2528633</v>
      </c>
      <c r="D113" s="180">
        <v>2539198</v>
      </c>
      <c r="E113" s="180">
        <v>2714044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7666028</v>
      </c>
      <c r="D114" s="180">
        <v>7107904</v>
      </c>
      <c r="E114" s="180">
        <v>6896812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2778793</v>
      </c>
      <c r="D115" s="180">
        <v>4682252</v>
      </c>
      <c r="E115" s="180">
        <v>10033716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17.084643703362421</v>
      </c>
      <c r="D119" s="197">
        <f>IF(+D121=0,0,(+D120)/(+D121))</f>
        <v>19.343894627727106</v>
      </c>
      <c r="E119" s="197">
        <f>IF(+E121=0,0,(+E120)/(+E121))</f>
        <v>20.820256373524462</v>
      </c>
    </row>
    <row r="120" spans="1:8" ht="24" customHeight="1" x14ac:dyDescent="0.25">
      <c r="A120" s="17">
        <v>21</v>
      </c>
      <c r="B120" s="48" t="s">
        <v>381</v>
      </c>
      <c r="C120" s="180">
        <v>130971357</v>
      </c>
      <c r="D120" s="180">
        <v>137494546</v>
      </c>
      <c r="E120" s="180">
        <v>143593394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7666028</v>
      </c>
      <c r="D121" s="180">
        <v>7107904</v>
      </c>
      <c r="E121" s="180">
        <v>6896812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44935</v>
      </c>
      <c r="D124" s="198">
        <v>43475</v>
      </c>
      <c r="E124" s="198">
        <v>45545</v>
      </c>
    </row>
    <row r="125" spans="1:8" ht="24" customHeight="1" x14ac:dyDescent="0.2">
      <c r="A125" s="44">
        <v>2</v>
      </c>
      <c r="B125" s="48" t="s">
        <v>385</v>
      </c>
      <c r="C125" s="198">
        <v>9109</v>
      </c>
      <c r="D125" s="198">
        <v>9281</v>
      </c>
      <c r="E125" s="198">
        <v>8831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4.9330332638050276</v>
      </c>
      <c r="D126" s="199">
        <f>IF(D125=0,0,D124/D125)</f>
        <v>4.6843012606400176</v>
      </c>
      <c r="E126" s="199">
        <f>IF(E125=0,0,E124/E125)</f>
        <v>5.1574000679424756</v>
      </c>
    </row>
    <row r="127" spans="1:8" ht="24" customHeight="1" x14ac:dyDescent="0.2">
      <c r="A127" s="44">
        <v>4</v>
      </c>
      <c r="B127" s="48" t="s">
        <v>387</v>
      </c>
      <c r="C127" s="198">
        <v>140</v>
      </c>
      <c r="D127" s="198">
        <v>171</v>
      </c>
      <c r="E127" s="198">
        <v>171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283</v>
      </c>
      <c r="E128" s="198">
        <v>283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283</v>
      </c>
      <c r="D129" s="198">
        <v>283</v>
      </c>
      <c r="E129" s="198">
        <v>283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0.87929999999999997</v>
      </c>
      <c r="D130" s="171">
        <v>0.69650000000000001</v>
      </c>
      <c r="E130" s="171">
        <v>0.72970000000000002</v>
      </c>
    </row>
    <row r="131" spans="1:8" ht="24" customHeight="1" x14ac:dyDescent="0.2">
      <c r="A131" s="44">
        <v>7</v>
      </c>
      <c r="B131" s="48" t="s">
        <v>391</v>
      </c>
      <c r="C131" s="171">
        <v>0.435</v>
      </c>
      <c r="D131" s="171">
        <v>0.42080000000000001</v>
      </c>
      <c r="E131" s="171">
        <v>0.44090000000000001</v>
      </c>
    </row>
    <row r="132" spans="1:8" ht="24" customHeight="1" x14ac:dyDescent="0.2">
      <c r="A132" s="44">
        <v>8</v>
      </c>
      <c r="B132" s="48" t="s">
        <v>392</v>
      </c>
      <c r="C132" s="199">
        <v>1146.9000000000001</v>
      </c>
      <c r="D132" s="199">
        <v>1138.9000000000001</v>
      </c>
      <c r="E132" s="199">
        <v>1075.8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0.38993331159692929</v>
      </c>
      <c r="D135" s="203">
        <f>IF(D149=0,0,D143/D149)</f>
        <v>0.38968326142444076</v>
      </c>
      <c r="E135" s="203">
        <f>IF(E149=0,0,E143/E149)</f>
        <v>0.36812174460689012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0.42862473818383484</v>
      </c>
      <c r="D136" s="203">
        <f>IF(D149=0,0,D144/D149)</f>
        <v>0.40863571951811939</v>
      </c>
      <c r="E136" s="203">
        <f>IF(E149=0,0,E144/E149)</f>
        <v>0.43076940847824413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0.11462934968988792</v>
      </c>
      <c r="D137" s="203">
        <f>IF(D149=0,0,D145/D149)</f>
        <v>0.17046280236067968</v>
      </c>
      <c r="E137" s="203">
        <f>IF(E149=0,0,E145/E149)</f>
        <v>0.17413275364148592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3.3763991474209332E-2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2.9516027124660081E-2</v>
      </c>
      <c r="D139" s="203">
        <f>IF(D149=0,0,D147/D149)</f>
        <v>2.6947417033084356E-2</v>
      </c>
      <c r="E139" s="203">
        <f>IF(E149=0,0,E147/E149)</f>
        <v>2.355299545291769E-2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3.5325819304785123E-3</v>
      </c>
      <c r="D140" s="203">
        <f>IF(D149=0,0,D148/D149)</f>
        <v>4.2707996636758049E-3</v>
      </c>
      <c r="E140" s="203">
        <f>IF(E149=0,0,E148/E149)</f>
        <v>3.4230978204621595E-3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0.99999999999999989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163458240</v>
      </c>
      <c r="D143" s="205">
        <f>+D46-D147</f>
        <v>164181688</v>
      </c>
      <c r="E143" s="205">
        <f>+E46-E147</f>
        <v>181079751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179677507</v>
      </c>
      <c r="D144" s="205">
        <f>+D51</f>
        <v>172166754</v>
      </c>
      <c r="E144" s="205">
        <f>+E51</f>
        <v>211896250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48052093</v>
      </c>
      <c r="D145" s="205">
        <f>+D55</f>
        <v>71819535</v>
      </c>
      <c r="E145" s="205">
        <f>+E55</f>
        <v>85656216</v>
      </c>
    </row>
    <row r="146" spans="1:7" ht="20.100000000000001" customHeight="1" x14ac:dyDescent="0.2">
      <c r="A146" s="202">
        <v>11</v>
      </c>
      <c r="B146" s="201" t="s">
        <v>404</v>
      </c>
      <c r="C146" s="204">
        <v>14153709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12372982</v>
      </c>
      <c r="D147" s="205">
        <f>+D47</f>
        <v>11353509</v>
      </c>
      <c r="E147" s="205">
        <f>+E47</f>
        <v>11585761</v>
      </c>
    </row>
    <row r="148" spans="1:7" ht="20.100000000000001" customHeight="1" x14ac:dyDescent="0.2">
      <c r="A148" s="202">
        <v>13</v>
      </c>
      <c r="B148" s="201" t="s">
        <v>406</v>
      </c>
      <c r="C148" s="206">
        <v>1480842</v>
      </c>
      <c r="D148" s="205">
        <v>1799377</v>
      </c>
      <c r="E148" s="205">
        <v>1683828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419195373</v>
      </c>
      <c r="D149" s="205">
        <f>SUM(D143:D148)</f>
        <v>421320863</v>
      </c>
      <c r="E149" s="205">
        <f>SUM(E143:E148)</f>
        <v>491901806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0.48606941596320485</v>
      </c>
      <c r="D152" s="203">
        <f>IF(D166=0,0,D160/D166)</f>
        <v>0.53005643924593249</v>
      </c>
      <c r="E152" s="203">
        <f>IF(E166=0,0,E160/E166)</f>
        <v>0.51513044559199894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0.38736531470748131</v>
      </c>
      <c r="D153" s="203">
        <f>IF(D166=0,0,D161/D166)</f>
        <v>0.34403369070899914</v>
      </c>
      <c r="E153" s="203">
        <f>IF(E166=0,0,E161/E166)</f>
        <v>0.35043081895360156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8.0770445384750714E-2</v>
      </c>
      <c r="D154" s="203">
        <f>IF(D166=0,0,D162/D166)</f>
        <v>0.11586784460432317</v>
      </c>
      <c r="E154" s="203">
        <f>IF(E166=0,0,E162/E166)</f>
        <v>0.12639063663820713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1.9210105570927533E-2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2.1541052834385215E-2</v>
      </c>
      <c r="D156" s="203">
        <f>IF(D166=0,0,D164/D166)</f>
        <v>2.1921136126804457E-3</v>
      </c>
      <c r="E156" s="203">
        <f>IF(E166=0,0,E164/E166)</f>
        <v>2.0955533494367504E-3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5.043665539250391E-3</v>
      </c>
      <c r="D157" s="203">
        <f>IF(D166=0,0,D165/D166)</f>
        <v>7.8499118280647637E-3</v>
      </c>
      <c r="E157" s="203">
        <f>IF(E166=0,0,E165/E166)</f>
        <v>5.9525454667555579E-3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77260094</v>
      </c>
      <c r="D160" s="208">
        <f>+D44-D164</f>
        <v>84741041</v>
      </c>
      <c r="E160" s="208">
        <f>+E44-E164</f>
        <v>87338629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61571207</v>
      </c>
      <c r="D161" s="208">
        <f>+D50</f>
        <v>55001262</v>
      </c>
      <c r="E161" s="208">
        <f>+E50</f>
        <v>59414363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12838356</v>
      </c>
      <c r="D162" s="208">
        <f>+D54</f>
        <v>18523993</v>
      </c>
      <c r="E162" s="208">
        <f>+E54</f>
        <v>21429106</v>
      </c>
    </row>
    <row r="163" spans="1:6" ht="20.100000000000001" customHeight="1" x14ac:dyDescent="0.2">
      <c r="A163" s="202">
        <v>11</v>
      </c>
      <c r="B163" s="201" t="s">
        <v>420</v>
      </c>
      <c r="C163" s="207">
        <v>3053421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3423922</v>
      </c>
      <c r="D164" s="208">
        <f>+D45</f>
        <v>350457</v>
      </c>
      <c r="E164" s="208">
        <f>+E45</f>
        <v>355294</v>
      </c>
    </row>
    <row r="165" spans="1:6" ht="20.100000000000001" customHeight="1" x14ac:dyDescent="0.2">
      <c r="A165" s="202">
        <v>13</v>
      </c>
      <c r="B165" s="201" t="s">
        <v>422</v>
      </c>
      <c r="C165" s="209">
        <v>801684</v>
      </c>
      <c r="D165" s="208">
        <v>1254979</v>
      </c>
      <c r="E165" s="208">
        <v>1009234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158948684</v>
      </c>
      <c r="D166" s="208">
        <f>SUM(D160:D165)</f>
        <v>159871732</v>
      </c>
      <c r="E166" s="208">
        <f>SUM(E160:E165)</f>
        <v>169546626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3650</v>
      </c>
      <c r="D169" s="198">
        <v>3754</v>
      </c>
      <c r="E169" s="198">
        <v>3296</v>
      </c>
    </row>
    <row r="170" spans="1:6" ht="20.100000000000001" customHeight="1" x14ac:dyDescent="0.2">
      <c r="A170" s="202">
        <v>2</v>
      </c>
      <c r="B170" s="201" t="s">
        <v>426</v>
      </c>
      <c r="C170" s="198">
        <v>3774</v>
      </c>
      <c r="D170" s="198">
        <v>3626</v>
      </c>
      <c r="E170" s="198">
        <v>3537</v>
      </c>
    </row>
    <row r="171" spans="1:6" ht="20.100000000000001" customHeight="1" x14ac:dyDescent="0.2">
      <c r="A171" s="202">
        <v>3</v>
      </c>
      <c r="B171" s="201" t="s">
        <v>427</v>
      </c>
      <c r="C171" s="198">
        <v>1651</v>
      </c>
      <c r="D171" s="198">
        <v>1854</v>
      </c>
      <c r="E171" s="198">
        <v>1957</v>
      </c>
    </row>
    <row r="172" spans="1:6" ht="20.100000000000001" customHeight="1" x14ac:dyDescent="0.2">
      <c r="A172" s="202">
        <v>4</v>
      </c>
      <c r="B172" s="201" t="s">
        <v>428</v>
      </c>
      <c r="C172" s="198">
        <v>1295</v>
      </c>
      <c r="D172" s="198">
        <v>1854</v>
      </c>
      <c r="E172" s="198">
        <v>1957</v>
      </c>
    </row>
    <row r="173" spans="1:6" ht="20.100000000000001" customHeight="1" x14ac:dyDescent="0.2">
      <c r="A173" s="202">
        <v>5</v>
      </c>
      <c r="B173" s="201" t="s">
        <v>429</v>
      </c>
      <c r="C173" s="198">
        <v>356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34</v>
      </c>
      <c r="D174" s="198">
        <v>47</v>
      </c>
      <c r="E174" s="198">
        <v>41</v>
      </c>
    </row>
    <row r="175" spans="1:6" ht="20.100000000000001" customHeight="1" x14ac:dyDescent="0.2">
      <c r="A175" s="202">
        <v>7</v>
      </c>
      <c r="B175" s="201" t="s">
        <v>431</v>
      </c>
      <c r="C175" s="198">
        <v>185</v>
      </c>
      <c r="D175" s="198">
        <v>216</v>
      </c>
      <c r="E175" s="198">
        <v>182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9109</v>
      </c>
      <c r="D176" s="198">
        <f>+D169+D170+D171+D174</f>
        <v>9281</v>
      </c>
      <c r="E176" s="198">
        <f>+E169+E170+E171+E174</f>
        <v>8831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1.01037</v>
      </c>
      <c r="D179" s="210">
        <v>0.98160000000000003</v>
      </c>
      <c r="E179" s="210">
        <v>0.98934999999999995</v>
      </c>
    </row>
    <row r="180" spans="1:6" ht="20.100000000000001" customHeight="1" x14ac:dyDescent="0.2">
      <c r="A180" s="202">
        <v>2</v>
      </c>
      <c r="B180" s="201" t="s">
        <v>426</v>
      </c>
      <c r="C180" s="210">
        <v>1.4590099999999999</v>
      </c>
      <c r="D180" s="210">
        <v>1.3673</v>
      </c>
      <c r="E180" s="210">
        <v>1.43563</v>
      </c>
    </row>
    <row r="181" spans="1:6" ht="20.100000000000001" customHeight="1" x14ac:dyDescent="0.2">
      <c r="A181" s="202">
        <v>3</v>
      </c>
      <c r="B181" s="201" t="s">
        <v>427</v>
      </c>
      <c r="C181" s="210">
        <v>0.93160600000000005</v>
      </c>
      <c r="D181" s="210">
        <v>0.92749999999999999</v>
      </c>
      <c r="E181" s="210">
        <v>0.92262999999999995</v>
      </c>
    </row>
    <row r="182" spans="1:6" ht="20.100000000000001" customHeight="1" x14ac:dyDescent="0.2">
      <c r="A182" s="202">
        <v>4</v>
      </c>
      <c r="B182" s="201" t="s">
        <v>428</v>
      </c>
      <c r="C182" s="210">
        <v>0.91630999999999996</v>
      </c>
      <c r="D182" s="210">
        <v>0.92749999999999999</v>
      </c>
      <c r="E182" s="210">
        <v>0.92262999999999995</v>
      </c>
    </row>
    <row r="183" spans="1:6" ht="20.100000000000001" customHeight="1" x14ac:dyDescent="0.2">
      <c r="A183" s="202">
        <v>5</v>
      </c>
      <c r="B183" s="201" t="s">
        <v>429</v>
      </c>
      <c r="C183" s="210">
        <v>0.98724999999999996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0.89983000000000002</v>
      </c>
      <c r="D184" s="210">
        <v>0.84570000000000001</v>
      </c>
      <c r="E184" s="210">
        <v>0.90251000000000003</v>
      </c>
    </row>
    <row r="185" spans="1:6" ht="20.100000000000001" customHeight="1" x14ac:dyDescent="0.2">
      <c r="A185" s="202">
        <v>7</v>
      </c>
      <c r="B185" s="201" t="s">
        <v>431</v>
      </c>
      <c r="C185" s="210">
        <v>1.0976300000000001</v>
      </c>
      <c r="D185" s="210">
        <v>1.0310999999999999</v>
      </c>
      <c r="E185" s="210">
        <v>1.0105299999999999</v>
      </c>
    </row>
    <row r="186" spans="1:6" ht="20.100000000000001" customHeight="1" x14ac:dyDescent="0.2">
      <c r="A186" s="202">
        <v>8</v>
      </c>
      <c r="B186" s="201" t="s">
        <v>435</v>
      </c>
      <c r="C186" s="210">
        <v>1.1815599999999999</v>
      </c>
      <c r="D186" s="210">
        <v>1.1207929999999999</v>
      </c>
      <c r="E186" s="210">
        <v>1.1529050000000001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5340</v>
      </c>
      <c r="D189" s="198">
        <v>5332</v>
      </c>
      <c r="E189" s="198">
        <v>5028</v>
      </c>
    </row>
    <row r="190" spans="1:6" ht="20.100000000000001" customHeight="1" x14ac:dyDescent="0.2">
      <c r="A190" s="202">
        <v>2</v>
      </c>
      <c r="B190" s="201" t="s">
        <v>439</v>
      </c>
      <c r="C190" s="198">
        <v>40946</v>
      </c>
      <c r="D190" s="198">
        <v>42502</v>
      </c>
      <c r="E190" s="198">
        <v>41475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46286</v>
      </c>
      <c r="D191" s="198">
        <f>+D190+D189</f>
        <v>47834</v>
      </c>
      <c r="E191" s="198">
        <f>+E190+E189</f>
        <v>46503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FILING&amp;RMANCHESTER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260985</v>
      </c>
      <c r="D14" s="237">
        <v>760024</v>
      </c>
      <c r="E14" s="237">
        <f t="shared" ref="E14:E24" si="0">D14-C14</f>
        <v>499039</v>
      </c>
      <c r="F14" s="238">
        <f t="shared" ref="F14:F24" si="1">IF(C14=0,0,E14/C14)</f>
        <v>1.9121367128379025</v>
      </c>
    </row>
    <row r="15" spans="1:7" ht="20.25" customHeight="1" x14ac:dyDescent="0.3">
      <c r="A15" s="235">
        <v>2</v>
      </c>
      <c r="B15" s="236" t="s">
        <v>447</v>
      </c>
      <c r="C15" s="237">
        <v>114065</v>
      </c>
      <c r="D15" s="237">
        <v>275046</v>
      </c>
      <c r="E15" s="237">
        <f t="shared" si="0"/>
        <v>160981</v>
      </c>
      <c r="F15" s="238">
        <f t="shared" si="1"/>
        <v>1.4113093411651252</v>
      </c>
    </row>
    <row r="16" spans="1:7" ht="20.25" customHeight="1" x14ac:dyDescent="0.3">
      <c r="A16" s="235">
        <v>3</v>
      </c>
      <c r="B16" s="236" t="s">
        <v>448</v>
      </c>
      <c r="C16" s="237">
        <v>632208</v>
      </c>
      <c r="D16" s="237">
        <v>875716</v>
      </c>
      <c r="E16" s="237">
        <f t="shared" si="0"/>
        <v>243508</v>
      </c>
      <c r="F16" s="238">
        <f t="shared" si="1"/>
        <v>0.38517070331283376</v>
      </c>
    </row>
    <row r="17" spans="1:6" ht="20.25" customHeight="1" x14ac:dyDescent="0.3">
      <c r="A17" s="235">
        <v>4</v>
      </c>
      <c r="B17" s="236" t="s">
        <v>449</v>
      </c>
      <c r="C17" s="237">
        <v>143451</v>
      </c>
      <c r="D17" s="237">
        <v>269865</v>
      </c>
      <c r="E17" s="237">
        <f t="shared" si="0"/>
        <v>126414</v>
      </c>
      <c r="F17" s="238">
        <f t="shared" si="1"/>
        <v>0.88123470732166387</v>
      </c>
    </row>
    <row r="18" spans="1:6" ht="20.25" customHeight="1" x14ac:dyDescent="0.3">
      <c r="A18" s="235">
        <v>5</v>
      </c>
      <c r="B18" s="236" t="s">
        <v>385</v>
      </c>
      <c r="C18" s="239">
        <v>17</v>
      </c>
      <c r="D18" s="239">
        <v>28</v>
      </c>
      <c r="E18" s="239">
        <f t="shared" si="0"/>
        <v>11</v>
      </c>
      <c r="F18" s="238">
        <f t="shared" si="1"/>
        <v>0.6470588235294118</v>
      </c>
    </row>
    <row r="19" spans="1:6" ht="20.25" customHeight="1" x14ac:dyDescent="0.3">
      <c r="A19" s="235">
        <v>6</v>
      </c>
      <c r="B19" s="236" t="s">
        <v>384</v>
      </c>
      <c r="C19" s="239">
        <v>63</v>
      </c>
      <c r="D19" s="239">
        <v>136</v>
      </c>
      <c r="E19" s="239">
        <f t="shared" si="0"/>
        <v>73</v>
      </c>
      <c r="F19" s="238">
        <f t="shared" si="1"/>
        <v>1.1587301587301588</v>
      </c>
    </row>
    <row r="20" spans="1:6" ht="20.25" customHeight="1" x14ac:dyDescent="0.3">
      <c r="A20" s="235">
        <v>7</v>
      </c>
      <c r="B20" s="236" t="s">
        <v>450</v>
      </c>
      <c r="C20" s="239">
        <v>476</v>
      </c>
      <c r="D20" s="239">
        <v>815</v>
      </c>
      <c r="E20" s="239">
        <f t="shared" si="0"/>
        <v>339</v>
      </c>
      <c r="F20" s="238">
        <f t="shared" si="1"/>
        <v>0.71218487394957986</v>
      </c>
    </row>
    <row r="21" spans="1:6" ht="20.25" customHeight="1" x14ac:dyDescent="0.3">
      <c r="A21" s="235">
        <v>8</v>
      </c>
      <c r="B21" s="236" t="s">
        <v>451</v>
      </c>
      <c r="C21" s="239">
        <v>39</v>
      </c>
      <c r="D21" s="239">
        <v>63</v>
      </c>
      <c r="E21" s="239">
        <f t="shared" si="0"/>
        <v>24</v>
      </c>
      <c r="F21" s="238">
        <f t="shared" si="1"/>
        <v>0.61538461538461542</v>
      </c>
    </row>
    <row r="22" spans="1:6" ht="20.25" customHeight="1" x14ac:dyDescent="0.3">
      <c r="A22" s="235">
        <v>9</v>
      </c>
      <c r="B22" s="236" t="s">
        <v>452</v>
      </c>
      <c r="C22" s="239">
        <v>24</v>
      </c>
      <c r="D22" s="239">
        <v>23</v>
      </c>
      <c r="E22" s="239">
        <f t="shared" si="0"/>
        <v>-1</v>
      </c>
      <c r="F22" s="238">
        <f t="shared" si="1"/>
        <v>-4.1666666666666664E-2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893193</v>
      </c>
      <c r="D23" s="243">
        <f>+D14+D16</f>
        <v>1635740</v>
      </c>
      <c r="E23" s="243">
        <f t="shared" si="0"/>
        <v>742547</v>
      </c>
      <c r="F23" s="244">
        <f t="shared" si="1"/>
        <v>0.83133992317449867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257516</v>
      </c>
      <c r="D24" s="243">
        <f>+D15+D17</f>
        <v>544911</v>
      </c>
      <c r="E24" s="243">
        <f t="shared" si="0"/>
        <v>287395</v>
      </c>
      <c r="F24" s="244">
        <f t="shared" si="1"/>
        <v>1.1160277419655478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43031</v>
      </c>
      <c r="D27" s="237">
        <v>0</v>
      </c>
      <c r="E27" s="237">
        <f t="shared" ref="E27:E37" si="2">D27-C27</f>
        <v>-43031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447</v>
      </c>
      <c r="C28" s="237">
        <v>21277</v>
      </c>
      <c r="D28" s="237">
        <v>0</v>
      </c>
      <c r="E28" s="237">
        <f t="shared" si="2"/>
        <v>-21277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448</v>
      </c>
      <c r="C29" s="237">
        <v>52331</v>
      </c>
      <c r="D29" s="237">
        <v>1034</v>
      </c>
      <c r="E29" s="237">
        <f t="shared" si="2"/>
        <v>-51297</v>
      </c>
      <c r="F29" s="238">
        <f t="shared" si="3"/>
        <v>-0.98024115724904937</v>
      </c>
    </row>
    <row r="30" spans="1:6" ht="20.25" customHeight="1" x14ac:dyDescent="0.3">
      <c r="A30" s="235">
        <v>4</v>
      </c>
      <c r="B30" s="236" t="s">
        <v>449</v>
      </c>
      <c r="C30" s="237">
        <v>15024</v>
      </c>
      <c r="D30" s="237">
        <v>242</v>
      </c>
      <c r="E30" s="237">
        <f t="shared" si="2"/>
        <v>-14782</v>
      </c>
      <c r="F30" s="238">
        <f t="shared" si="3"/>
        <v>-0.98389243876464327</v>
      </c>
    </row>
    <row r="31" spans="1:6" ht="20.25" customHeight="1" x14ac:dyDescent="0.3">
      <c r="A31" s="235">
        <v>5</v>
      </c>
      <c r="B31" s="236" t="s">
        <v>385</v>
      </c>
      <c r="C31" s="239">
        <v>2</v>
      </c>
      <c r="D31" s="239">
        <v>0</v>
      </c>
      <c r="E31" s="239">
        <f t="shared" si="2"/>
        <v>-2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384</v>
      </c>
      <c r="C32" s="239">
        <v>13</v>
      </c>
      <c r="D32" s="239">
        <v>0</v>
      </c>
      <c r="E32" s="239">
        <f t="shared" si="2"/>
        <v>-13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450</v>
      </c>
      <c r="C33" s="239">
        <v>42</v>
      </c>
      <c r="D33" s="239">
        <v>1</v>
      </c>
      <c r="E33" s="239">
        <f t="shared" si="2"/>
        <v>-41</v>
      </c>
      <c r="F33" s="238">
        <f t="shared" si="3"/>
        <v>-0.97619047619047616</v>
      </c>
    </row>
    <row r="34" spans="1:6" ht="20.25" customHeight="1" x14ac:dyDescent="0.3">
      <c r="A34" s="235">
        <v>8</v>
      </c>
      <c r="B34" s="236" t="s">
        <v>451</v>
      </c>
      <c r="C34" s="239">
        <v>1</v>
      </c>
      <c r="D34" s="239">
        <v>0</v>
      </c>
      <c r="E34" s="239">
        <f t="shared" si="2"/>
        <v>-1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452</v>
      </c>
      <c r="C35" s="239">
        <v>1</v>
      </c>
      <c r="D35" s="239">
        <v>0</v>
      </c>
      <c r="E35" s="239">
        <f t="shared" si="2"/>
        <v>-1</v>
      </c>
      <c r="F35" s="238">
        <f t="shared" si="3"/>
        <v>-1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95362</v>
      </c>
      <c r="D36" s="243">
        <f>+D27+D29</f>
        <v>1034</v>
      </c>
      <c r="E36" s="243">
        <f t="shared" si="2"/>
        <v>-94328</v>
      </c>
      <c r="F36" s="244">
        <f t="shared" si="3"/>
        <v>-0.98915710660430778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36301</v>
      </c>
      <c r="D37" s="243">
        <f>+D28+D30</f>
        <v>242</v>
      </c>
      <c r="E37" s="243">
        <f t="shared" si="2"/>
        <v>-36059</v>
      </c>
      <c r="F37" s="244">
        <f t="shared" si="3"/>
        <v>-0.99333351698300321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5718172</v>
      </c>
      <c r="D40" s="237">
        <v>8959933</v>
      </c>
      <c r="E40" s="237">
        <f t="shared" ref="E40:E50" si="4">D40-C40</f>
        <v>3241761</v>
      </c>
      <c r="F40" s="238">
        <f t="shared" ref="F40:F50" si="5">IF(C40=0,0,E40/C40)</f>
        <v>0.56692261093230489</v>
      </c>
    </row>
    <row r="41" spans="1:6" ht="20.25" customHeight="1" x14ac:dyDescent="0.3">
      <c r="A41" s="235">
        <v>2</v>
      </c>
      <c r="B41" s="236" t="s">
        <v>447</v>
      </c>
      <c r="C41" s="237">
        <v>2328626</v>
      </c>
      <c r="D41" s="237">
        <v>2951065</v>
      </c>
      <c r="E41" s="237">
        <f t="shared" si="4"/>
        <v>622439</v>
      </c>
      <c r="F41" s="238">
        <f t="shared" si="5"/>
        <v>0.26729882772072461</v>
      </c>
    </row>
    <row r="42" spans="1:6" ht="20.25" customHeight="1" x14ac:dyDescent="0.3">
      <c r="A42" s="235">
        <v>3</v>
      </c>
      <c r="B42" s="236" t="s">
        <v>448</v>
      </c>
      <c r="C42" s="237">
        <v>8498899</v>
      </c>
      <c r="D42" s="237">
        <v>13145518</v>
      </c>
      <c r="E42" s="237">
        <f t="shared" si="4"/>
        <v>4646619</v>
      </c>
      <c r="F42" s="238">
        <f t="shared" si="5"/>
        <v>0.54673187668190903</v>
      </c>
    </row>
    <row r="43" spans="1:6" ht="20.25" customHeight="1" x14ac:dyDescent="0.3">
      <c r="A43" s="235">
        <v>4</v>
      </c>
      <c r="B43" s="236" t="s">
        <v>449</v>
      </c>
      <c r="C43" s="237">
        <v>2344339</v>
      </c>
      <c r="D43" s="237">
        <v>3052339</v>
      </c>
      <c r="E43" s="237">
        <f t="shared" si="4"/>
        <v>708000</v>
      </c>
      <c r="F43" s="238">
        <f t="shared" si="5"/>
        <v>0.30200410435521485</v>
      </c>
    </row>
    <row r="44" spans="1:6" ht="20.25" customHeight="1" x14ac:dyDescent="0.3">
      <c r="A44" s="235">
        <v>5</v>
      </c>
      <c r="B44" s="236" t="s">
        <v>385</v>
      </c>
      <c r="C44" s="239">
        <v>229</v>
      </c>
      <c r="D44" s="239">
        <v>333</v>
      </c>
      <c r="E44" s="239">
        <f t="shared" si="4"/>
        <v>104</v>
      </c>
      <c r="F44" s="238">
        <f t="shared" si="5"/>
        <v>0.45414847161572053</v>
      </c>
    </row>
    <row r="45" spans="1:6" ht="20.25" customHeight="1" x14ac:dyDescent="0.3">
      <c r="A45" s="235">
        <v>6</v>
      </c>
      <c r="B45" s="236" t="s">
        <v>384</v>
      </c>
      <c r="C45" s="239">
        <v>1235</v>
      </c>
      <c r="D45" s="239">
        <v>1828</v>
      </c>
      <c r="E45" s="239">
        <f t="shared" si="4"/>
        <v>593</v>
      </c>
      <c r="F45" s="238">
        <f t="shared" si="5"/>
        <v>0.48016194331983808</v>
      </c>
    </row>
    <row r="46" spans="1:6" ht="20.25" customHeight="1" x14ac:dyDescent="0.3">
      <c r="A46" s="235">
        <v>7</v>
      </c>
      <c r="B46" s="236" t="s">
        <v>450</v>
      </c>
      <c r="C46" s="239">
        <v>8532</v>
      </c>
      <c r="D46" s="239">
        <v>12288</v>
      </c>
      <c r="E46" s="239">
        <f t="shared" si="4"/>
        <v>3756</v>
      </c>
      <c r="F46" s="238">
        <f t="shared" si="5"/>
        <v>0.44022503516174405</v>
      </c>
    </row>
    <row r="47" spans="1:6" ht="20.25" customHeight="1" x14ac:dyDescent="0.3">
      <c r="A47" s="235">
        <v>8</v>
      </c>
      <c r="B47" s="236" t="s">
        <v>451</v>
      </c>
      <c r="C47" s="239">
        <v>520</v>
      </c>
      <c r="D47" s="239">
        <v>657</v>
      </c>
      <c r="E47" s="239">
        <f t="shared" si="4"/>
        <v>137</v>
      </c>
      <c r="F47" s="238">
        <f t="shared" si="5"/>
        <v>0.26346153846153847</v>
      </c>
    </row>
    <row r="48" spans="1:6" ht="20.25" customHeight="1" x14ac:dyDescent="0.3">
      <c r="A48" s="235">
        <v>9</v>
      </c>
      <c r="B48" s="236" t="s">
        <v>452</v>
      </c>
      <c r="C48" s="239">
        <v>275</v>
      </c>
      <c r="D48" s="239">
        <v>255</v>
      </c>
      <c r="E48" s="239">
        <f t="shared" si="4"/>
        <v>-20</v>
      </c>
      <c r="F48" s="238">
        <f t="shared" si="5"/>
        <v>-7.2727272727272724E-2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14217071</v>
      </c>
      <c r="D49" s="243">
        <f>+D40+D42</f>
        <v>22105451</v>
      </c>
      <c r="E49" s="243">
        <f t="shared" si="4"/>
        <v>7888380</v>
      </c>
      <c r="F49" s="244">
        <f t="shared" si="5"/>
        <v>0.55485268379119723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4672965</v>
      </c>
      <c r="D50" s="243">
        <f>+D41+D43</f>
        <v>6003404</v>
      </c>
      <c r="E50" s="243">
        <f t="shared" si="4"/>
        <v>1330439</v>
      </c>
      <c r="F50" s="244">
        <f t="shared" si="5"/>
        <v>0.28470981486058639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2000376</v>
      </c>
      <c r="D53" s="237">
        <v>0</v>
      </c>
      <c r="E53" s="237">
        <f t="shared" ref="E53:E63" si="6">D53-C53</f>
        <v>-2000376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417050</v>
      </c>
      <c r="D54" s="237">
        <v>0</v>
      </c>
      <c r="E54" s="237">
        <f t="shared" si="6"/>
        <v>-417050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2058689</v>
      </c>
      <c r="D55" s="237">
        <v>0</v>
      </c>
      <c r="E55" s="237">
        <f t="shared" si="6"/>
        <v>-2058689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356407</v>
      </c>
      <c r="D56" s="237">
        <v>0</v>
      </c>
      <c r="E56" s="237">
        <f t="shared" si="6"/>
        <v>-356407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79</v>
      </c>
      <c r="D57" s="239">
        <v>0</v>
      </c>
      <c r="E57" s="239">
        <f t="shared" si="6"/>
        <v>-79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482</v>
      </c>
      <c r="D58" s="239">
        <v>0</v>
      </c>
      <c r="E58" s="239">
        <f t="shared" si="6"/>
        <v>-482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2196</v>
      </c>
      <c r="D59" s="239">
        <v>0</v>
      </c>
      <c r="E59" s="239">
        <f t="shared" si="6"/>
        <v>-2196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115</v>
      </c>
      <c r="D60" s="239">
        <v>0</v>
      </c>
      <c r="E60" s="239">
        <f t="shared" si="6"/>
        <v>-115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86</v>
      </c>
      <c r="D61" s="239">
        <v>0</v>
      </c>
      <c r="E61" s="239">
        <f t="shared" si="6"/>
        <v>-86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4059065</v>
      </c>
      <c r="D62" s="243">
        <f>+D53+D55</f>
        <v>0</v>
      </c>
      <c r="E62" s="243">
        <f t="shared" si="6"/>
        <v>-4059065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773457</v>
      </c>
      <c r="D63" s="243">
        <f>+D54+D56</f>
        <v>0</v>
      </c>
      <c r="E63" s="243">
        <f t="shared" si="6"/>
        <v>-773457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772212</v>
      </c>
      <c r="D66" s="237">
        <v>165955</v>
      </c>
      <c r="E66" s="237">
        <f t="shared" ref="E66:E76" si="8">D66-C66</f>
        <v>-606257</v>
      </c>
      <c r="F66" s="238">
        <f t="shared" ref="F66:F76" si="9">IF(C66=0,0,E66/C66)</f>
        <v>-0.78509139977104736</v>
      </c>
    </row>
    <row r="67" spans="1:6" ht="20.25" customHeight="1" x14ac:dyDescent="0.3">
      <c r="A67" s="235">
        <v>2</v>
      </c>
      <c r="B67" s="236" t="s">
        <v>447</v>
      </c>
      <c r="C67" s="237">
        <v>772212</v>
      </c>
      <c r="D67" s="237">
        <v>165955</v>
      </c>
      <c r="E67" s="237">
        <f t="shared" si="8"/>
        <v>-606257</v>
      </c>
      <c r="F67" s="238">
        <f t="shared" si="9"/>
        <v>-0.78509139977104736</v>
      </c>
    </row>
    <row r="68" spans="1:6" ht="20.25" customHeight="1" x14ac:dyDescent="0.3">
      <c r="A68" s="235">
        <v>3</v>
      </c>
      <c r="B68" s="236" t="s">
        <v>448</v>
      </c>
      <c r="C68" s="237">
        <v>908865</v>
      </c>
      <c r="D68" s="237">
        <v>106317</v>
      </c>
      <c r="E68" s="237">
        <f t="shared" si="8"/>
        <v>-802548</v>
      </c>
      <c r="F68" s="238">
        <f t="shared" si="9"/>
        <v>-0.88302223102440958</v>
      </c>
    </row>
    <row r="69" spans="1:6" ht="20.25" customHeight="1" x14ac:dyDescent="0.3">
      <c r="A69" s="235">
        <v>4</v>
      </c>
      <c r="B69" s="236" t="s">
        <v>449</v>
      </c>
      <c r="C69" s="237">
        <v>237329</v>
      </c>
      <c r="D69" s="237">
        <v>106317</v>
      </c>
      <c r="E69" s="237">
        <f t="shared" si="8"/>
        <v>-131012</v>
      </c>
      <c r="F69" s="238">
        <f t="shared" si="9"/>
        <v>-0.55202693307602524</v>
      </c>
    </row>
    <row r="70" spans="1:6" ht="20.25" customHeight="1" x14ac:dyDescent="0.3">
      <c r="A70" s="235">
        <v>5</v>
      </c>
      <c r="B70" s="236" t="s">
        <v>385</v>
      </c>
      <c r="C70" s="239">
        <v>41</v>
      </c>
      <c r="D70" s="239">
        <v>4</v>
      </c>
      <c r="E70" s="239">
        <f t="shared" si="8"/>
        <v>-37</v>
      </c>
      <c r="F70" s="238">
        <f t="shared" si="9"/>
        <v>-0.90243902439024393</v>
      </c>
    </row>
    <row r="71" spans="1:6" ht="20.25" customHeight="1" x14ac:dyDescent="0.3">
      <c r="A71" s="235">
        <v>6</v>
      </c>
      <c r="B71" s="236" t="s">
        <v>384</v>
      </c>
      <c r="C71" s="239">
        <v>181</v>
      </c>
      <c r="D71" s="239">
        <v>38</v>
      </c>
      <c r="E71" s="239">
        <f t="shared" si="8"/>
        <v>-143</v>
      </c>
      <c r="F71" s="238">
        <f t="shared" si="9"/>
        <v>-0.79005524861878451</v>
      </c>
    </row>
    <row r="72" spans="1:6" ht="20.25" customHeight="1" x14ac:dyDescent="0.3">
      <c r="A72" s="235">
        <v>7</v>
      </c>
      <c r="B72" s="236" t="s">
        <v>450</v>
      </c>
      <c r="C72" s="239">
        <v>972</v>
      </c>
      <c r="D72" s="239">
        <v>38</v>
      </c>
      <c r="E72" s="239">
        <f t="shared" si="8"/>
        <v>-934</v>
      </c>
      <c r="F72" s="238">
        <f t="shared" si="9"/>
        <v>-0.96090534979423869</v>
      </c>
    </row>
    <row r="73" spans="1:6" ht="20.25" customHeight="1" x14ac:dyDescent="0.3">
      <c r="A73" s="235">
        <v>8</v>
      </c>
      <c r="B73" s="236" t="s">
        <v>451</v>
      </c>
      <c r="C73" s="239">
        <v>127</v>
      </c>
      <c r="D73" s="239">
        <v>13</v>
      </c>
      <c r="E73" s="239">
        <f t="shared" si="8"/>
        <v>-114</v>
      </c>
      <c r="F73" s="238">
        <f t="shared" si="9"/>
        <v>-0.89763779527559051</v>
      </c>
    </row>
    <row r="74" spans="1:6" ht="20.25" customHeight="1" x14ac:dyDescent="0.3">
      <c r="A74" s="235">
        <v>9</v>
      </c>
      <c r="B74" s="236" t="s">
        <v>452</v>
      </c>
      <c r="C74" s="239">
        <v>39</v>
      </c>
      <c r="D74" s="239">
        <v>4</v>
      </c>
      <c r="E74" s="239">
        <f t="shared" si="8"/>
        <v>-35</v>
      </c>
      <c r="F74" s="238">
        <f t="shared" si="9"/>
        <v>-0.89743589743589747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1681077</v>
      </c>
      <c r="D75" s="243">
        <f>+D66+D68</f>
        <v>272272</v>
      </c>
      <c r="E75" s="243">
        <f t="shared" si="8"/>
        <v>-1408805</v>
      </c>
      <c r="F75" s="244">
        <f t="shared" si="9"/>
        <v>-0.83803716308057274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1009541</v>
      </c>
      <c r="D76" s="243">
        <f>+D67+D69</f>
        <v>272272</v>
      </c>
      <c r="E76" s="243">
        <f t="shared" si="8"/>
        <v>-737269</v>
      </c>
      <c r="F76" s="244">
        <f t="shared" si="9"/>
        <v>-0.73030119628623302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447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448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449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385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384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450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2560771</v>
      </c>
      <c r="D92" s="237">
        <v>6154510</v>
      </c>
      <c r="E92" s="237">
        <f t="shared" ref="E92:E102" si="12">D92-C92</f>
        <v>3593739</v>
      </c>
      <c r="F92" s="238">
        <f t="shared" ref="F92:F102" si="13">IF(C92=0,0,E92/C92)</f>
        <v>1.4033816377958044</v>
      </c>
    </row>
    <row r="93" spans="1:6" ht="20.25" customHeight="1" x14ac:dyDescent="0.3">
      <c r="A93" s="235">
        <v>2</v>
      </c>
      <c r="B93" s="236" t="s">
        <v>447</v>
      </c>
      <c r="C93" s="237">
        <v>1123492</v>
      </c>
      <c r="D93" s="237">
        <v>1646183</v>
      </c>
      <c r="E93" s="237">
        <f t="shared" si="12"/>
        <v>522691</v>
      </c>
      <c r="F93" s="238">
        <f t="shared" si="13"/>
        <v>0.46523784771053112</v>
      </c>
    </row>
    <row r="94" spans="1:6" ht="20.25" customHeight="1" x14ac:dyDescent="0.3">
      <c r="A94" s="235">
        <v>3</v>
      </c>
      <c r="B94" s="236" t="s">
        <v>448</v>
      </c>
      <c r="C94" s="237">
        <v>3434883</v>
      </c>
      <c r="D94" s="237">
        <v>5536276</v>
      </c>
      <c r="E94" s="237">
        <f t="shared" si="12"/>
        <v>2101393</v>
      </c>
      <c r="F94" s="238">
        <f t="shared" si="13"/>
        <v>0.61178008101003734</v>
      </c>
    </row>
    <row r="95" spans="1:6" ht="20.25" customHeight="1" x14ac:dyDescent="0.3">
      <c r="A95" s="235">
        <v>4</v>
      </c>
      <c r="B95" s="236" t="s">
        <v>449</v>
      </c>
      <c r="C95" s="237">
        <v>845939</v>
      </c>
      <c r="D95" s="237">
        <v>1216757</v>
      </c>
      <c r="E95" s="237">
        <f t="shared" si="12"/>
        <v>370818</v>
      </c>
      <c r="F95" s="238">
        <f t="shared" si="13"/>
        <v>0.43835075578735583</v>
      </c>
    </row>
    <row r="96" spans="1:6" ht="20.25" customHeight="1" x14ac:dyDescent="0.3">
      <c r="A96" s="235">
        <v>5</v>
      </c>
      <c r="B96" s="236" t="s">
        <v>385</v>
      </c>
      <c r="C96" s="239">
        <v>115</v>
      </c>
      <c r="D96" s="239">
        <v>178</v>
      </c>
      <c r="E96" s="239">
        <f t="shared" si="12"/>
        <v>63</v>
      </c>
      <c r="F96" s="238">
        <f t="shared" si="13"/>
        <v>0.54782608695652169</v>
      </c>
    </row>
    <row r="97" spans="1:6" ht="20.25" customHeight="1" x14ac:dyDescent="0.3">
      <c r="A97" s="235">
        <v>6</v>
      </c>
      <c r="B97" s="236" t="s">
        <v>384</v>
      </c>
      <c r="C97" s="239">
        <v>649</v>
      </c>
      <c r="D97" s="239">
        <v>1451</v>
      </c>
      <c r="E97" s="239">
        <f t="shared" si="12"/>
        <v>802</v>
      </c>
      <c r="F97" s="238">
        <f t="shared" si="13"/>
        <v>1.2357473035439137</v>
      </c>
    </row>
    <row r="98" spans="1:6" ht="20.25" customHeight="1" x14ac:dyDescent="0.3">
      <c r="A98" s="235">
        <v>7</v>
      </c>
      <c r="B98" s="236" t="s">
        <v>450</v>
      </c>
      <c r="C98" s="239">
        <v>2636</v>
      </c>
      <c r="D98" s="239">
        <v>4476</v>
      </c>
      <c r="E98" s="239">
        <f t="shared" si="12"/>
        <v>1840</v>
      </c>
      <c r="F98" s="238">
        <f t="shared" si="13"/>
        <v>0.69802731411229135</v>
      </c>
    </row>
    <row r="99" spans="1:6" ht="20.25" customHeight="1" x14ac:dyDescent="0.3">
      <c r="A99" s="235">
        <v>8</v>
      </c>
      <c r="B99" s="236" t="s">
        <v>451</v>
      </c>
      <c r="C99" s="239">
        <v>364</v>
      </c>
      <c r="D99" s="239">
        <v>490</v>
      </c>
      <c r="E99" s="239">
        <f t="shared" si="12"/>
        <v>126</v>
      </c>
      <c r="F99" s="238">
        <f t="shared" si="13"/>
        <v>0.34615384615384615</v>
      </c>
    </row>
    <row r="100" spans="1:6" ht="20.25" customHeight="1" x14ac:dyDescent="0.3">
      <c r="A100" s="235">
        <v>9</v>
      </c>
      <c r="B100" s="236" t="s">
        <v>452</v>
      </c>
      <c r="C100" s="239">
        <v>130</v>
      </c>
      <c r="D100" s="239">
        <v>166</v>
      </c>
      <c r="E100" s="239">
        <f t="shared" si="12"/>
        <v>36</v>
      </c>
      <c r="F100" s="238">
        <f t="shared" si="13"/>
        <v>0.27692307692307694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5995654</v>
      </c>
      <c r="D101" s="243">
        <f>+D92+D94</f>
        <v>11690786</v>
      </c>
      <c r="E101" s="243">
        <f t="shared" si="12"/>
        <v>5695132</v>
      </c>
      <c r="F101" s="244">
        <f t="shared" si="13"/>
        <v>0.9498766940187009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1969431</v>
      </c>
      <c r="D102" s="243">
        <f>+D93+D95</f>
        <v>2862940</v>
      </c>
      <c r="E102" s="243">
        <f t="shared" si="12"/>
        <v>893509</v>
      </c>
      <c r="F102" s="244">
        <f t="shared" si="13"/>
        <v>0.45368890811610052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766378</v>
      </c>
      <c r="D105" s="237">
        <v>1012762</v>
      </c>
      <c r="E105" s="237">
        <f t="shared" ref="E105:E115" si="14">D105-C105</f>
        <v>246384</v>
      </c>
      <c r="F105" s="238">
        <f t="shared" ref="F105:F115" si="15">IF(C105=0,0,E105/C105)</f>
        <v>0.32149148331502209</v>
      </c>
    </row>
    <row r="106" spans="1:6" ht="20.25" customHeight="1" x14ac:dyDescent="0.3">
      <c r="A106" s="235">
        <v>2</v>
      </c>
      <c r="B106" s="236" t="s">
        <v>447</v>
      </c>
      <c r="C106" s="237">
        <v>255980</v>
      </c>
      <c r="D106" s="237">
        <v>285860</v>
      </c>
      <c r="E106" s="237">
        <f t="shared" si="14"/>
        <v>29880</v>
      </c>
      <c r="F106" s="238">
        <f t="shared" si="15"/>
        <v>0.11672786936479412</v>
      </c>
    </row>
    <row r="107" spans="1:6" ht="20.25" customHeight="1" x14ac:dyDescent="0.3">
      <c r="A107" s="235">
        <v>3</v>
      </c>
      <c r="B107" s="236" t="s">
        <v>448</v>
      </c>
      <c r="C107" s="237">
        <v>772307</v>
      </c>
      <c r="D107" s="237">
        <v>1332743</v>
      </c>
      <c r="E107" s="237">
        <f t="shared" si="14"/>
        <v>560436</v>
      </c>
      <c r="F107" s="238">
        <f t="shared" si="15"/>
        <v>0.72566479392262406</v>
      </c>
    </row>
    <row r="108" spans="1:6" ht="20.25" customHeight="1" x14ac:dyDescent="0.3">
      <c r="A108" s="235">
        <v>4</v>
      </c>
      <c r="B108" s="236" t="s">
        <v>449</v>
      </c>
      <c r="C108" s="237">
        <v>157662</v>
      </c>
      <c r="D108" s="237">
        <v>299577</v>
      </c>
      <c r="E108" s="237">
        <f t="shared" si="14"/>
        <v>141915</v>
      </c>
      <c r="F108" s="238">
        <f t="shared" si="15"/>
        <v>0.90012177950298744</v>
      </c>
    </row>
    <row r="109" spans="1:6" ht="20.25" customHeight="1" x14ac:dyDescent="0.3">
      <c r="A109" s="235">
        <v>5</v>
      </c>
      <c r="B109" s="236" t="s">
        <v>385</v>
      </c>
      <c r="C109" s="239">
        <v>28</v>
      </c>
      <c r="D109" s="239">
        <v>33</v>
      </c>
      <c r="E109" s="239">
        <f t="shared" si="14"/>
        <v>5</v>
      </c>
      <c r="F109" s="238">
        <f t="shared" si="15"/>
        <v>0.17857142857142858</v>
      </c>
    </row>
    <row r="110" spans="1:6" ht="20.25" customHeight="1" x14ac:dyDescent="0.3">
      <c r="A110" s="235">
        <v>6</v>
      </c>
      <c r="B110" s="236" t="s">
        <v>384</v>
      </c>
      <c r="C110" s="239">
        <v>175</v>
      </c>
      <c r="D110" s="239">
        <v>207</v>
      </c>
      <c r="E110" s="239">
        <f t="shared" si="14"/>
        <v>32</v>
      </c>
      <c r="F110" s="238">
        <f t="shared" si="15"/>
        <v>0.18285714285714286</v>
      </c>
    </row>
    <row r="111" spans="1:6" ht="20.25" customHeight="1" x14ac:dyDescent="0.3">
      <c r="A111" s="235">
        <v>7</v>
      </c>
      <c r="B111" s="236" t="s">
        <v>450</v>
      </c>
      <c r="C111" s="239">
        <v>599</v>
      </c>
      <c r="D111" s="239">
        <v>982</v>
      </c>
      <c r="E111" s="239">
        <f t="shared" si="14"/>
        <v>383</v>
      </c>
      <c r="F111" s="238">
        <f t="shared" si="15"/>
        <v>0.63939899833055092</v>
      </c>
    </row>
    <row r="112" spans="1:6" ht="20.25" customHeight="1" x14ac:dyDescent="0.3">
      <c r="A112" s="235">
        <v>8</v>
      </c>
      <c r="B112" s="236" t="s">
        <v>451</v>
      </c>
      <c r="C112" s="239">
        <v>108</v>
      </c>
      <c r="D112" s="239">
        <v>137</v>
      </c>
      <c r="E112" s="239">
        <f t="shared" si="14"/>
        <v>29</v>
      </c>
      <c r="F112" s="238">
        <f t="shared" si="15"/>
        <v>0.26851851851851855</v>
      </c>
    </row>
    <row r="113" spans="1:6" ht="20.25" customHeight="1" x14ac:dyDescent="0.3">
      <c r="A113" s="235">
        <v>9</v>
      </c>
      <c r="B113" s="236" t="s">
        <v>452</v>
      </c>
      <c r="C113" s="239">
        <v>33</v>
      </c>
      <c r="D113" s="239">
        <v>22</v>
      </c>
      <c r="E113" s="239">
        <f t="shared" si="14"/>
        <v>-11</v>
      </c>
      <c r="F113" s="238">
        <f t="shared" si="15"/>
        <v>-0.33333333333333331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1538685</v>
      </c>
      <c r="D114" s="243">
        <f>+D105+D107</f>
        <v>2345505</v>
      </c>
      <c r="E114" s="243">
        <f t="shared" si="14"/>
        <v>806820</v>
      </c>
      <c r="F114" s="244">
        <f t="shared" si="15"/>
        <v>0.52435683716940118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413642</v>
      </c>
      <c r="D115" s="243">
        <f>+D106+D108</f>
        <v>585437</v>
      </c>
      <c r="E115" s="243">
        <f t="shared" si="14"/>
        <v>171795</v>
      </c>
      <c r="F115" s="244">
        <f t="shared" si="15"/>
        <v>0.41532291208339578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1233728</v>
      </c>
      <c r="D118" s="237">
        <v>2044325</v>
      </c>
      <c r="E118" s="237">
        <f t="shared" ref="E118:E128" si="16">D118-C118</f>
        <v>810597</v>
      </c>
      <c r="F118" s="238">
        <f t="shared" ref="F118:F128" si="17">IF(C118=0,0,E118/C118)</f>
        <v>0.65703056103128077</v>
      </c>
    </row>
    <row r="119" spans="1:6" ht="20.25" customHeight="1" x14ac:dyDescent="0.3">
      <c r="A119" s="235">
        <v>2</v>
      </c>
      <c r="B119" s="236" t="s">
        <v>447</v>
      </c>
      <c r="C119" s="237">
        <v>554943</v>
      </c>
      <c r="D119" s="237">
        <v>565355</v>
      </c>
      <c r="E119" s="237">
        <f t="shared" si="16"/>
        <v>10412</v>
      </c>
      <c r="F119" s="238">
        <f t="shared" si="17"/>
        <v>1.8762287297974748E-2</v>
      </c>
    </row>
    <row r="120" spans="1:6" ht="20.25" customHeight="1" x14ac:dyDescent="0.3">
      <c r="A120" s="235">
        <v>3</v>
      </c>
      <c r="B120" s="236" t="s">
        <v>448</v>
      </c>
      <c r="C120" s="237">
        <v>1978122</v>
      </c>
      <c r="D120" s="237">
        <v>2406541</v>
      </c>
      <c r="E120" s="237">
        <f t="shared" si="16"/>
        <v>428419</v>
      </c>
      <c r="F120" s="238">
        <f t="shared" si="17"/>
        <v>0.21657865389495692</v>
      </c>
    </row>
    <row r="121" spans="1:6" ht="20.25" customHeight="1" x14ac:dyDescent="0.3">
      <c r="A121" s="235">
        <v>4</v>
      </c>
      <c r="B121" s="236" t="s">
        <v>449</v>
      </c>
      <c r="C121" s="237">
        <v>445926</v>
      </c>
      <c r="D121" s="237">
        <v>528935</v>
      </c>
      <c r="E121" s="237">
        <f t="shared" si="16"/>
        <v>83009</v>
      </c>
      <c r="F121" s="238">
        <f t="shared" si="17"/>
        <v>0.1861497199086844</v>
      </c>
    </row>
    <row r="122" spans="1:6" ht="20.25" customHeight="1" x14ac:dyDescent="0.3">
      <c r="A122" s="235">
        <v>5</v>
      </c>
      <c r="B122" s="236" t="s">
        <v>385</v>
      </c>
      <c r="C122" s="239">
        <v>58</v>
      </c>
      <c r="D122" s="239">
        <v>62</v>
      </c>
      <c r="E122" s="239">
        <f t="shared" si="16"/>
        <v>4</v>
      </c>
      <c r="F122" s="238">
        <f t="shared" si="17"/>
        <v>6.8965517241379309E-2</v>
      </c>
    </row>
    <row r="123" spans="1:6" ht="20.25" customHeight="1" x14ac:dyDescent="0.3">
      <c r="A123" s="235">
        <v>6</v>
      </c>
      <c r="B123" s="236" t="s">
        <v>384</v>
      </c>
      <c r="C123" s="239">
        <v>282</v>
      </c>
      <c r="D123" s="239">
        <v>408</v>
      </c>
      <c r="E123" s="239">
        <f t="shared" si="16"/>
        <v>126</v>
      </c>
      <c r="F123" s="238">
        <f t="shared" si="17"/>
        <v>0.44680851063829785</v>
      </c>
    </row>
    <row r="124" spans="1:6" ht="20.25" customHeight="1" x14ac:dyDescent="0.3">
      <c r="A124" s="235">
        <v>7</v>
      </c>
      <c r="B124" s="236" t="s">
        <v>450</v>
      </c>
      <c r="C124" s="239">
        <v>2082</v>
      </c>
      <c r="D124" s="239">
        <v>2277</v>
      </c>
      <c r="E124" s="239">
        <f t="shared" si="16"/>
        <v>195</v>
      </c>
      <c r="F124" s="238">
        <f t="shared" si="17"/>
        <v>9.3659942363112397E-2</v>
      </c>
    </row>
    <row r="125" spans="1:6" ht="20.25" customHeight="1" x14ac:dyDescent="0.3">
      <c r="A125" s="235">
        <v>8</v>
      </c>
      <c r="B125" s="236" t="s">
        <v>451</v>
      </c>
      <c r="C125" s="239">
        <v>115</v>
      </c>
      <c r="D125" s="239">
        <v>139</v>
      </c>
      <c r="E125" s="239">
        <f t="shared" si="16"/>
        <v>24</v>
      </c>
      <c r="F125" s="238">
        <f t="shared" si="17"/>
        <v>0.20869565217391303</v>
      </c>
    </row>
    <row r="126" spans="1:6" ht="20.25" customHeight="1" x14ac:dyDescent="0.3">
      <c r="A126" s="235">
        <v>9</v>
      </c>
      <c r="B126" s="236" t="s">
        <v>452</v>
      </c>
      <c r="C126" s="239">
        <v>59</v>
      </c>
      <c r="D126" s="239">
        <v>54</v>
      </c>
      <c r="E126" s="239">
        <f t="shared" si="16"/>
        <v>-5</v>
      </c>
      <c r="F126" s="238">
        <f t="shared" si="17"/>
        <v>-8.4745762711864403E-2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3211850</v>
      </c>
      <c r="D127" s="243">
        <f>+D118+D120</f>
        <v>4450866</v>
      </c>
      <c r="E127" s="243">
        <f t="shared" si="16"/>
        <v>1239016</v>
      </c>
      <c r="F127" s="244">
        <f t="shared" si="17"/>
        <v>0.38576396780671574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1000869</v>
      </c>
      <c r="D128" s="243">
        <f>+D119+D121</f>
        <v>1094290</v>
      </c>
      <c r="E128" s="243">
        <f t="shared" si="16"/>
        <v>93421</v>
      </c>
      <c r="F128" s="244">
        <f t="shared" si="17"/>
        <v>9.3339887637642893E-2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81410</v>
      </c>
      <c r="D131" s="237">
        <v>17827</v>
      </c>
      <c r="E131" s="237">
        <f t="shared" ref="E131:E141" si="18">D131-C131</f>
        <v>-63583</v>
      </c>
      <c r="F131" s="238">
        <f t="shared" ref="F131:F141" si="19">IF(C131=0,0,E131/C131)</f>
        <v>-0.78102198747082663</v>
      </c>
    </row>
    <row r="132" spans="1:6" ht="20.25" customHeight="1" x14ac:dyDescent="0.3">
      <c r="A132" s="235">
        <v>2</v>
      </c>
      <c r="B132" s="236" t="s">
        <v>447</v>
      </c>
      <c r="C132" s="237">
        <v>29142</v>
      </c>
      <c r="D132" s="237">
        <v>5347</v>
      </c>
      <c r="E132" s="237">
        <f t="shared" si="18"/>
        <v>-23795</v>
      </c>
      <c r="F132" s="238">
        <f t="shared" si="19"/>
        <v>-0.81651911330725413</v>
      </c>
    </row>
    <row r="133" spans="1:6" ht="20.25" customHeight="1" x14ac:dyDescent="0.3">
      <c r="A133" s="235">
        <v>3</v>
      </c>
      <c r="B133" s="236" t="s">
        <v>448</v>
      </c>
      <c r="C133" s="237">
        <v>99222</v>
      </c>
      <c r="D133" s="237">
        <v>66385</v>
      </c>
      <c r="E133" s="237">
        <f t="shared" si="18"/>
        <v>-32837</v>
      </c>
      <c r="F133" s="238">
        <f t="shared" si="19"/>
        <v>-0.33094475015621533</v>
      </c>
    </row>
    <row r="134" spans="1:6" ht="20.25" customHeight="1" x14ac:dyDescent="0.3">
      <c r="A134" s="235">
        <v>4</v>
      </c>
      <c r="B134" s="236" t="s">
        <v>449</v>
      </c>
      <c r="C134" s="237">
        <v>25780</v>
      </c>
      <c r="D134" s="237">
        <v>15655</v>
      </c>
      <c r="E134" s="237">
        <f t="shared" si="18"/>
        <v>-10125</v>
      </c>
      <c r="F134" s="238">
        <f t="shared" si="19"/>
        <v>-0.39274631497284718</v>
      </c>
    </row>
    <row r="135" spans="1:6" ht="20.25" customHeight="1" x14ac:dyDescent="0.3">
      <c r="A135" s="235">
        <v>5</v>
      </c>
      <c r="B135" s="236" t="s">
        <v>385</v>
      </c>
      <c r="C135" s="239">
        <v>6</v>
      </c>
      <c r="D135" s="239">
        <v>1</v>
      </c>
      <c r="E135" s="239">
        <f t="shared" si="18"/>
        <v>-5</v>
      </c>
      <c r="F135" s="238">
        <f t="shared" si="19"/>
        <v>-0.83333333333333337</v>
      </c>
    </row>
    <row r="136" spans="1:6" ht="20.25" customHeight="1" x14ac:dyDescent="0.3">
      <c r="A136" s="235">
        <v>6</v>
      </c>
      <c r="B136" s="236" t="s">
        <v>384</v>
      </c>
      <c r="C136" s="239">
        <v>21</v>
      </c>
      <c r="D136" s="239">
        <v>8</v>
      </c>
      <c r="E136" s="239">
        <f t="shared" si="18"/>
        <v>-13</v>
      </c>
      <c r="F136" s="238">
        <f t="shared" si="19"/>
        <v>-0.61904761904761907</v>
      </c>
    </row>
    <row r="137" spans="1:6" ht="20.25" customHeight="1" x14ac:dyDescent="0.3">
      <c r="A137" s="235">
        <v>7</v>
      </c>
      <c r="B137" s="236" t="s">
        <v>450</v>
      </c>
      <c r="C137" s="239">
        <v>96</v>
      </c>
      <c r="D137" s="239">
        <v>109</v>
      </c>
      <c r="E137" s="239">
        <f t="shared" si="18"/>
        <v>13</v>
      </c>
      <c r="F137" s="238">
        <f t="shared" si="19"/>
        <v>0.13541666666666666</v>
      </c>
    </row>
    <row r="138" spans="1:6" ht="20.25" customHeight="1" x14ac:dyDescent="0.3">
      <c r="A138" s="235">
        <v>8</v>
      </c>
      <c r="B138" s="236" t="s">
        <v>451</v>
      </c>
      <c r="C138" s="239">
        <v>17</v>
      </c>
      <c r="D138" s="239">
        <v>8</v>
      </c>
      <c r="E138" s="239">
        <f t="shared" si="18"/>
        <v>-9</v>
      </c>
      <c r="F138" s="238">
        <f t="shared" si="19"/>
        <v>-0.52941176470588236</v>
      </c>
    </row>
    <row r="139" spans="1:6" ht="20.25" customHeight="1" x14ac:dyDescent="0.3">
      <c r="A139" s="235">
        <v>9</v>
      </c>
      <c r="B139" s="236" t="s">
        <v>452</v>
      </c>
      <c r="C139" s="239">
        <v>6</v>
      </c>
      <c r="D139" s="239">
        <v>1</v>
      </c>
      <c r="E139" s="239">
        <f t="shared" si="18"/>
        <v>-5</v>
      </c>
      <c r="F139" s="238">
        <f t="shared" si="19"/>
        <v>-0.83333333333333337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180632</v>
      </c>
      <c r="D140" s="243">
        <f>+D131+D133</f>
        <v>84212</v>
      </c>
      <c r="E140" s="243">
        <f t="shared" si="18"/>
        <v>-96420</v>
      </c>
      <c r="F140" s="244">
        <f t="shared" si="19"/>
        <v>-0.53379246202223307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54922</v>
      </c>
      <c r="D141" s="243">
        <f>+D132+D134</f>
        <v>21002</v>
      </c>
      <c r="E141" s="243">
        <f t="shared" si="18"/>
        <v>-33920</v>
      </c>
      <c r="F141" s="244">
        <f t="shared" si="19"/>
        <v>-0.6176031462801792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13437063</v>
      </c>
      <c r="D198" s="243">
        <f t="shared" si="28"/>
        <v>19115336</v>
      </c>
      <c r="E198" s="243">
        <f t="shared" ref="E198:E208" si="29">D198-C198</f>
        <v>5678273</v>
      </c>
      <c r="F198" s="251">
        <f t="shared" ref="F198:F208" si="30">IF(C198=0,0,E198/C198)</f>
        <v>0.42258289627725942</v>
      </c>
    </row>
    <row r="199" spans="1:9" ht="20.25" customHeight="1" x14ac:dyDescent="0.3">
      <c r="A199" s="249"/>
      <c r="B199" s="250" t="s">
        <v>473</v>
      </c>
      <c r="C199" s="243">
        <f t="shared" si="28"/>
        <v>5616787</v>
      </c>
      <c r="D199" s="243">
        <f t="shared" si="28"/>
        <v>5894811</v>
      </c>
      <c r="E199" s="243">
        <f t="shared" si="29"/>
        <v>278024</v>
      </c>
      <c r="F199" s="251">
        <f t="shared" si="30"/>
        <v>4.9498761480540387E-2</v>
      </c>
    </row>
    <row r="200" spans="1:9" ht="20.25" customHeight="1" x14ac:dyDescent="0.3">
      <c r="A200" s="249"/>
      <c r="B200" s="250" t="s">
        <v>474</v>
      </c>
      <c r="C200" s="243">
        <f t="shared" si="28"/>
        <v>18435526</v>
      </c>
      <c r="D200" s="243">
        <f t="shared" si="28"/>
        <v>23470530</v>
      </c>
      <c r="E200" s="243">
        <f t="shared" si="29"/>
        <v>5035004</v>
      </c>
      <c r="F200" s="251">
        <f t="shared" si="30"/>
        <v>0.27311420352204757</v>
      </c>
    </row>
    <row r="201" spans="1:9" ht="20.25" customHeight="1" x14ac:dyDescent="0.3">
      <c r="A201" s="249"/>
      <c r="B201" s="250" t="s">
        <v>475</v>
      </c>
      <c r="C201" s="243">
        <f t="shared" si="28"/>
        <v>4571857</v>
      </c>
      <c r="D201" s="243">
        <f t="shared" si="28"/>
        <v>5489687</v>
      </c>
      <c r="E201" s="243">
        <f t="shared" si="29"/>
        <v>917830</v>
      </c>
      <c r="F201" s="251">
        <f t="shared" si="30"/>
        <v>0.20075649785196695</v>
      </c>
    </row>
    <row r="202" spans="1:9" ht="20.25" customHeight="1" x14ac:dyDescent="0.3">
      <c r="A202" s="249"/>
      <c r="B202" s="250" t="s">
        <v>476</v>
      </c>
      <c r="C202" s="252">
        <f t="shared" si="28"/>
        <v>575</v>
      </c>
      <c r="D202" s="252">
        <f t="shared" si="28"/>
        <v>639</v>
      </c>
      <c r="E202" s="252">
        <f t="shared" si="29"/>
        <v>64</v>
      </c>
      <c r="F202" s="251">
        <f t="shared" si="30"/>
        <v>0.11130434782608696</v>
      </c>
    </row>
    <row r="203" spans="1:9" ht="20.25" customHeight="1" x14ac:dyDescent="0.3">
      <c r="A203" s="249"/>
      <c r="B203" s="250" t="s">
        <v>477</v>
      </c>
      <c r="C203" s="252">
        <f t="shared" si="28"/>
        <v>3101</v>
      </c>
      <c r="D203" s="252">
        <f t="shared" si="28"/>
        <v>4076</v>
      </c>
      <c r="E203" s="252">
        <f t="shared" si="29"/>
        <v>975</v>
      </c>
      <c r="F203" s="251">
        <f t="shared" si="30"/>
        <v>0.31441470493389229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17631</v>
      </c>
      <c r="D204" s="252">
        <f t="shared" si="28"/>
        <v>20986</v>
      </c>
      <c r="E204" s="252">
        <f t="shared" si="29"/>
        <v>3355</v>
      </c>
      <c r="F204" s="251">
        <f t="shared" si="30"/>
        <v>0.1902898304123419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1406</v>
      </c>
      <c r="D205" s="252">
        <f t="shared" si="28"/>
        <v>1507</v>
      </c>
      <c r="E205" s="252">
        <f t="shared" si="29"/>
        <v>101</v>
      </c>
      <c r="F205" s="251">
        <f t="shared" si="30"/>
        <v>7.183499288762446E-2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653</v>
      </c>
      <c r="D206" s="252">
        <f t="shared" si="28"/>
        <v>525</v>
      </c>
      <c r="E206" s="252">
        <f t="shared" si="29"/>
        <v>-128</v>
      </c>
      <c r="F206" s="251">
        <f t="shared" si="30"/>
        <v>-0.19601837672281777</v>
      </c>
    </row>
    <row r="207" spans="1:9" ht="20.25" customHeight="1" x14ac:dyDescent="0.3">
      <c r="A207" s="249"/>
      <c r="B207" s="242" t="s">
        <v>481</v>
      </c>
      <c r="C207" s="243">
        <f>+C198+C200</f>
        <v>31872589</v>
      </c>
      <c r="D207" s="243">
        <f>+D198+D200</f>
        <v>42585866</v>
      </c>
      <c r="E207" s="243">
        <f t="shared" si="29"/>
        <v>10713277</v>
      </c>
      <c r="F207" s="251">
        <f t="shared" si="30"/>
        <v>0.33612823231899985</v>
      </c>
    </row>
    <row r="208" spans="1:9" ht="20.25" customHeight="1" x14ac:dyDescent="0.3">
      <c r="A208" s="249"/>
      <c r="B208" s="242" t="s">
        <v>482</v>
      </c>
      <c r="C208" s="243">
        <f>+C199+C201</f>
        <v>10188644</v>
      </c>
      <c r="D208" s="243">
        <f>+D199+D201</f>
        <v>11384498</v>
      </c>
      <c r="E208" s="243">
        <f t="shared" si="29"/>
        <v>1195854</v>
      </c>
      <c r="F208" s="251">
        <f t="shared" si="30"/>
        <v>0.11737126157317893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4683026</v>
      </c>
      <c r="D26" s="237">
        <v>1167676</v>
      </c>
      <c r="E26" s="237">
        <f t="shared" ref="E26:E36" si="2">D26-C26</f>
        <v>-3515350</v>
      </c>
      <c r="F26" s="238">
        <f t="shared" ref="F26:F36" si="3">IF(C26=0,0,E26/C26)</f>
        <v>-0.75065780117385639</v>
      </c>
    </row>
    <row r="27" spans="1:6" ht="20.25" customHeight="1" x14ac:dyDescent="0.3">
      <c r="A27" s="235">
        <v>2</v>
      </c>
      <c r="B27" s="236" t="s">
        <v>447</v>
      </c>
      <c r="C27" s="237">
        <v>2101485</v>
      </c>
      <c r="D27" s="237">
        <v>436970</v>
      </c>
      <c r="E27" s="237">
        <f t="shared" si="2"/>
        <v>-1664515</v>
      </c>
      <c r="F27" s="238">
        <f t="shared" si="3"/>
        <v>-0.79206608660066569</v>
      </c>
    </row>
    <row r="28" spans="1:6" ht="20.25" customHeight="1" x14ac:dyDescent="0.3">
      <c r="A28" s="235">
        <v>3</v>
      </c>
      <c r="B28" s="236" t="s">
        <v>448</v>
      </c>
      <c r="C28" s="237">
        <v>13095155</v>
      </c>
      <c r="D28" s="237">
        <v>3327813</v>
      </c>
      <c r="E28" s="237">
        <f t="shared" si="2"/>
        <v>-9767342</v>
      </c>
      <c r="F28" s="238">
        <f t="shared" si="3"/>
        <v>-0.74587448563991798</v>
      </c>
    </row>
    <row r="29" spans="1:6" ht="20.25" customHeight="1" x14ac:dyDescent="0.3">
      <c r="A29" s="235">
        <v>4</v>
      </c>
      <c r="B29" s="236" t="s">
        <v>449</v>
      </c>
      <c r="C29" s="237">
        <v>2922337</v>
      </c>
      <c r="D29" s="237">
        <v>616177</v>
      </c>
      <c r="E29" s="237">
        <f t="shared" si="2"/>
        <v>-2306160</v>
      </c>
      <c r="F29" s="238">
        <f t="shared" si="3"/>
        <v>-0.78914923227540146</v>
      </c>
    </row>
    <row r="30" spans="1:6" ht="20.25" customHeight="1" x14ac:dyDescent="0.3">
      <c r="A30" s="235">
        <v>5</v>
      </c>
      <c r="B30" s="236" t="s">
        <v>385</v>
      </c>
      <c r="C30" s="239">
        <v>482</v>
      </c>
      <c r="D30" s="239">
        <v>108</v>
      </c>
      <c r="E30" s="239">
        <f t="shared" si="2"/>
        <v>-374</v>
      </c>
      <c r="F30" s="238">
        <f t="shared" si="3"/>
        <v>-0.77593360995850624</v>
      </c>
    </row>
    <row r="31" spans="1:6" ht="20.25" customHeight="1" x14ac:dyDescent="0.3">
      <c r="A31" s="235">
        <v>6</v>
      </c>
      <c r="B31" s="236" t="s">
        <v>384</v>
      </c>
      <c r="C31" s="239">
        <v>1897</v>
      </c>
      <c r="D31" s="239">
        <v>441</v>
      </c>
      <c r="E31" s="239">
        <f t="shared" si="2"/>
        <v>-1456</v>
      </c>
      <c r="F31" s="238">
        <f t="shared" si="3"/>
        <v>-0.76752767527675281</v>
      </c>
    </row>
    <row r="32" spans="1:6" ht="20.25" customHeight="1" x14ac:dyDescent="0.3">
      <c r="A32" s="235">
        <v>7</v>
      </c>
      <c r="B32" s="236" t="s">
        <v>450</v>
      </c>
      <c r="C32" s="239">
        <v>5450</v>
      </c>
      <c r="D32" s="239">
        <v>1455</v>
      </c>
      <c r="E32" s="239">
        <f t="shared" si="2"/>
        <v>-3995</v>
      </c>
      <c r="F32" s="238">
        <f t="shared" si="3"/>
        <v>-0.73302752293577977</v>
      </c>
    </row>
    <row r="33" spans="1:6" ht="20.25" customHeight="1" x14ac:dyDescent="0.3">
      <c r="A33" s="235">
        <v>8</v>
      </c>
      <c r="B33" s="236" t="s">
        <v>451</v>
      </c>
      <c r="C33" s="239">
        <v>4787</v>
      </c>
      <c r="D33" s="239">
        <v>1127</v>
      </c>
      <c r="E33" s="239">
        <f t="shared" si="2"/>
        <v>-3660</v>
      </c>
      <c r="F33" s="238">
        <f t="shared" si="3"/>
        <v>-0.76457071234593688</v>
      </c>
    </row>
    <row r="34" spans="1:6" ht="20.25" customHeight="1" x14ac:dyDescent="0.3">
      <c r="A34" s="235">
        <v>9</v>
      </c>
      <c r="B34" s="236" t="s">
        <v>452</v>
      </c>
      <c r="C34" s="239">
        <v>146</v>
      </c>
      <c r="D34" s="239">
        <v>34</v>
      </c>
      <c r="E34" s="239">
        <f t="shared" si="2"/>
        <v>-112</v>
      </c>
      <c r="F34" s="238">
        <f t="shared" si="3"/>
        <v>-0.76712328767123283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17778181</v>
      </c>
      <c r="D35" s="243">
        <f>+D26+D28</f>
        <v>4495489</v>
      </c>
      <c r="E35" s="243">
        <f t="shared" si="2"/>
        <v>-13282692</v>
      </c>
      <c r="F35" s="244">
        <f t="shared" si="3"/>
        <v>-0.74713447905609687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5023822</v>
      </c>
      <c r="D36" s="243">
        <f>+D27+D29</f>
        <v>1053147</v>
      </c>
      <c r="E36" s="243">
        <f t="shared" si="2"/>
        <v>-3970675</v>
      </c>
      <c r="F36" s="244">
        <f t="shared" si="3"/>
        <v>-0.79036936420119985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1160787</v>
      </c>
      <c r="D86" s="237">
        <v>290131</v>
      </c>
      <c r="E86" s="237">
        <f t="shared" ref="E86:E96" si="12">D86-C86</f>
        <v>-870656</v>
      </c>
      <c r="F86" s="238">
        <f t="shared" ref="F86:F96" si="13">IF(C86=0,0,E86/C86)</f>
        <v>-0.75005664260540483</v>
      </c>
    </row>
    <row r="87" spans="1:6" ht="20.25" customHeight="1" x14ac:dyDescent="0.3">
      <c r="A87" s="235">
        <v>2</v>
      </c>
      <c r="B87" s="236" t="s">
        <v>447</v>
      </c>
      <c r="C87" s="237">
        <v>456881</v>
      </c>
      <c r="D87" s="237">
        <v>85131</v>
      </c>
      <c r="E87" s="237">
        <f t="shared" si="12"/>
        <v>-371750</v>
      </c>
      <c r="F87" s="238">
        <f t="shared" si="13"/>
        <v>-0.81366920489142691</v>
      </c>
    </row>
    <row r="88" spans="1:6" ht="20.25" customHeight="1" x14ac:dyDescent="0.3">
      <c r="A88" s="235">
        <v>3</v>
      </c>
      <c r="B88" s="236" t="s">
        <v>448</v>
      </c>
      <c r="C88" s="237">
        <v>3398568</v>
      </c>
      <c r="D88" s="237">
        <v>933972</v>
      </c>
      <c r="E88" s="237">
        <f t="shared" si="12"/>
        <v>-2464596</v>
      </c>
      <c r="F88" s="238">
        <f t="shared" si="13"/>
        <v>-0.72518660800666634</v>
      </c>
    </row>
    <row r="89" spans="1:6" ht="20.25" customHeight="1" x14ac:dyDescent="0.3">
      <c r="A89" s="235">
        <v>4</v>
      </c>
      <c r="B89" s="236" t="s">
        <v>449</v>
      </c>
      <c r="C89" s="237">
        <v>795673</v>
      </c>
      <c r="D89" s="237">
        <v>158972</v>
      </c>
      <c r="E89" s="237">
        <f t="shared" si="12"/>
        <v>-636701</v>
      </c>
      <c r="F89" s="238">
        <f t="shared" si="13"/>
        <v>-0.80020435530676548</v>
      </c>
    </row>
    <row r="90" spans="1:6" ht="20.25" customHeight="1" x14ac:dyDescent="0.3">
      <c r="A90" s="235">
        <v>5</v>
      </c>
      <c r="B90" s="236" t="s">
        <v>385</v>
      </c>
      <c r="C90" s="239">
        <v>143</v>
      </c>
      <c r="D90" s="239">
        <v>23</v>
      </c>
      <c r="E90" s="239">
        <f t="shared" si="12"/>
        <v>-120</v>
      </c>
      <c r="F90" s="238">
        <f t="shared" si="13"/>
        <v>-0.83916083916083917</v>
      </c>
    </row>
    <row r="91" spans="1:6" ht="20.25" customHeight="1" x14ac:dyDescent="0.3">
      <c r="A91" s="235">
        <v>6</v>
      </c>
      <c r="B91" s="236" t="s">
        <v>384</v>
      </c>
      <c r="C91" s="239">
        <v>477</v>
      </c>
      <c r="D91" s="239">
        <v>90</v>
      </c>
      <c r="E91" s="239">
        <f t="shared" si="12"/>
        <v>-387</v>
      </c>
      <c r="F91" s="238">
        <f t="shared" si="13"/>
        <v>-0.81132075471698117</v>
      </c>
    </row>
    <row r="92" spans="1:6" ht="20.25" customHeight="1" x14ac:dyDescent="0.3">
      <c r="A92" s="235">
        <v>7</v>
      </c>
      <c r="B92" s="236" t="s">
        <v>450</v>
      </c>
      <c r="C92" s="239">
        <v>1318</v>
      </c>
      <c r="D92" s="239">
        <v>394</v>
      </c>
      <c r="E92" s="239">
        <f t="shared" si="12"/>
        <v>-924</v>
      </c>
      <c r="F92" s="238">
        <f t="shared" si="13"/>
        <v>-0.70106221547799696</v>
      </c>
    </row>
    <row r="93" spans="1:6" ht="20.25" customHeight="1" x14ac:dyDescent="0.3">
      <c r="A93" s="235">
        <v>8</v>
      </c>
      <c r="B93" s="236" t="s">
        <v>451</v>
      </c>
      <c r="C93" s="239">
        <v>1228</v>
      </c>
      <c r="D93" s="239">
        <v>307</v>
      </c>
      <c r="E93" s="239">
        <f t="shared" si="12"/>
        <v>-921</v>
      </c>
      <c r="F93" s="238">
        <f t="shared" si="13"/>
        <v>-0.75</v>
      </c>
    </row>
    <row r="94" spans="1:6" ht="20.25" customHeight="1" x14ac:dyDescent="0.3">
      <c r="A94" s="235">
        <v>9</v>
      </c>
      <c r="B94" s="236" t="s">
        <v>452</v>
      </c>
      <c r="C94" s="239">
        <v>36</v>
      </c>
      <c r="D94" s="239">
        <v>9</v>
      </c>
      <c r="E94" s="239">
        <f t="shared" si="12"/>
        <v>-27</v>
      </c>
      <c r="F94" s="238">
        <f t="shared" si="13"/>
        <v>-0.75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4559355</v>
      </c>
      <c r="D95" s="243">
        <f>+D86+D88</f>
        <v>1224103</v>
      </c>
      <c r="E95" s="243">
        <f t="shared" si="12"/>
        <v>-3335252</v>
      </c>
      <c r="F95" s="244">
        <f t="shared" si="13"/>
        <v>-0.73151838363101795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1252554</v>
      </c>
      <c r="D96" s="243">
        <f>+D87+D89</f>
        <v>244103</v>
      </c>
      <c r="E96" s="243">
        <f t="shared" si="12"/>
        <v>-1008451</v>
      </c>
      <c r="F96" s="244">
        <f t="shared" si="13"/>
        <v>-0.80511578742313705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2837775</v>
      </c>
      <c r="D98" s="237">
        <v>896434</v>
      </c>
      <c r="E98" s="237">
        <f t="shared" ref="E98:E108" si="14">D98-C98</f>
        <v>-1941341</v>
      </c>
      <c r="F98" s="238">
        <f t="shared" ref="F98:F108" si="15">IF(C98=0,0,E98/C98)</f>
        <v>-0.68410673855397275</v>
      </c>
    </row>
    <row r="99" spans="1:7" ht="20.25" customHeight="1" x14ac:dyDescent="0.3">
      <c r="A99" s="235">
        <v>2</v>
      </c>
      <c r="B99" s="236" t="s">
        <v>447</v>
      </c>
      <c r="C99" s="237">
        <v>1098727</v>
      </c>
      <c r="D99" s="237">
        <v>306048</v>
      </c>
      <c r="E99" s="237">
        <f t="shared" si="14"/>
        <v>-792679</v>
      </c>
      <c r="F99" s="238">
        <f t="shared" si="15"/>
        <v>-0.72145218967040947</v>
      </c>
    </row>
    <row r="100" spans="1:7" ht="20.25" customHeight="1" x14ac:dyDescent="0.3">
      <c r="A100" s="235">
        <v>3</v>
      </c>
      <c r="B100" s="236" t="s">
        <v>448</v>
      </c>
      <c r="C100" s="237">
        <v>8731428</v>
      </c>
      <c r="D100" s="237">
        <v>2166748</v>
      </c>
      <c r="E100" s="237">
        <f t="shared" si="14"/>
        <v>-6564680</v>
      </c>
      <c r="F100" s="238">
        <f t="shared" si="15"/>
        <v>-0.75184494449247019</v>
      </c>
    </row>
    <row r="101" spans="1:7" ht="20.25" customHeight="1" x14ac:dyDescent="0.3">
      <c r="A101" s="235">
        <v>4</v>
      </c>
      <c r="B101" s="236" t="s">
        <v>449</v>
      </c>
      <c r="C101" s="237">
        <v>1910922</v>
      </c>
      <c r="D101" s="237">
        <v>456734</v>
      </c>
      <c r="E101" s="237">
        <f t="shared" si="14"/>
        <v>-1454188</v>
      </c>
      <c r="F101" s="238">
        <f t="shared" si="15"/>
        <v>-0.7609876279617902</v>
      </c>
    </row>
    <row r="102" spans="1:7" ht="20.25" customHeight="1" x14ac:dyDescent="0.3">
      <c r="A102" s="235">
        <v>5</v>
      </c>
      <c r="B102" s="236" t="s">
        <v>385</v>
      </c>
      <c r="C102" s="239">
        <v>335</v>
      </c>
      <c r="D102" s="239">
        <v>73</v>
      </c>
      <c r="E102" s="239">
        <f t="shared" si="14"/>
        <v>-262</v>
      </c>
      <c r="F102" s="238">
        <f t="shared" si="15"/>
        <v>-0.78208955223880594</v>
      </c>
    </row>
    <row r="103" spans="1:7" ht="20.25" customHeight="1" x14ac:dyDescent="0.3">
      <c r="A103" s="235">
        <v>6</v>
      </c>
      <c r="B103" s="236" t="s">
        <v>384</v>
      </c>
      <c r="C103" s="239">
        <v>1092</v>
      </c>
      <c r="D103" s="239">
        <v>309</v>
      </c>
      <c r="E103" s="239">
        <f t="shared" si="14"/>
        <v>-783</v>
      </c>
      <c r="F103" s="238">
        <f t="shared" si="15"/>
        <v>-0.71703296703296704</v>
      </c>
    </row>
    <row r="104" spans="1:7" ht="20.25" customHeight="1" x14ac:dyDescent="0.3">
      <c r="A104" s="235">
        <v>7</v>
      </c>
      <c r="B104" s="236" t="s">
        <v>450</v>
      </c>
      <c r="C104" s="239">
        <v>3886</v>
      </c>
      <c r="D104" s="239">
        <v>1111</v>
      </c>
      <c r="E104" s="239">
        <f t="shared" si="14"/>
        <v>-2775</v>
      </c>
      <c r="F104" s="238">
        <f t="shared" si="15"/>
        <v>-0.71410190427174469</v>
      </c>
    </row>
    <row r="105" spans="1:7" ht="20.25" customHeight="1" x14ac:dyDescent="0.3">
      <c r="A105" s="235">
        <v>8</v>
      </c>
      <c r="B105" s="236" t="s">
        <v>451</v>
      </c>
      <c r="C105" s="239">
        <v>2959</v>
      </c>
      <c r="D105" s="239">
        <v>655</v>
      </c>
      <c r="E105" s="239">
        <f t="shared" si="14"/>
        <v>-2304</v>
      </c>
      <c r="F105" s="238">
        <f t="shared" si="15"/>
        <v>-0.77864143291652588</v>
      </c>
    </row>
    <row r="106" spans="1:7" ht="20.25" customHeight="1" x14ac:dyDescent="0.3">
      <c r="A106" s="235">
        <v>9</v>
      </c>
      <c r="B106" s="236" t="s">
        <v>452</v>
      </c>
      <c r="C106" s="239">
        <v>98</v>
      </c>
      <c r="D106" s="239">
        <v>26</v>
      </c>
      <c r="E106" s="239">
        <f t="shared" si="14"/>
        <v>-72</v>
      </c>
      <c r="F106" s="238">
        <f t="shared" si="15"/>
        <v>-0.73469387755102045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11569203</v>
      </c>
      <c r="D107" s="243">
        <f>+D98+D100</f>
        <v>3063182</v>
      </c>
      <c r="E107" s="243">
        <f t="shared" si="14"/>
        <v>-8506021</v>
      </c>
      <c r="F107" s="244">
        <f t="shared" si="15"/>
        <v>-0.73522964373604649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3009649</v>
      </c>
      <c r="D108" s="243">
        <f>+D99+D101</f>
        <v>762782</v>
      </c>
      <c r="E108" s="243">
        <f t="shared" si="14"/>
        <v>-2246867</v>
      </c>
      <c r="F108" s="244">
        <f t="shared" si="15"/>
        <v>-0.74655449854783729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8681588</v>
      </c>
      <c r="D112" s="243">
        <f t="shared" si="16"/>
        <v>2354241</v>
      </c>
      <c r="E112" s="243">
        <f t="shared" ref="E112:E122" si="17">D112-C112</f>
        <v>-6327347</v>
      </c>
      <c r="F112" s="244">
        <f t="shared" ref="F112:F122" si="18">IF(C112=0,0,E112/C112)</f>
        <v>-0.72882368985950496</v>
      </c>
    </row>
    <row r="113" spans="1:6" ht="20.25" customHeight="1" x14ac:dyDescent="0.3">
      <c r="A113" s="249"/>
      <c r="B113" s="250" t="s">
        <v>473</v>
      </c>
      <c r="C113" s="243">
        <f t="shared" si="16"/>
        <v>3657093</v>
      </c>
      <c r="D113" s="243">
        <f t="shared" si="16"/>
        <v>828149</v>
      </c>
      <c r="E113" s="243">
        <f t="shared" si="17"/>
        <v>-2828944</v>
      </c>
      <c r="F113" s="244">
        <f t="shared" si="18"/>
        <v>-0.77354992066102779</v>
      </c>
    </row>
    <row r="114" spans="1:6" ht="20.25" customHeight="1" x14ac:dyDescent="0.3">
      <c r="A114" s="249"/>
      <c r="B114" s="250" t="s">
        <v>474</v>
      </c>
      <c r="C114" s="243">
        <f t="shared" si="16"/>
        <v>25225151</v>
      </c>
      <c r="D114" s="243">
        <f t="shared" si="16"/>
        <v>6428533</v>
      </c>
      <c r="E114" s="243">
        <f t="shared" si="17"/>
        <v>-18796618</v>
      </c>
      <c r="F114" s="244">
        <f t="shared" si="18"/>
        <v>-0.74515383475801589</v>
      </c>
    </row>
    <row r="115" spans="1:6" ht="20.25" customHeight="1" x14ac:dyDescent="0.3">
      <c r="A115" s="249"/>
      <c r="B115" s="250" t="s">
        <v>475</v>
      </c>
      <c r="C115" s="243">
        <f t="shared" si="16"/>
        <v>5628932</v>
      </c>
      <c r="D115" s="243">
        <f t="shared" si="16"/>
        <v>1231883</v>
      </c>
      <c r="E115" s="243">
        <f t="shared" si="17"/>
        <v>-4397049</v>
      </c>
      <c r="F115" s="244">
        <f t="shared" si="18"/>
        <v>-0.78115155770224265</v>
      </c>
    </row>
    <row r="116" spans="1:6" ht="20.25" customHeight="1" x14ac:dyDescent="0.3">
      <c r="A116" s="249"/>
      <c r="B116" s="250" t="s">
        <v>476</v>
      </c>
      <c r="C116" s="252">
        <f t="shared" si="16"/>
        <v>960</v>
      </c>
      <c r="D116" s="252">
        <f t="shared" si="16"/>
        <v>204</v>
      </c>
      <c r="E116" s="252">
        <f t="shared" si="17"/>
        <v>-756</v>
      </c>
      <c r="F116" s="244">
        <f t="shared" si="18"/>
        <v>-0.78749999999999998</v>
      </c>
    </row>
    <row r="117" spans="1:6" ht="20.25" customHeight="1" x14ac:dyDescent="0.3">
      <c r="A117" s="249"/>
      <c r="B117" s="250" t="s">
        <v>477</v>
      </c>
      <c r="C117" s="252">
        <f t="shared" si="16"/>
        <v>3466</v>
      </c>
      <c r="D117" s="252">
        <f t="shared" si="16"/>
        <v>840</v>
      </c>
      <c r="E117" s="252">
        <f t="shared" si="17"/>
        <v>-2626</v>
      </c>
      <c r="F117" s="244">
        <f t="shared" si="18"/>
        <v>-0.75764570109636464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10654</v>
      </c>
      <c r="D118" s="252">
        <f t="shared" si="16"/>
        <v>2960</v>
      </c>
      <c r="E118" s="252">
        <f t="shared" si="17"/>
        <v>-7694</v>
      </c>
      <c r="F118" s="244">
        <f t="shared" si="18"/>
        <v>-0.72217007696639757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8974</v>
      </c>
      <c r="D119" s="252">
        <f t="shared" si="16"/>
        <v>2089</v>
      </c>
      <c r="E119" s="252">
        <f t="shared" si="17"/>
        <v>-6885</v>
      </c>
      <c r="F119" s="244">
        <f t="shared" si="18"/>
        <v>-0.76721640294183191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280</v>
      </c>
      <c r="D120" s="252">
        <f t="shared" si="16"/>
        <v>69</v>
      </c>
      <c r="E120" s="252">
        <f t="shared" si="17"/>
        <v>-211</v>
      </c>
      <c r="F120" s="244">
        <f t="shared" si="18"/>
        <v>-0.75357142857142856</v>
      </c>
    </row>
    <row r="121" spans="1:6" ht="39.950000000000003" customHeight="1" x14ac:dyDescent="0.3">
      <c r="A121" s="249"/>
      <c r="B121" s="242" t="s">
        <v>453</v>
      </c>
      <c r="C121" s="243">
        <f>+C112+C114</f>
        <v>33906739</v>
      </c>
      <c r="D121" s="243">
        <f>+D112+D114</f>
        <v>8782774</v>
      </c>
      <c r="E121" s="243">
        <f t="shared" si="17"/>
        <v>-25123965</v>
      </c>
      <c r="F121" s="244">
        <f t="shared" si="18"/>
        <v>-0.7409726131433636</v>
      </c>
    </row>
    <row r="122" spans="1:6" ht="39.950000000000003" customHeight="1" x14ac:dyDescent="0.3">
      <c r="A122" s="249"/>
      <c r="B122" s="242" t="s">
        <v>482</v>
      </c>
      <c r="C122" s="243">
        <f>+C113+C115</f>
        <v>9286025</v>
      </c>
      <c r="D122" s="243">
        <f>+D113+D115</f>
        <v>2060032</v>
      </c>
      <c r="E122" s="243">
        <f t="shared" si="17"/>
        <v>-7225993</v>
      </c>
      <c r="F122" s="244">
        <f t="shared" si="18"/>
        <v>-0.77815782318053206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20991180</v>
      </c>
      <c r="D13" s="23">
        <v>20052067</v>
      </c>
      <c r="E13" s="23">
        <f t="shared" ref="E13:E22" si="0">D13-C13</f>
        <v>-939113</v>
      </c>
      <c r="F13" s="24">
        <f t="shared" ref="F13:F22" si="1">IF(C13=0,0,E13/C13)</f>
        <v>-4.4738456818530448E-2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39643428</v>
      </c>
      <c r="D15" s="23">
        <v>46711256</v>
      </c>
      <c r="E15" s="23">
        <f t="shared" si="0"/>
        <v>7067828</v>
      </c>
      <c r="F15" s="24">
        <f t="shared" si="1"/>
        <v>0.17828498584935693</v>
      </c>
    </row>
    <row r="16" spans="1:8" ht="35.1" customHeight="1" x14ac:dyDescent="0.2">
      <c r="A16" s="21">
        <v>4</v>
      </c>
      <c r="B16" s="22" t="s">
        <v>19</v>
      </c>
      <c r="C16" s="23">
        <v>1504988</v>
      </c>
      <c r="D16" s="23">
        <v>5435445</v>
      </c>
      <c r="E16" s="23">
        <f t="shared" si="0"/>
        <v>3930457</v>
      </c>
      <c r="F16" s="24">
        <f t="shared" si="1"/>
        <v>2.611620159097614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432832</v>
      </c>
      <c r="D18" s="23">
        <v>4402920</v>
      </c>
      <c r="E18" s="23">
        <f t="shared" si="0"/>
        <v>3970088</v>
      </c>
      <c r="F18" s="24">
        <f t="shared" si="1"/>
        <v>9.1723532456010641</v>
      </c>
    </row>
    <row r="19" spans="1:11" ht="24" customHeight="1" x14ac:dyDescent="0.2">
      <c r="A19" s="21">
        <v>7</v>
      </c>
      <c r="B19" s="22" t="s">
        <v>22</v>
      </c>
      <c r="C19" s="23">
        <v>4228568</v>
      </c>
      <c r="D19" s="23">
        <v>4253600</v>
      </c>
      <c r="E19" s="23">
        <f t="shared" si="0"/>
        <v>25032</v>
      </c>
      <c r="F19" s="24">
        <f t="shared" si="1"/>
        <v>5.9197345295144838E-3</v>
      </c>
    </row>
    <row r="20" spans="1:11" ht="24" customHeight="1" x14ac:dyDescent="0.2">
      <c r="A20" s="21">
        <v>8</v>
      </c>
      <c r="B20" s="22" t="s">
        <v>23</v>
      </c>
      <c r="C20" s="23">
        <v>4345929</v>
      </c>
      <c r="D20" s="23">
        <v>5020607</v>
      </c>
      <c r="E20" s="23">
        <f t="shared" si="0"/>
        <v>674678</v>
      </c>
      <c r="F20" s="24">
        <f t="shared" si="1"/>
        <v>0.15524367747379214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71146925</v>
      </c>
      <c r="D22" s="27">
        <f>SUM(D13:D21)</f>
        <v>85875895</v>
      </c>
      <c r="E22" s="27">
        <f t="shared" si="0"/>
        <v>14728970</v>
      </c>
      <c r="F22" s="28">
        <f t="shared" si="1"/>
        <v>0.20702187761452798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6688165</v>
      </c>
      <c r="D25" s="23">
        <v>12342602</v>
      </c>
      <c r="E25" s="23">
        <f>D25-C25</f>
        <v>5654437</v>
      </c>
      <c r="F25" s="24">
        <f>IF(C25=0,0,E25/C25)</f>
        <v>0.84543921987570581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5900811</v>
      </c>
      <c r="D26" s="23">
        <v>0</v>
      </c>
      <c r="E26" s="23">
        <f>D26-C26</f>
        <v>-5900811</v>
      </c>
      <c r="F26" s="24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8891170</v>
      </c>
      <c r="D27" s="23">
        <v>0</v>
      </c>
      <c r="E27" s="23">
        <f>D27-C27</f>
        <v>-8891170</v>
      </c>
      <c r="F27" s="24">
        <f>IF(C27=0,0,E27/C27)</f>
        <v>-1</v>
      </c>
    </row>
    <row r="28" spans="1:11" ht="35.1" customHeight="1" x14ac:dyDescent="0.2">
      <c r="A28" s="21">
        <v>4</v>
      </c>
      <c r="B28" s="22" t="s">
        <v>31</v>
      </c>
      <c r="C28" s="23">
        <v>25643372</v>
      </c>
      <c r="D28" s="23">
        <v>42086540</v>
      </c>
      <c r="E28" s="23">
        <f>D28-C28</f>
        <v>16443168</v>
      </c>
      <c r="F28" s="24">
        <f>IF(C28=0,0,E28/C28)</f>
        <v>0.64122487479415735</v>
      </c>
    </row>
    <row r="29" spans="1:11" ht="35.1" customHeight="1" x14ac:dyDescent="0.25">
      <c r="A29" s="25"/>
      <c r="B29" s="26" t="s">
        <v>32</v>
      </c>
      <c r="C29" s="27">
        <f>SUM(C25:C28)</f>
        <v>47123518</v>
      </c>
      <c r="D29" s="27">
        <f>SUM(D25:D28)</f>
        <v>54429142</v>
      </c>
      <c r="E29" s="27">
        <f>D29-C29</f>
        <v>7305624</v>
      </c>
      <c r="F29" s="28">
        <f>IF(C29=0,0,E29/C29)</f>
        <v>0.15503137944836801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33914265</v>
      </c>
      <c r="D32" s="23">
        <v>35011140</v>
      </c>
      <c r="E32" s="23">
        <f>D32-C32</f>
        <v>1096875</v>
      </c>
      <c r="F32" s="24">
        <f>IF(C32=0,0,E32/C32)</f>
        <v>3.2342585044965594E-2</v>
      </c>
    </row>
    <row r="33" spans="1:8" ht="24" customHeight="1" x14ac:dyDescent="0.2">
      <c r="A33" s="21">
        <v>7</v>
      </c>
      <c r="B33" s="22" t="s">
        <v>35</v>
      </c>
      <c r="C33" s="23">
        <v>13915384</v>
      </c>
      <c r="D33" s="23">
        <v>11678494</v>
      </c>
      <c r="E33" s="23">
        <f>D33-C33</f>
        <v>-2236890</v>
      </c>
      <c r="F33" s="24">
        <f>IF(C33=0,0,E33/C33)</f>
        <v>-0.16074942667769715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298818948</v>
      </c>
      <c r="D36" s="23">
        <v>313325973</v>
      </c>
      <c r="E36" s="23">
        <f>D36-C36</f>
        <v>14507025</v>
      </c>
      <c r="F36" s="24">
        <f>IF(C36=0,0,E36/C36)</f>
        <v>4.8547875217069568E-2</v>
      </c>
    </row>
    <row r="37" spans="1:8" ht="24" customHeight="1" x14ac:dyDescent="0.2">
      <c r="A37" s="21">
        <v>2</v>
      </c>
      <c r="B37" s="22" t="s">
        <v>39</v>
      </c>
      <c r="C37" s="23">
        <v>205118802</v>
      </c>
      <c r="D37" s="23">
        <v>219601454</v>
      </c>
      <c r="E37" s="23">
        <f>D37-C37</f>
        <v>14482652</v>
      </c>
      <c r="F37" s="23">
        <f>IF(C37=0,0,E37/C37)</f>
        <v>7.0606165104259919E-2</v>
      </c>
    </row>
    <row r="38" spans="1:8" ht="24" customHeight="1" x14ac:dyDescent="0.25">
      <c r="A38" s="25"/>
      <c r="B38" s="26" t="s">
        <v>40</v>
      </c>
      <c r="C38" s="27">
        <f>C36-C37</f>
        <v>93700146</v>
      </c>
      <c r="D38" s="27">
        <f>D36-D37</f>
        <v>93724519</v>
      </c>
      <c r="E38" s="27">
        <f>D38-C38</f>
        <v>24373</v>
      </c>
      <c r="F38" s="28">
        <f>IF(C38=0,0,E38/C38)</f>
        <v>2.6011699063948094E-4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2489451</v>
      </c>
      <c r="D40" s="23">
        <v>2570935</v>
      </c>
      <c r="E40" s="23">
        <f>D40-C40</f>
        <v>81484</v>
      </c>
      <c r="F40" s="24">
        <f>IF(C40=0,0,E40/C40)</f>
        <v>3.2731714743531808E-2</v>
      </c>
    </row>
    <row r="41" spans="1:8" ht="24" customHeight="1" x14ac:dyDescent="0.25">
      <c r="A41" s="25"/>
      <c r="B41" s="26" t="s">
        <v>42</v>
      </c>
      <c r="C41" s="27">
        <f>+C38+C40</f>
        <v>96189597</v>
      </c>
      <c r="D41" s="27">
        <f>+D38+D40</f>
        <v>96295454</v>
      </c>
      <c r="E41" s="27">
        <f>D41-C41</f>
        <v>105857</v>
      </c>
      <c r="F41" s="28">
        <f>IF(C41=0,0,E41/C41)</f>
        <v>1.1005036230685111E-3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262289689</v>
      </c>
      <c r="D43" s="27">
        <f>D22+D29+D31+D32+D33+D41</f>
        <v>283290125</v>
      </c>
      <c r="E43" s="27">
        <f>D43-C43</f>
        <v>21000436</v>
      </c>
      <c r="F43" s="28">
        <f>IF(C43=0,0,E43/C43)</f>
        <v>8.0065808458067142E-2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20356213</v>
      </c>
      <c r="D49" s="23">
        <v>25121249</v>
      </c>
      <c r="E49" s="23">
        <f t="shared" ref="E49:E56" si="2">D49-C49</f>
        <v>4765036</v>
      </c>
      <c r="F49" s="24">
        <f t="shared" ref="F49:F56" si="3">IF(C49=0,0,E49/C49)</f>
        <v>0.23408263609739199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3261932</v>
      </c>
      <c r="D50" s="23">
        <v>5609427</v>
      </c>
      <c r="E50" s="23">
        <f t="shared" si="2"/>
        <v>2347495</v>
      </c>
      <c r="F50" s="24">
        <f t="shared" si="3"/>
        <v>0.71966399054302788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2104534</v>
      </c>
      <c r="D51" s="23">
        <v>2793775</v>
      </c>
      <c r="E51" s="23">
        <f t="shared" si="2"/>
        <v>689241</v>
      </c>
      <c r="F51" s="24">
        <f t="shared" si="3"/>
        <v>0.32750290563136542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10595265</v>
      </c>
      <c r="D53" s="23">
        <v>8831469</v>
      </c>
      <c r="E53" s="23">
        <f t="shared" si="2"/>
        <v>-1763796</v>
      </c>
      <c r="F53" s="24">
        <f t="shared" si="3"/>
        <v>-0.16647021098575637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3329824</v>
      </c>
      <c r="D54" s="23">
        <v>4572885</v>
      </c>
      <c r="E54" s="23">
        <f t="shared" si="2"/>
        <v>1243061</v>
      </c>
      <c r="F54" s="24">
        <f t="shared" si="3"/>
        <v>0.37331132215997004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17030017</v>
      </c>
      <c r="D55" s="23">
        <v>12050537</v>
      </c>
      <c r="E55" s="23">
        <f t="shared" si="2"/>
        <v>-4979480</v>
      </c>
      <c r="F55" s="24">
        <f t="shared" si="3"/>
        <v>-0.29239430588941867</v>
      </c>
    </row>
    <row r="56" spans="1:6" ht="24" customHeight="1" x14ac:dyDescent="0.25">
      <c r="A56" s="25"/>
      <c r="B56" s="26" t="s">
        <v>54</v>
      </c>
      <c r="C56" s="27">
        <f>SUM(C49:C55)</f>
        <v>56677785</v>
      </c>
      <c r="D56" s="27">
        <f>SUM(D49:D55)</f>
        <v>58979342</v>
      </c>
      <c r="E56" s="27">
        <f t="shared" si="2"/>
        <v>2301557</v>
      </c>
      <c r="F56" s="28">
        <f t="shared" si="3"/>
        <v>4.0607744286407808E-2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78175743</v>
      </c>
      <c r="D59" s="23">
        <v>74496875</v>
      </c>
      <c r="E59" s="23">
        <f>D59-C59</f>
        <v>-3678868</v>
      </c>
      <c r="F59" s="24">
        <f>IF(C59=0,0,E59/C59)</f>
        <v>-4.7058945125727808E-2</v>
      </c>
    </row>
    <row r="60" spans="1:6" ht="24" customHeight="1" x14ac:dyDescent="0.2">
      <c r="A60" s="21">
        <v>2</v>
      </c>
      <c r="B60" s="22" t="s">
        <v>57</v>
      </c>
      <c r="C60" s="23">
        <v>8459422</v>
      </c>
      <c r="D60" s="23">
        <v>13044874</v>
      </c>
      <c r="E60" s="23">
        <f>D60-C60</f>
        <v>4585452</v>
      </c>
      <c r="F60" s="24">
        <f>IF(C60=0,0,E60/C60)</f>
        <v>0.54205263669314518</v>
      </c>
    </row>
    <row r="61" spans="1:6" ht="24" customHeight="1" x14ac:dyDescent="0.25">
      <c r="A61" s="25"/>
      <c r="B61" s="26" t="s">
        <v>58</v>
      </c>
      <c r="C61" s="27">
        <f>SUM(C59:C60)</f>
        <v>86635165</v>
      </c>
      <c r="D61" s="27">
        <f>SUM(D59:D60)</f>
        <v>87541749</v>
      </c>
      <c r="E61" s="27">
        <f>D61-C61</f>
        <v>906584</v>
      </c>
      <c r="F61" s="28">
        <f>IF(C61=0,0,E61/C61)</f>
        <v>1.0464388219264082E-2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56772305</v>
      </c>
      <c r="D63" s="23">
        <v>74618608</v>
      </c>
      <c r="E63" s="23">
        <f>D63-C63</f>
        <v>17846303</v>
      </c>
      <c r="F63" s="24">
        <f>IF(C63=0,0,E63/C63)</f>
        <v>0.31434874803832608</v>
      </c>
    </row>
    <row r="64" spans="1:6" ht="24" customHeight="1" x14ac:dyDescent="0.2">
      <c r="A64" s="21">
        <v>4</v>
      </c>
      <c r="B64" s="22" t="s">
        <v>60</v>
      </c>
      <c r="C64" s="23">
        <v>7042777</v>
      </c>
      <c r="D64" s="23">
        <v>10549165</v>
      </c>
      <c r="E64" s="23">
        <f>D64-C64</f>
        <v>3506388</v>
      </c>
      <c r="F64" s="24">
        <f>IF(C64=0,0,E64/C64)</f>
        <v>0.49787008732492877</v>
      </c>
    </row>
    <row r="65" spans="1:6" ht="24" customHeight="1" x14ac:dyDescent="0.25">
      <c r="A65" s="25"/>
      <c r="B65" s="26" t="s">
        <v>61</v>
      </c>
      <c r="C65" s="27">
        <f>SUM(C61:C64)</f>
        <v>150450247</v>
      </c>
      <c r="D65" s="27">
        <f>SUM(D61:D64)</f>
        <v>172709522</v>
      </c>
      <c r="E65" s="27">
        <f>D65-C65</f>
        <v>22259275</v>
      </c>
      <c r="F65" s="28">
        <f>IF(C65=0,0,E65/C65)</f>
        <v>0.14795106983107845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41815956</v>
      </c>
      <c r="D70" s="23">
        <v>36549384</v>
      </c>
      <c r="E70" s="23">
        <f>D70-C70</f>
        <v>-5266572</v>
      </c>
      <c r="F70" s="24">
        <f>IF(C70=0,0,E70/C70)</f>
        <v>-0.12594646885509445</v>
      </c>
    </row>
    <row r="71" spans="1:6" ht="24" customHeight="1" x14ac:dyDescent="0.2">
      <c r="A71" s="21">
        <v>2</v>
      </c>
      <c r="B71" s="22" t="s">
        <v>65</v>
      </c>
      <c r="C71" s="23">
        <v>2249963</v>
      </c>
      <c r="D71" s="23">
        <v>3243522</v>
      </c>
      <c r="E71" s="23">
        <f>D71-C71</f>
        <v>993559</v>
      </c>
      <c r="F71" s="24">
        <f>IF(C71=0,0,E71/C71)</f>
        <v>0.44158903946420452</v>
      </c>
    </row>
    <row r="72" spans="1:6" ht="24" customHeight="1" x14ac:dyDescent="0.2">
      <c r="A72" s="21">
        <v>3</v>
      </c>
      <c r="B72" s="22" t="s">
        <v>66</v>
      </c>
      <c r="C72" s="23">
        <v>11095738</v>
      </c>
      <c r="D72" s="23">
        <v>11808355</v>
      </c>
      <c r="E72" s="23">
        <f>D72-C72</f>
        <v>712617</v>
      </c>
      <c r="F72" s="24">
        <f>IF(C72=0,0,E72/C72)</f>
        <v>6.4224389580936389E-2</v>
      </c>
    </row>
    <row r="73" spans="1:6" ht="24" customHeight="1" x14ac:dyDescent="0.25">
      <c r="A73" s="21"/>
      <c r="B73" s="26" t="s">
        <v>67</v>
      </c>
      <c r="C73" s="27">
        <f>SUM(C70:C72)</f>
        <v>55161657</v>
      </c>
      <c r="D73" s="27">
        <f>SUM(D70:D72)</f>
        <v>51601261</v>
      </c>
      <c r="E73" s="27">
        <f>D73-C73</f>
        <v>-3560396</v>
      </c>
      <c r="F73" s="28">
        <f>IF(C73=0,0,E73/C73)</f>
        <v>-6.4544761590464919E-2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262289689</v>
      </c>
      <c r="D75" s="27">
        <f>D56+D65+D67+D73</f>
        <v>283290125</v>
      </c>
      <c r="E75" s="27">
        <f>D75-C75</f>
        <v>21000436</v>
      </c>
      <c r="F75" s="28">
        <f>IF(C75=0,0,E75/C75)</f>
        <v>8.0065808458067142E-2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638835375</v>
      </c>
      <c r="D12" s="51">
        <v>754864642</v>
      </c>
      <c r="E12" s="51">
        <f t="shared" ref="E12:E19" si="0">D12-C12</f>
        <v>116029267</v>
      </c>
      <c r="F12" s="70">
        <f t="shared" ref="F12:F19" si="1">IF(C12=0,0,E12/C12)</f>
        <v>0.18162623978047551</v>
      </c>
    </row>
    <row r="13" spans="1:8" ht="23.1" customHeight="1" x14ac:dyDescent="0.2">
      <c r="A13" s="25">
        <v>2</v>
      </c>
      <c r="B13" s="48" t="s">
        <v>72</v>
      </c>
      <c r="C13" s="51">
        <v>371826407</v>
      </c>
      <c r="D13" s="51">
        <v>470675259</v>
      </c>
      <c r="E13" s="51">
        <f t="shared" si="0"/>
        <v>98848852</v>
      </c>
      <c r="F13" s="70">
        <f t="shared" si="1"/>
        <v>0.26584677725700101</v>
      </c>
    </row>
    <row r="14" spans="1:8" ht="23.1" customHeight="1" x14ac:dyDescent="0.2">
      <c r="A14" s="25">
        <v>3</v>
      </c>
      <c r="B14" s="48" t="s">
        <v>73</v>
      </c>
      <c r="C14" s="51">
        <v>5660092</v>
      </c>
      <c r="D14" s="51">
        <v>7146386</v>
      </c>
      <c r="E14" s="51">
        <f t="shared" si="0"/>
        <v>1486294</v>
      </c>
      <c r="F14" s="70">
        <f t="shared" si="1"/>
        <v>0.26259184479686903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261348876</v>
      </c>
      <c r="D16" s="27">
        <f>D12-D13-D14-D15</f>
        <v>277042997</v>
      </c>
      <c r="E16" s="27">
        <f t="shared" si="0"/>
        <v>15694121</v>
      </c>
      <c r="F16" s="28">
        <f t="shared" si="1"/>
        <v>6.0050462968128472E-2</v>
      </c>
    </row>
    <row r="17" spans="1:7" ht="23.1" customHeight="1" x14ac:dyDescent="0.2">
      <c r="A17" s="25">
        <v>5</v>
      </c>
      <c r="B17" s="48" t="s">
        <v>76</v>
      </c>
      <c r="C17" s="51">
        <v>18840186</v>
      </c>
      <c r="D17" s="51">
        <v>28201071</v>
      </c>
      <c r="E17" s="51">
        <f t="shared" si="0"/>
        <v>9360885</v>
      </c>
      <c r="F17" s="70">
        <f t="shared" si="1"/>
        <v>0.49685735586686886</v>
      </c>
      <c r="G17" s="64"/>
    </row>
    <row r="18" spans="1:7" ht="33" customHeight="1" x14ac:dyDescent="0.2">
      <c r="A18" s="25">
        <v>6</v>
      </c>
      <c r="B18" s="45" t="s">
        <v>77</v>
      </c>
      <c r="C18" s="51">
        <v>801123</v>
      </c>
      <c r="D18" s="51">
        <v>638113</v>
      </c>
      <c r="E18" s="51">
        <f t="shared" si="0"/>
        <v>-163010</v>
      </c>
      <c r="F18" s="70">
        <f t="shared" si="1"/>
        <v>-0.20347686934465745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280990185</v>
      </c>
      <c r="D19" s="27">
        <f>SUM(D16:D18)</f>
        <v>305882181</v>
      </c>
      <c r="E19" s="27">
        <f t="shared" si="0"/>
        <v>24891996</v>
      </c>
      <c r="F19" s="28">
        <f t="shared" si="1"/>
        <v>8.8586709888105172E-2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134218139</v>
      </c>
      <c r="D22" s="51">
        <v>139915729</v>
      </c>
      <c r="E22" s="51">
        <f t="shared" ref="E22:E31" si="2">D22-C22</f>
        <v>5697590</v>
      </c>
      <c r="F22" s="70">
        <f t="shared" ref="F22:F31" si="3">IF(C22=0,0,E22/C22)</f>
        <v>4.2450223512635651E-2</v>
      </c>
    </row>
    <row r="23" spans="1:7" ht="23.1" customHeight="1" x14ac:dyDescent="0.2">
      <c r="A23" s="25">
        <v>2</v>
      </c>
      <c r="B23" s="48" t="s">
        <v>81</v>
      </c>
      <c r="C23" s="51">
        <v>35696855</v>
      </c>
      <c r="D23" s="51">
        <v>40155469</v>
      </c>
      <c r="E23" s="51">
        <f t="shared" si="2"/>
        <v>4458614</v>
      </c>
      <c r="F23" s="70">
        <f t="shared" si="3"/>
        <v>0.12490215174418026</v>
      </c>
    </row>
    <row r="24" spans="1:7" ht="23.1" customHeight="1" x14ac:dyDescent="0.2">
      <c r="A24" s="25">
        <v>3</v>
      </c>
      <c r="B24" s="48" t="s">
        <v>82</v>
      </c>
      <c r="C24" s="51">
        <v>10277908</v>
      </c>
      <c r="D24" s="51">
        <v>10398896</v>
      </c>
      <c r="E24" s="51">
        <f t="shared" si="2"/>
        <v>120988</v>
      </c>
      <c r="F24" s="70">
        <f t="shared" si="3"/>
        <v>1.1771656255339122E-2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35184525</v>
      </c>
      <c r="D25" s="51">
        <v>36089404</v>
      </c>
      <c r="E25" s="51">
        <f t="shared" si="2"/>
        <v>904879</v>
      </c>
      <c r="F25" s="70">
        <f t="shared" si="3"/>
        <v>2.5718096236910973E-2</v>
      </c>
    </row>
    <row r="26" spans="1:7" ht="23.1" customHeight="1" x14ac:dyDescent="0.2">
      <c r="A26" s="25">
        <v>5</v>
      </c>
      <c r="B26" s="48" t="s">
        <v>84</v>
      </c>
      <c r="C26" s="51">
        <v>11898918</v>
      </c>
      <c r="D26" s="51">
        <v>11811633</v>
      </c>
      <c r="E26" s="51">
        <f t="shared" si="2"/>
        <v>-87285</v>
      </c>
      <c r="F26" s="70">
        <f t="shared" si="3"/>
        <v>-7.3355409290155622E-3</v>
      </c>
    </row>
    <row r="27" spans="1:7" ht="23.1" customHeight="1" x14ac:dyDescent="0.2">
      <c r="A27" s="25">
        <v>6</v>
      </c>
      <c r="B27" s="48" t="s">
        <v>85</v>
      </c>
      <c r="C27" s="51">
        <v>11106480</v>
      </c>
      <c r="D27" s="51">
        <v>11285210</v>
      </c>
      <c r="E27" s="51">
        <f t="shared" si="2"/>
        <v>178730</v>
      </c>
      <c r="F27" s="70">
        <f t="shared" si="3"/>
        <v>1.6092407315369046E-2</v>
      </c>
    </row>
    <row r="28" spans="1:7" ht="23.1" customHeight="1" x14ac:dyDescent="0.2">
      <c r="A28" s="25">
        <v>7</v>
      </c>
      <c r="B28" s="48" t="s">
        <v>86</v>
      </c>
      <c r="C28" s="51">
        <v>4224420</v>
      </c>
      <c r="D28" s="51">
        <v>3981831</v>
      </c>
      <c r="E28" s="51">
        <f t="shared" si="2"/>
        <v>-242589</v>
      </c>
      <c r="F28" s="70">
        <f t="shared" si="3"/>
        <v>-5.7425398042808246E-2</v>
      </c>
    </row>
    <row r="29" spans="1:7" ht="23.1" customHeight="1" x14ac:dyDescent="0.2">
      <c r="A29" s="25">
        <v>8</v>
      </c>
      <c r="B29" s="48" t="s">
        <v>87</v>
      </c>
      <c r="C29" s="51">
        <v>2961029</v>
      </c>
      <c r="D29" s="51">
        <v>6669181</v>
      </c>
      <c r="E29" s="51">
        <f t="shared" si="2"/>
        <v>3708152</v>
      </c>
      <c r="F29" s="70">
        <f t="shared" si="3"/>
        <v>1.2523187040721317</v>
      </c>
    </row>
    <row r="30" spans="1:7" ht="23.1" customHeight="1" x14ac:dyDescent="0.2">
      <c r="A30" s="25">
        <v>9</v>
      </c>
      <c r="B30" s="48" t="s">
        <v>88</v>
      </c>
      <c r="C30" s="51">
        <v>35379234</v>
      </c>
      <c r="D30" s="51">
        <v>40647136</v>
      </c>
      <c r="E30" s="51">
        <f t="shared" si="2"/>
        <v>5267902</v>
      </c>
      <c r="F30" s="70">
        <f t="shared" si="3"/>
        <v>0.14889813612131908</v>
      </c>
    </row>
    <row r="31" spans="1:7" ht="23.1" customHeight="1" x14ac:dyDescent="0.25">
      <c r="A31" s="29"/>
      <c r="B31" s="71" t="s">
        <v>89</v>
      </c>
      <c r="C31" s="27">
        <f>SUM(C22:C30)</f>
        <v>280947508</v>
      </c>
      <c r="D31" s="27">
        <f>SUM(D22:D30)</f>
        <v>300954489</v>
      </c>
      <c r="E31" s="27">
        <f t="shared" si="2"/>
        <v>20006981</v>
      </c>
      <c r="F31" s="28">
        <f t="shared" si="3"/>
        <v>7.1212523444059164E-2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42677</v>
      </c>
      <c r="D33" s="27">
        <f>+D19-D31</f>
        <v>4927692</v>
      </c>
      <c r="E33" s="27">
        <f>D33-C33</f>
        <v>4885015</v>
      </c>
      <c r="F33" s="28">
        <f>IF(C33=0,0,E33/C33)</f>
        <v>114.46481711460505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64607</v>
      </c>
      <c r="D36" s="51">
        <v>1190</v>
      </c>
      <c r="E36" s="51">
        <f>D36-C36</f>
        <v>-63417</v>
      </c>
      <c r="F36" s="70">
        <f>IF(C36=0,0,E36/C36)</f>
        <v>-0.9815809432414444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-1406203</v>
      </c>
      <c r="D38" s="51">
        <v>-1201726</v>
      </c>
      <c r="E38" s="51">
        <f>D38-C38</f>
        <v>204477</v>
      </c>
      <c r="F38" s="70">
        <f>IF(C38=0,0,E38/C38)</f>
        <v>-0.14541072661628512</v>
      </c>
    </row>
    <row r="39" spans="1:6" ht="23.1" customHeight="1" x14ac:dyDescent="0.25">
      <c r="A39" s="20"/>
      <c r="B39" s="71" t="s">
        <v>95</v>
      </c>
      <c r="C39" s="27">
        <f>SUM(C36:C38)</f>
        <v>-1341596</v>
      </c>
      <c r="D39" s="27">
        <f>SUM(D36:D38)</f>
        <v>-1200536</v>
      </c>
      <c r="E39" s="27">
        <f>D39-C39</f>
        <v>141060</v>
      </c>
      <c r="F39" s="28">
        <f>IF(C39=0,0,E39/C39)</f>
        <v>-0.1051434261879135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-1298919</v>
      </c>
      <c r="D41" s="27">
        <f>D33+D39</f>
        <v>3727156</v>
      </c>
      <c r="E41" s="27">
        <f>D41-C41</f>
        <v>5026075</v>
      </c>
      <c r="F41" s="28">
        <f>IF(C41=0,0,E41/C41)</f>
        <v>-3.8694291175970172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-1298919</v>
      </c>
      <c r="D48" s="27">
        <f>D41+D46</f>
        <v>3727156</v>
      </c>
      <c r="E48" s="27">
        <f>D48-C48</f>
        <v>5026075</v>
      </c>
      <c r="F48" s="28">
        <f>IF(C48=0,0,E48/C48)</f>
        <v>-3.8694291175970172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2013-09-11T12:14:15Z</cp:lastPrinted>
  <dcterms:created xsi:type="dcterms:W3CDTF">2006-08-03T13:49:12Z</dcterms:created>
  <dcterms:modified xsi:type="dcterms:W3CDTF">2013-09-12T14:58:03Z</dcterms:modified>
</cp:coreProperties>
</file>