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/>
  <c r="D203" i="14"/>
  <c r="D267" i="14"/>
  <c r="D198" i="14"/>
  <c r="D290" i="14"/>
  <c r="D191" i="14"/>
  <c r="D264" i="14"/>
  <c r="D189" i="14"/>
  <c r="D262" i="14"/>
  <c r="D188" i="14"/>
  <c r="D190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/>
  <c r="D135" i="14"/>
  <c r="D130" i="14"/>
  <c r="D129" i="14"/>
  <c r="D123" i="14"/>
  <c r="D192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D96" i="19"/>
  <c r="D98" i="19" s="1"/>
  <c r="C96" i="19"/>
  <c r="C98" i="19" s="1"/>
  <c r="E92" i="19"/>
  <c r="E93" i="19" s="1"/>
  <c r="D92" i="19"/>
  <c r="C92" i="19"/>
  <c r="E91" i="19"/>
  <c r="D91" i="19"/>
  <c r="D93" i="19" s="1"/>
  <c r="C91" i="19"/>
  <c r="C93" i="19"/>
  <c r="E87" i="19"/>
  <c r="D87" i="19"/>
  <c r="C87" i="19"/>
  <c r="E86" i="19"/>
  <c r="E88" i="19" s="1"/>
  <c r="D86" i="19"/>
  <c r="C86" i="19"/>
  <c r="C88" i="19" s="1"/>
  <c r="E83" i="19"/>
  <c r="D83" i="19"/>
  <c r="C83" i="19"/>
  <c r="E76" i="19"/>
  <c r="E77" i="19" s="1"/>
  <c r="E109" i="19" s="1"/>
  <c r="D76" i="19"/>
  <c r="C76" i="19"/>
  <c r="E75" i="19"/>
  <c r="D75" i="19"/>
  <c r="D101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C46" i="19" s="1"/>
  <c r="D21" i="18"/>
  <c r="C21" i="18"/>
  <c r="D19" i="18"/>
  <c r="C19" i="18"/>
  <c r="E17" i="18"/>
  <c r="F17" i="18" s="1"/>
  <c r="E15" i="18"/>
  <c r="F15" i="18" s="1"/>
  <c r="D45" i="17"/>
  <c r="E45" i="17" s="1"/>
  <c r="C45" i="17"/>
  <c r="F45" i="17" s="1"/>
  <c r="D44" i="17"/>
  <c r="C44" i="17"/>
  <c r="D43" i="17"/>
  <c r="D46" i="17" s="1"/>
  <c r="C43" i="17"/>
  <c r="D36" i="17"/>
  <c r="D40" i="17" s="1"/>
  <c r="C36" i="17"/>
  <c r="E35" i="17"/>
  <c r="F35" i="17" s="1"/>
  <c r="E34" i="17"/>
  <c r="F34" i="17" s="1"/>
  <c r="E33" i="17"/>
  <c r="E36" i="17"/>
  <c r="E30" i="17"/>
  <c r="F30" i="17" s="1"/>
  <c r="E29" i="17"/>
  <c r="F29" i="17" s="1"/>
  <c r="E28" i="17"/>
  <c r="F28" i="17" s="1"/>
  <c r="E27" i="17"/>
  <c r="F27" i="17"/>
  <c r="D25" i="17"/>
  <c r="D39" i="17" s="1"/>
  <c r="D41" i="17" s="1"/>
  <c r="C25" i="17"/>
  <c r="C39" i="17" s="1"/>
  <c r="E24" i="17"/>
  <c r="F24" i="17" s="1"/>
  <c r="E23" i="17"/>
  <c r="F23" i="17" s="1"/>
  <c r="E22" i="17"/>
  <c r="F22" i="17" s="1"/>
  <c r="E25" i="17"/>
  <c r="D19" i="17"/>
  <c r="D20" i="17" s="1"/>
  <c r="C19" i="17"/>
  <c r="E18" i="17"/>
  <c r="F18" i="17" s="1"/>
  <c r="D16" i="17"/>
  <c r="C16" i="17"/>
  <c r="E16" i="17" s="1"/>
  <c r="F16" i="17" s="1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C22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C290" i="15"/>
  <c r="E290" i="15" s="1"/>
  <c r="D288" i="15"/>
  <c r="C288" i="15"/>
  <c r="D287" i="15"/>
  <c r="E287" i="15"/>
  <c r="C287" i="15"/>
  <c r="D282" i="15"/>
  <c r="E282" i="15" s="1"/>
  <c r="C282" i="15"/>
  <c r="D281" i="15"/>
  <c r="E281" i="15" s="1"/>
  <c r="C281" i="15"/>
  <c r="D280" i="15"/>
  <c r="C280" i="15"/>
  <c r="E280" i="15" s="1"/>
  <c r="D279" i="15"/>
  <c r="C279" i="15"/>
  <c r="D278" i="15"/>
  <c r="C278" i="15"/>
  <c r="D277" i="15"/>
  <c r="E277" i="15"/>
  <c r="C277" i="15"/>
  <c r="D276" i="15"/>
  <c r="C276" i="15"/>
  <c r="E270" i="15"/>
  <c r="D265" i="15"/>
  <c r="D302" i="15"/>
  <c r="C265" i="15"/>
  <c r="E265" i="15" s="1"/>
  <c r="D262" i="15"/>
  <c r="C262" i="15"/>
  <c r="D251" i="15"/>
  <c r="C251" i="15"/>
  <c r="D233" i="15"/>
  <c r="C233" i="15"/>
  <c r="D232" i="15"/>
  <c r="C232" i="15"/>
  <c r="D231" i="15"/>
  <c r="C231" i="15"/>
  <c r="D230" i="15"/>
  <c r="E230" i="15" s="1"/>
  <c r="C230" i="15"/>
  <c r="D228" i="15"/>
  <c r="C228" i="15"/>
  <c r="D227" i="15"/>
  <c r="E227" i="15" s="1"/>
  <c r="C227" i="15"/>
  <c r="D221" i="15"/>
  <c r="D245" i="15" s="1"/>
  <c r="C221" i="15"/>
  <c r="C245" i="15" s="1"/>
  <c r="D220" i="15"/>
  <c r="D244" i="15" s="1"/>
  <c r="C220" i="15"/>
  <c r="C244" i="15" s="1"/>
  <c r="D219" i="15"/>
  <c r="C219" i="15"/>
  <c r="C243" i="15" s="1"/>
  <c r="D218" i="15"/>
  <c r="C218" i="15"/>
  <c r="E218" i="15"/>
  <c r="D216" i="15"/>
  <c r="C216" i="15"/>
  <c r="C240" i="15" s="1"/>
  <c r="D215" i="15"/>
  <c r="C215" i="15"/>
  <c r="C239" i="15" s="1"/>
  <c r="E209" i="15"/>
  <c r="E208" i="15"/>
  <c r="E207" i="15"/>
  <c r="E206" i="15"/>
  <c r="D205" i="15"/>
  <c r="C205" i="15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D261" i="15" s="1"/>
  <c r="C188" i="15"/>
  <c r="C189" i="15" s="1"/>
  <c r="E186" i="15"/>
  <c r="E185" i="15"/>
  <c r="D179" i="15"/>
  <c r="E179" i="15" s="1"/>
  <c r="C179" i="15"/>
  <c r="D178" i="15"/>
  <c r="C178" i="15"/>
  <c r="D177" i="15"/>
  <c r="E177" i="15" s="1"/>
  <c r="C177" i="15"/>
  <c r="D176" i="15"/>
  <c r="C176" i="15"/>
  <c r="E176" i="15" s="1"/>
  <c r="D174" i="15"/>
  <c r="E174" i="15" s="1"/>
  <c r="C174" i="15"/>
  <c r="D173" i="15"/>
  <c r="C173" i="15"/>
  <c r="D167" i="15"/>
  <c r="C167" i="15"/>
  <c r="D166" i="15"/>
  <c r="C166" i="15"/>
  <c r="D165" i="15"/>
  <c r="C165" i="15"/>
  <c r="E165" i="15" s="1"/>
  <c r="D164" i="15"/>
  <c r="C164" i="15"/>
  <c r="D162" i="15"/>
  <c r="C162" i="15"/>
  <c r="D161" i="15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E139" i="15" s="1"/>
  <c r="C139" i="15"/>
  <c r="C163" i="15" s="1"/>
  <c r="C175" i="15"/>
  <c r="E138" i="15"/>
  <c r="E137" i="15"/>
  <c r="D75" i="15"/>
  <c r="C75" i="15"/>
  <c r="D74" i="15"/>
  <c r="C74" i="15"/>
  <c r="E74" i="15" s="1"/>
  <c r="D73" i="15"/>
  <c r="C73" i="15"/>
  <c r="E73" i="15" s="1"/>
  <c r="D72" i="15"/>
  <c r="E72" i="15"/>
  <c r="C72" i="15"/>
  <c r="D70" i="15"/>
  <c r="C70" i="15"/>
  <c r="D69" i="15"/>
  <c r="E69" i="15" s="1"/>
  <c r="C69" i="15"/>
  <c r="E64" i="15"/>
  <c r="E63" i="15"/>
  <c r="E62" i="15"/>
  <c r="E61" i="15"/>
  <c r="D60" i="15"/>
  <c r="D289" i="15" s="1"/>
  <c r="C60" i="15"/>
  <c r="C71" i="15" s="1"/>
  <c r="C289" i="15"/>
  <c r="E59" i="15"/>
  <c r="E58" i="15"/>
  <c r="D54" i="15"/>
  <c r="D55" i="15" s="1"/>
  <c r="C54" i="15"/>
  <c r="E53" i="15"/>
  <c r="E52" i="15"/>
  <c r="E51" i="15"/>
  <c r="E50" i="15"/>
  <c r="E49" i="15"/>
  <c r="E48" i="15"/>
  <c r="E47" i="15"/>
  <c r="D42" i="15"/>
  <c r="C42" i="15"/>
  <c r="E42" i="15" s="1"/>
  <c r="D41" i="15"/>
  <c r="E41" i="15" s="1"/>
  <c r="C41" i="15"/>
  <c r="D40" i="15"/>
  <c r="E40" i="15" s="1"/>
  <c r="C40" i="15"/>
  <c r="D39" i="15"/>
  <c r="C39" i="15"/>
  <c r="D38" i="15"/>
  <c r="E38" i="15" s="1"/>
  <c r="C38" i="15"/>
  <c r="D37" i="15"/>
  <c r="D43" i="15" s="1"/>
  <c r="C37" i="15"/>
  <c r="C43" i="15" s="1"/>
  <c r="D36" i="15"/>
  <c r="E36" i="15" s="1"/>
  <c r="C36" i="15"/>
  <c r="D32" i="15"/>
  <c r="D33" i="15" s="1"/>
  <c r="C32" i="15"/>
  <c r="E31" i="15"/>
  <c r="E30" i="15"/>
  <c r="E29" i="15"/>
  <c r="E28" i="15"/>
  <c r="E27" i="15"/>
  <c r="E26" i="15"/>
  <c r="E25" i="15"/>
  <c r="D21" i="15"/>
  <c r="D22" i="15" s="1"/>
  <c r="C21" i="15"/>
  <c r="C22" i="15" s="1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E330" i="14"/>
  <c r="F330" i="14" s="1"/>
  <c r="F329" i="14"/>
  <c r="E329" i="14"/>
  <c r="F316" i="14"/>
  <c r="E316" i="14"/>
  <c r="C311" i="14"/>
  <c r="F308" i="14"/>
  <c r="E308" i="14"/>
  <c r="C307" i="14"/>
  <c r="C299" i="14"/>
  <c r="E299" i="14" s="1"/>
  <c r="C298" i="14"/>
  <c r="E298" i="14" s="1"/>
  <c r="C297" i="14"/>
  <c r="E297" i="14" s="1"/>
  <c r="C296" i="14"/>
  <c r="C295" i="14"/>
  <c r="C294" i="14"/>
  <c r="C250" i="14"/>
  <c r="E250" i="14" s="1"/>
  <c r="E249" i="14"/>
  <c r="F249" i="14" s="1"/>
  <c r="E248" i="14"/>
  <c r="F248" i="14"/>
  <c r="E245" i="14"/>
  <c r="F245" i="14" s="1"/>
  <c r="E244" i="14"/>
  <c r="F244" i="14" s="1"/>
  <c r="E243" i="14"/>
  <c r="F243" i="14" s="1"/>
  <c r="C238" i="14"/>
  <c r="C237" i="14"/>
  <c r="E237" i="14" s="1"/>
  <c r="E234" i="14"/>
  <c r="F234" i="14" s="1"/>
  <c r="E233" i="14"/>
  <c r="F233" i="14" s="1"/>
  <c r="C230" i="14"/>
  <c r="E230" i="14" s="1"/>
  <c r="F230" i="14" s="1"/>
  <c r="C229" i="14"/>
  <c r="E229" i="14" s="1"/>
  <c r="E228" i="14"/>
  <c r="F228" i="14" s="1"/>
  <c r="C226" i="14"/>
  <c r="E225" i="14"/>
  <c r="F225" i="14" s="1"/>
  <c r="E224" i="14"/>
  <c r="F224" i="14" s="1"/>
  <c r="C223" i="14"/>
  <c r="E222" i="14"/>
  <c r="F222" i="14" s="1"/>
  <c r="E221" i="14"/>
  <c r="F221" i="14" s="1"/>
  <c r="C204" i="14"/>
  <c r="E204" i="14" s="1"/>
  <c r="C203" i="14"/>
  <c r="E198" i="14"/>
  <c r="C198" i="14"/>
  <c r="C191" i="14"/>
  <c r="C189" i="14"/>
  <c r="C278" i="14" s="1"/>
  <c r="C188" i="14"/>
  <c r="C277" i="14" s="1"/>
  <c r="C180" i="14"/>
  <c r="E180" i="14"/>
  <c r="C179" i="14"/>
  <c r="E179" i="14" s="1"/>
  <c r="F179" i="14" s="1"/>
  <c r="C171" i="14"/>
  <c r="E171" i="14" s="1"/>
  <c r="C170" i="14"/>
  <c r="E170" i="14"/>
  <c r="E169" i="14"/>
  <c r="F169" i="14" s="1"/>
  <c r="E168" i="14"/>
  <c r="F168" i="14" s="1"/>
  <c r="E165" i="14"/>
  <c r="C165" i="14"/>
  <c r="F165" i="14" s="1"/>
  <c r="C164" i="14"/>
  <c r="E164" i="14" s="1"/>
  <c r="E163" i="14"/>
  <c r="F163" i="14" s="1"/>
  <c r="C158" i="14"/>
  <c r="E157" i="14"/>
  <c r="F157" i="14" s="1"/>
  <c r="E156" i="14"/>
  <c r="F156" i="14" s="1"/>
  <c r="C155" i="14"/>
  <c r="E155" i="14" s="1"/>
  <c r="E154" i="14"/>
  <c r="F154" i="14" s="1"/>
  <c r="E153" i="14"/>
  <c r="F153" i="14" s="1"/>
  <c r="C145" i="14"/>
  <c r="E145" i="14" s="1"/>
  <c r="C144" i="14"/>
  <c r="C136" i="14"/>
  <c r="E136" i="14" s="1"/>
  <c r="C135" i="14"/>
  <c r="E135" i="14" s="1"/>
  <c r="E134" i="14"/>
  <c r="F134" i="14" s="1"/>
  <c r="F133" i="14"/>
  <c r="E133" i="14"/>
  <c r="E130" i="14"/>
  <c r="C130" i="14"/>
  <c r="C129" i="14"/>
  <c r="E128" i="14"/>
  <c r="F128" i="14"/>
  <c r="C123" i="14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E110" i="14" s="1"/>
  <c r="C109" i="14"/>
  <c r="C101" i="14"/>
  <c r="C100" i="14"/>
  <c r="E99" i="14"/>
  <c r="F99" i="14" s="1"/>
  <c r="E98" i="14"/>
  <c r="F98" i="14" s="1"/>
  <c r="C95" i="14"/>
  <c r="E95" i="14" s="1"/>
  <c r="C94" i="14"/>
  <c r="E93" i="14"/>
  <c r="F93" i="14"/>
  <c r="C88" i="14"/>
  <c r="C89" i="14"/>
  <c r="E87" i="14"/>
  <c r="F87" i="14" s="1"/>
  <c r="E86" i="14"/>
  <c r="F86" i="14" s="1"/>
  <c r="E85" i="14"/>
  <c r="C85" i="14"/>
  <c r="E84" i="14"/>
  <c r="F84" i="14" s="1"/>
  <c r="E83" i="14"/>
  <c r="F83" i="14" s="1"/>
  <c r="C76" i="14"/>
  <c r="C77" i="14" s="1"/>
  <c r="E74" i="14"/>
  <c r="F74" i="14" s="1"/>
  <c r="E73" i="14"/>
  <c r="F73" i="14" s="1"/>
  <c r="C67" i="14"/>
  <c r="C66" i="14"/>
  <c r="E66" i="14" s="1"/>
  <c r="C59" i="14"/>
  <c r="C58" i="14"/>
  <c r="E57" i="14"/>
  <c r="F57" i="14" s="1"/>
  <c r="E56" i="14"/>
  <c r="F56" i="14" s="1"/>
  <c r="C53" i="14"/>
  <c r="E53" i="14"/>
  <c r="C52" i="14"/>
  <c r="E52" i="14"/>
  <c r="E51" i="14"/>
  <c r="F51" i="14" s="1"/>
  <c r="C47" i="14"/>
  <c r="E47" i="14" s="1"/>
  <c r="F47" i="14" s="1"/>
  <c r="E46" i="14"/>
  <c r="F46" i="14" s="1"/>
  <c r="E45" i="14"/>
  <c r="F45" i="14" s="1"/>
  <c r="C44" i="14"/>
  <c r="E44" i="14" s="1"/>
  <c r="E43" i="14"/>
  <c r="F43" i="14" s="1"/>
  <c r="E42" i="14"/>
  <c r="F42" i="14"/>
  <c r="C36" i="14"/>
  <c r="C35" i="14"/>
  <c r="C37" i="14" s="1"/>
  <c r="C30" i="14"/>
  <c r="C31" i="14" s="1"/>
  <c r="C32" i="14" s="1"/>
  <c r="C29" i="14"/>
  <c r="E29" i="14" s="1"/>
  <c r="F29" i="14" s="1"/>
  <c r="E28" i="14"/>
  <c r="F28" i="14" s="1"/>
  <c r="F27" i="14"/>
  <c r="E27" i="14"/>
  <c r="C24" i="14"/>
  <c r="E24" i="14" s="1"/>
  <c r="C23" i="14"/>
  <c r="E23" i="14" s="1"/>
  <c r="F22" i="14"/>
  <c r="E22" i="14"/>
  <c r="C20" i="14"/>
  <c r="E20" i="14" s="1"/>
  <c r="E19" i="14"/>
  <c r="F19" i="14" s="1"/>
  <c r="E18" i="14"/>
  <c r="F18" i="14" s="1"/>
  <c r="C17" i="14"/>
  <c r="E17" i="14" s="1"/>
  <c r="E16" i="14"/>
  <c r="F16" i="14"/>
  <c r="E15" i="14"/>
  <c r="F15" i="14" s="1"/>
  <c r="D21" i="13"/>
  <c r="E21" i="13" s="1"/>
  <c r="C21" i="13"/>
  <c r="E20" i="13"/>
  <c r="F20" i="13" s="1"/>
  <c r="D17" i="13"/>
  <c r="E17" i="13"/>
  <c r="C17" i="13"/>
  <c r="F16" i="13"/>
  <c r="E16" i="13"/>
  <c r="D13" i="13"/>
  <c r="E13" i="13" s="1"/>
  <c r="F13" i="13" s="1"/>
  <c r="C13" i="13"/>
  <c r="F12" i="13"/>
  <c r="E12" i="13"/>
  <c r="D99" i="12"/>
  <c r="E99" i="12" s="1"/>
  <c r="C99" i="12"/>
  <c r="F98" i="12"/>
  <c r="E98" i="12"/>
  <c r="E97" i="12"/>
  <c r="F97" i="12" s="1"/>
  <c r="E96" i="12"/>
  <c r="F96" i="12" s="1"/>
  <c r="D92" i="12"/>
  <c r="C92" i="12"/>
  <c r="E91" i="12"/>
  <c r="F91" i="12" s="1"/>
  <c r="F90" i="12"/>
  <c r="E90" i="12"/>
  <c r="F89" i="12"/>
  <c r="E89" i="12"/>
  <c r="F88" i="12"/>
  <c r="E88" i="12"/>
  <c r="F87" i="12"/>
  <c r="E87" i="12"/>
  <c r="D84" i="12"/>
  <c r="E84" i="12" s="1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E75" i="12" s="1"/>
  <c r="F75" i="12" s="1"/>
  <c r="D70" i="12"/>
  <c r="C70" i="12"/>
  <c r="E69" i="12"/>
  <c r="F69" i="12" s="1"/>
  <c r="E68" i="12"/>
  <c r="F68" i="12" s="1"/>
  <c r="D65" i="12"/>
  <c r="E65" i="12" s="1"/>
  <c r="F65" i="12" s="1"/>
  <c r="C65" i="12"/>
  <c r="F64" i="12"/>
  <c r="E64" i="12"/>
  <c r="F63" i="12"/>
  <c r="E63" i="12"/>
  <c r="D60" i="12"/>
  <c r="C60" i="12"/>
  <c r="F59" i="12"/>
  <c r="E59" i="12"/>
  <c r="F58" i="12"/>
  <c r="E58" i="12"/>
  <c r="E60" i="12" s="1"/>
  <c r="F60" i="12" s="1"/>
  <c r="D55" i="12"/>
  <c r="E55" i="12" s="1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E45" i="12" s="1"/>
  <c r="C45" i="12"/>
  <c r="F45" i="12" s="1"/>
  <c r="F44" i="12"/>
  <c r="E44" i="12"/>
  <c r="F43" i="12"/>
  <c r="E43" i="12"/>
  <c r="D37" i="12"/>
  <c r="E37" i="12" s="1"/>
  <c r="C37" i="12"/>
  <c r="F36" i="12"/>
  <c r="E36" i="12"/>
  <c r="F35" i="12"/>
  <c r="E35" i="12"/>
  <c r="F34" i="12"/>
  <c r="E34" i="12"/>
  <c r="F33" i="12"/>
  <c r="E33" i="12"/>
  <c r="D30" i="12"/>
  <c r="E30" i="12" s="1"/>
  <c r="F30" i="12" s="1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E17" i="11"/>
  <c r="D17" i="11"/>
  <c r="D33" i="11" s="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C66" i="10"/>
  <c r="C65" i="10"/>
  <c r="E65" i="10"/>
  <c r="D65" i="10"/>
  <c r="E60" i="10"/>
  <c r="D60" i="10"/>
  <c r="C60" i="10"/>
  <c r="E58" i="10"/>
  <c r="D58" i="10"/>
  <c r="C58" i="10"/>
  <c r="E55" i="10"/>
  <c r="D55" i="10"/>
  <c r="C55" i="10"/>
  <c r="E54" i="10"/>
  <c r="D54" i="10"/>
  <c r="D50" i="10" s="1"/>
  <c r="C54" i="10"/>
  <c r="C50" i="10" s="1"/>
  <c r="E50" i="10"/>
  <c r="E46" i="10"/>
  <c r="E59" i="10" s="1"/>
  <c r="E61" i="10" s="1"/>
  <c r="E57" i="10" s="1"/>
  <c r="D46" i="10"/>
  <c r="D59" i="10"/>
  <c r="D61" i="10" s="1"/>
  <c r="D57" i="10" s="1"/>
  <c r="C46" i="10"/>
  <c r="C48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D13" i="10"/>
  <c r="D25" i="10" s="1"/>
  <c r="D27" i="10" s="1"/>
  <c r="C13" i="10"/>
  <c r="C25" i="10" s="1"/>
  <c r="C27" i="10" s="1"/>
  <c r="D46" i="9"/>
  <c r="E46" i="9" s="1"/>
  <c r="C46" i="9"/>
  <c r="F46" i="9" s="1"/>
  <c r="F45" i="9"/>
  <c r="E45" i="9"/>
  <c r="F44" i="9"/>
  <c r="E44" i="9"/>
  <c r="D39" i="9"/>
  <c r="E39" i="9" s="1"/>
  <c r="F39" i="9" s="1"/>
  <c r="C39" i="9"/>
  <c r="F38" i="9"/>
  <c r="E38" i="9"/>
  <c r="F37" i="9"/>
  <c r="E37" i="9"/>
  <c r="F36" i="9"/>
  <c r="E36" i="9"/>
  <c r="D31" i="9"/>
  <c r="E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E18" i="9"/>
  <c r="F18" i="9" s="1"/>
  <c r="E17" i="9"/>
  <c r="F17" i="9" s="1"/>
  <c r="D16" i="9"/>
  <c r="C16" i="9"/>
  <c r="C19" i="9" s="1"/>
  <c r="C33" i="9" s="1"/>
  <c r="F15" i="9"/>
  <c r="E15" i="9"/>
  <c r="E14" i="9"/>
  <c r="F14" i="9" s="1"/>
  <c r="E13" i="9"/>
  <c r="F13" i="9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/>
  <c r="E63" i="8"/>
  <c r="F63" i="8" s="1"/>
  <c r="D61" i="8"/>
  <c r="C61" i="8"/>
  <c r="C65" i="8" s="1"/>
  <c r="E60" i="8"/>
  <c r="F60" i="8" s="1"/>
  <c r="E59" i="8"/>
  <c r="F59" i="8" s="1"/>
  <c r="D56" i="8"/>
  <c r="C56" i="8"/>
  <c r="E55" i="8"/>
  <c r="F55" i="8" s="1"/>
  <c r="E54" i="8"/>
  <c r="F54" i="8" s="1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C38" i="8"/>
  <c r="E37" i="8"/>
  <c r="F37" i="8" s="1"/>
  <c r="E36" i="8"/>
  <c r="F36" i="8"/>
  <c r="E33" i="8"/>
  <c r="F33" i="8" s="1"/>
  <c r="E32" i="8"/>
  <c r="F32" i="8" s="1"/>
  <c r="F31" i="8"/>
  <c r="E31" i="8"/>
  <c r="D29" i="8"/>
  <c r="C29" i="8"/>
  <c r="E29" i="8" s="1"/>
  <c r="E28" i="8"/>
  <c r="F28" i="8" s="1"/>
  <c r="E27" i="8"/>
  <c r="F27" i="8" s="1"/>
  <c r="E26" i="8"/>
  <c r="F26" i="8" s="1"/>
  <c r="E25" i="8"/>
  <c r="F25" i="8" s="1"/>
  <c r="D22" i="8"/>
  <c r="C22" i="8"/>
  <c r="F21" i="8"/>
  <c r="E21" i="8"/>
  <c r="E20" i="8"/>
  <c r="F20" i="8" s="1"/>
  <c r="E19" i="8"/>
  <c r="F19" i="8" s="1"/>
  <c r="E18" i="8"/>
  <c r="F18" i="8" s="1"/>
  <c r="F17" i="8"/>
  <c r="E17" i="8"/>
  <c r="E16" i="8"/>
  <c r="F16" i="8" s="1"/>
  <c r="E15" i="8"/>
  <c r="F15" i="8" s="1"/>
  <c r="F14" i="8"/>
  <c r="E14" i="8"/>
  <c r="E13" i="8"/>
  <c r="F13" i="8" s="1"/>
  <c r="D120" i="7"/>
  <c r="E120" i="7" s="1"/>
  <c r="C120" i="7"/>
  <c r="D119" i="7"/>
  <c r="C119" i="7"/>
  <c r="D118" i="7"/>
  <c r="E118" i="7" s="1"/>
  <c r="C118" i="7"/>
  <c r="D117" i="7"/>
  <c r="C117" i="7"/>
  <c r="D116" i="7"/>
  <c r="E116" i="7" s="1"/>
  <c r="C116" i="7"/>
  <c r="D115" i="7"/>
  <c r="C115" i="7"/>
  <c r="D114" i="7"/>
  <c r="C114" i="7"/>
  <c r="D113" i="7"/>
  <c r="E113" i="7" s="1"/>
  <c r="C113" i="7"/>
  <c r="C122" i="7" s="1"/>
  <c r="D112" i="7"/>
  <c r="D121" i="7" s="1"/>
  <c r="C112" i="7"/>
  <c r="C121" i="7" s="1"/>
  <c r="D108" i="7"/>
  <c r="C108" i="7"/>
  <c r="D107" i="7"/>
  <c r="E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 s="1"/>
  <c r="F96" i="7" s="1"/>
  <c r="C96" i="7"/>
  <c r="D95" i="7"/>
  <c r="E95" i="7" s="1"/>
  <c r="F95" i="7" s="1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 s="1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F60" i="7" s="1"/>
  <c r="D59" i="7"/>
  <c r="E59" i="7" s="1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E47" i="7" s="1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E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E204" i="6"/>
  <c r="C204" i="6"/>
  <c r="D203" i="6"/>
  <c r="E203" i="6" s="1"/>
  <c r="C203" i="6"/>
  <c r="D202" i="6"/>
  <c r="E202" i="6" s="1"/>
  <c r="C202" i="6"/>
  <c r="F202" i="6" s="1"/>
  <c r="D201" i="6"/>
  <c r="E201" i="6" s="1"/>
  <c r="C201" i="6"/>
  <c r="D200" i="6"/>
  <c r="C200" i="6"/>
  <c r="D199" i="6"/>
  <c r="E199" i="6"/>
  <c r="C199" i="6"/>
  <c r="D198" i="6"/>
  <c r="D207" i="6" s="1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E140" i="6" s="1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 s="1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F102" i="6" s="1"/>
  <c r="D101" i="6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D36" i="6"/>
  <c r="E36" i="6"/>
  <c r="C36" i="6"/>
  <c r="F35" i="6"/>
  <c r="E35" i="6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C164" i="5"/>
  <c r="C160" i="5" s="1"/>
  <c r="E162" i="5"/>
  <c r="D162" i="5"/>
  <c r="C162" i="5"/>
  <c r="E161" i="5"/>
  <c r="D161" i="5"/>
  <c r="C161" i="5"/>
  <c r="D160" i="5"/>
  <c r="D166" i="5" s="1"/>
  <c r="E147" i="5"/>
  <c r="D147" i="5"/>
  <c r="D143" i="5" s="1"/>
  <c r="D149" i="5" s="1"/>
  <c r="C147" i="5"/>
  <c r="C143" i="5" s="1"/>
  <c r="E145" i="5"/>
  <c r="D145" i="5"/>
  <c r="C145" i="5"/>
  <c r="E144" i="5"/>
  <c r="D144" i="5"/>
  <c r="C144" i="5"/>
  <c r="E143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 s="1"/>
  <c r="E94" i="5"/>
  <c r="D94" i="5"/>
  <c r="E89" i="5"/>
  <c r="D89" i="5"/>
  <c r="C89" i="5"/>
  <c r="E87" i="5"/>
  <c r="D87" i="5"/>
  <c r="C87" i="5"/>
  <c r="E84" i="5"/>
  <c r="D84" i="5"/>
  <c r="D79" i="5" s="1"/>
  <c r="C84" i="5"/>
  <c r="E83" i="5"/>
  <c r="D83" i="5"/>
  <c r="C83" i="5"/>
  <c r="E75" i="5"/>
  <c r="E88" i="5" s="1"/>
  <c r="E90" i="5" s="1"/>
  <c r="E86" i="5" s="1"/>
  <c r="D75" i="5"/>
  <c r="D77" i="5" s="1"/>
  <c r="C75" i="5"/>
  <c r="C77" i="5" s="1"/>
  <c r="E74" i="5"/>
  <c r="D74" i="5"/>
  <c r="C74" i="5"/>
  <c r="E67" i="5"/>
  <c r="D67" i="5"/>
  <c r="C67" i="5"/>
  <c r="E38" i="5"/>
  <c r="E53" i="5" s="1"/>
  <c r="D38" i="5"/>
  <c r="D43" i="5" s="1"/>
  <c r="C38" i="5"/>
  <c r="C57" i="5" s="1"/>
  <c r="C62" i="5" s="1"/>
  <c r="E33" i="5"/>
  <c r="E34" i="5" s="1"/>
  <c r="D33" i="5"/>
  <c r="D34" i="5" s="1"/>
  <c r="E26" i="5"/>
  <c r="D26" i="5"/>
  <c r="C26" i="5"/>
  <c r="E13" i="5"/>
  <c r="E25" i="5" s="1"/>
  <c r="D13" i="5"/>
  <c r="D25" i="5" s="1"/>
  <c r="D27" i="5" s="1"/>
  <c r="D21" i="5" s="1"/>
  <c r="C13" i="5"/>
  <c r="C15" i="5" s="1"/>
  <c r="F174" i="4"/>
  <c r="E174" i="4"/>
  <c r="D171" i="4"/>
  <c r="C171" i="4"/>
  <c r="E170" i="4"/>
  <c r="F170" i="4" s="1"/>
  <c r="F169" i="4"/>
  <c r="E169" i="4"/>
  <c r="F168" i="4"/>
  <c r="E168" i="4"/>
  <c r="E167" i="4"/>
  <c r="F167" i="4" s="1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/>
  <c r="E142" i="4"/>
  <c r="F142" i="4" s="1"/>
  <c r="F141" i="4"/>
  <c r="E141" i="4"/>
  <c r="F140" i="4"/>
  <c r="E140" i="4"/>
  <c r="F139" i="4"/>
  <c r="E139" i="4"/>
  <c r="F138" i="4"/>
  <c r="E138" i="4"/>
  <c r="F137" i="4"/>
  <c r="E137" i="4"/>
  <c r="E136" i="4"/>
  <c r="F136" i="4" s="1"/>
  <c r="F135" i="4"/>
  <c r="E135" i="4"/>
  <c r="E134" i="4"/>
  <c r="F134" i="4" s="1"/>
  <c r="E133" i="4"/>
  <c r="F133" i="4" s="1"/>
  <c r="E132" i="4"/>
  <c r="F132" i="4" s="1"/>
  <c r="F131" i="4"/>
  <c r="E131" i="4"/>
  <c r="E130" i="4"/>
  <c r="F130" i="4" s="1"/>
  <c r="E129" i="4"/>
  <c r="F129" i="4" s="1"/>
  <c r="E128" i="4"/>
  <c r="F128" i="4" s="1"/>
  <c r="F127" i="4"/>
  <c r="E127" i="4"/>
  <c r="E126" i="4"/>
  <c r="F126" i="4" s="1"/>
  <c r="E125" i="4"/>
  <c r="F125" i="4" s="1"/>
  <c r="E124" i="4"/>
  <c r="F124" i="4" s="1"/>
  <c r="E123" i="4"/>
  <c r="F123" i="4"/>
  <c r="E122" i="4"/>
  <c r="F122" i="4" s="1"/>
  <c r="E121" i="4"/>
  <c r="F121" i="4" s="1"/>
  <c r="D118" i="4"/>
  <c r="E118" i="4" s="1"/>
  <c r="C118" i="4"/>
  <c r="F117" i="4"/>
  <c r="E117" i="4"/>
  <c r="E116" i="4"/>
  <c r="F116" i="4" s="1"/>
  <c r="E115" i="4"/>
  <c r="F115" i="4" s="1"/>
  <c r="E114" i="4"/>
  <c r="F114" i="4" s="1"/>
  <c r="F113" i="4"/>
  <c r="E113" i="4"/>
  <c r="E112" i="4"/>
  <c r="F112" i="4" s="1"/>
  <c r="D109" i="4"/>
  <c r="E109" i="4" s="1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F81" i="4"/>
  <c r="E81" i="4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C35" i="4"/>
  <c r="E34" i="4"/>
  <c r="F34" i="4"/>
  <c r="E33" i="4"/>
  <c r="F33" i="4" s="1"/>
  <c r="D30" i="4"/>
  <c r="E30" i="4" s="1"/>
  <c r="F30" i="4" s="1"/>
  <c r="C30" i="4"/>
  <c r="F29" i="4"/>
  <c r="E29" i="4"/>
  <c r="E28" i="4"/>
  <c r="F28" i="4" s="1"/>
  <c r="F27" i="4"/>
  <c r="E27" i="4"/>
  <c r="D24" i="4"/>
  <c r="C24" i="4"/>
  <c r="E24" i="4" s="1"/>
  <c r="E23" i="4"/>
  <c r="F23" i="4" s="1"/>
  <c r="E22" i="4"/>
  <c r="F22" i="4" s="1"/>
  <c r="F21" i="4"/>
  <c r="E21" i="4"/>
  <c r="E18" i="4"/>
  <c r="D18" i="4"/>
  <c r="D83" i="4"/>
  <c r="C18" i="4"/>
  <c r="F18" i="4"/>
  <c r="E17" i="4"/>
  <c r="F17" i="4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/>
  <c r="E174" i="3"/>
  <c r="F174" i="3" s="1"/>
  <c r="E173" i="3"/>
  <c r="F173" i="3" s="1"/>
  <c r="E172" i="3"/>
  <c r="F172" i="3" s="1"/>
  <c r="E171" i="3"/>
  <c r="F171" i="3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/>
  <c r="E160" i="3"/>
  <c r="F160" i="3" s="1"/>
  <c r="E159" i="3"/>
  <c r="F159" i="3" s="1"/>
  <c r="E158" i="3"/>
  <c r="F158" i="3" s="1"/>
  <c r="E157" i="3"/>
  <c r="F157" i="3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E149" i="3"/>
  <c r="F149" i="3"/>
  <c r="E148" i="3"/>
  <c r="F148" i="3" s="1"/>
  <c r="E147" i="3"/>
  <c r="F147" i="3" s="1"/>
  <c r="E146" i="3"/>
  <c r="F146" i="3" s="1"/>
  <c r="E145" i="3"/>
  <c r="F145" i="3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/>
  <c r="E131" i="3"/>
  <c r="F131" i="3" s="1"/>
  <c r="E130" i="3"/>
  <c r="F130" i="3" s="1"/>
  <c r="E129" i="3"/>
  <c r="F129" i="3" s="1"/>
  <c r="E128" i="3"/>
  <c r="F128" i="3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/>
  <c r="E119" i="3"/>
  <c r="F119" i="3" s="1"/>
  <c r="E118" i="3"/>
  <c r="F118" i="3" s="1"/>
  <c r="E117" i="3"/>
  <c r="F117" i="3" s="1"/>
  <c r="E116" i="3"/>
  <c r="F116" i="3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E107" i="3"/>
  <c r="F107" i="3" s="1"/>
  <c r="E106" i="3"/>
  <c r="F106" i="3"/>
  <c r="E105" i="3"/>
  <c r="F105" i="3" s="1"/>
  <c r="E104" i="3"/>
  <c r="F104" i="3" s="1"/>
  <c r="E103" i="3"/>
  <c r="F103" i="3" s="1"/>
  <c r="E102" i="3"/>
  <c r="F102" i="3"/>
  <c r="E101" i="3"/>
  <c r="F101" i="3" s="1"/>
  <c r="E100" i="3"/>
  <c r="F100" i="3" s="1"/>
  <c r="D94" i="3"/>
  <c r="C94" i="3"/>
  <c r="E94" i="3" s="1"/>
  <c r="D93" i="3"/>
  <c r="C93" i="3"/>
  <c r="D92" i="3"/>
  <c r="C92" i="3"/>
  <c r="E92" i="3" s="1"/>
  <c r="F92" i="3" s="1"/>
  <c r="D91" i="3"/>
  <c r="C91" i="3"/>
  <c r="D90" i="3"/>
  <c r="C90" i="3"/>
  <c r="E90" i="3" s="1"/>
  <c r="F90" i="3" s="1"/>
  <c r="D89" i="3"/>
  <c r="C89" i="3"/>
  <c r="D88" i="3"/>
  <c r="C88" i="3"/>
  <c r="E88" i="3" s="1"/>
  <c r="F88" i="3" s="1"/>
  <c r="D87" i="3"/>
  <c r="C87" i="3"/>
  <c r="D86" i="3"/>
  <c r="C86" i="3"/>
  <c r="D85" i="3"/>
  <c r="C85" i="3"/>
  <c r="E85" i="3" s="1"/>
  <c r="D84" i="3"/>
  <c r="D95" i="3" s="1"/>
  <c r="C84" i="3"/>
  <c r="C95" i="3"/>
  <c r="D81" i="3"/>
  <c r="C81" i="3"/>
  <c r="F80" i="3"/>
  <c r="E80" i="3"/>
  <c r="E79" i="3"/>
  <c r="F79" i="3"/>
  <c r="E78" i="3"/>
  <c r="F78" i="3" s="1"/>
  <c r="E77" i="3"/>
  <c r="F77" i="3" s="1"/>
  <c r="E76" i="3"/>
  <c r="F76" i="3" s="1"/>
  <c r="E75" i="3"/>
  <c r="F75" i="3"/>
  <c r="E74" i="3"/>
  <c r="F74" i="3" s="1"/>
  <c r="E73" i="3"/>
  <c r="F73" i="3" s="1"/>
  <c r="E72" i="3"/>
  <c r="F72" i="3" s="1"/>
  <c r="E71" i="3"/>
  <c r="F71" i="3"/>
  <c r="E70" i="3"/>
  <c r="F70" i="3" s="1"/>
  <c r="D68" i="3"/>
  <c r="E68" i="3" s="1"/>
  <c r="C68" i="3"/>
  <c r="F68" i="3"/>
  <c r="F67" i="3"/>
  <c r="E67" i="3"/>
  <c r="E66" i="3"/>
  <c r="F66" i="3" s="1"/>
  <c r="E65" i="3"/>
  <c r="F65" i="3" s="1"/>
  <c r="E64" i="3"/>
  <c r="F64" i="3" s="1"/>
  <c r="E63" i="3"/>
  <c r="F63" i="3"/>
  <c r="E62" i="3"/>
  <c r="F62" i="3" s="1"/>
  <c r="E61" i="3"/>
  <c r="F61" i="3" s="1"/>
  <c r="E60" i="3"/>
  <c r="F60" i="3" s="1"/>
  <c r="E59" i="3"/>
  <c r="F59" i="3"/>
  <c r="E58" i="3"/>
  <c r="F58" i="3" s="1"/>
  <c r="E57" i="3"/>
  <c r="F57" i="3" s="1"/>
  <c r="D51" i="3"/>
  <c r="C51" i="3"/>
  <c r="E51" i="3" s="1"/>
  <c r="D50" i="3"/>
  <c r="C50" i="3"/>
  <c r="D49" i="3"/>
  <c r="C49" i="3"/>
  <c r="D48" i="3"/>
  <c r="C48" i="3"/>
  <c r="E48" i="3" s="1"/>
  <c r="F48" i="3" s="1"/>
  <c r="D47" i="3"/>
  <c r="C47" i="3"/>
  <c r="D46" i="3"/>
  <c r="C46" i="3"/>
  <c r="D45" i="3"/>
  <c r="C45" i="3"/>
  <c r="E45" i="3" s="1"/>
  <c r="F45" i="3" s="1"/>
  <c r="D44" i="3"/>
  <c r="C44" i="3"/>
  <c r="D43" i="3"/>
  <c r="C43" i="3"/>
  <c r="D42" i="3"/>
  <c r="C42" i="3"/>
  <c r="E42" i="3" s="1"/>
  <c r="F42" i="3" s="1"/>
  <c r="D41" i="3"/>
  <c r="D52" i="3" s="1"/>
  <c r="C41" i="3"/>
  <c r="C52" i="3" s="1"/>
  <c r="D38" i="3"/>
  <c r="C38" i="3"/>
  <c r="E38" i="3" s="1"/>
  <c r="F38" i="3" s="1"/>
  <c r="F37" i="3"/>
  <c r="E37" i="3"/>
  <c r="E36" i="3"/>
  <c r="F36" i="3" s="1"/>
  <c r="E35" i="3"/>
  <c r="F35" i="3" s="1"/>
  <c r="E34" i="3"/>
  <c r="F34" i="3"/>
  <c r="E33" i="3"/>
  <c r="F33" i="3" s="1"/>
  <c r="E32" i="3"/>
  <c r="F32" i="3" s="1"/>
  <c r="E31" i="3"/>
  <c r="F31" i="3" s="1"/>
  <c r="E30" i="3"/>
  <c r="F30" i="3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/>
  <c r="E19" i="3"/>
  <c r="F19" i="3" s="1"/>
  <c r="E18" i="3"/>
  <c r="F18" i="3" s="1"/>
  <c r="E17" i="3"/>
  <c r="F17" i="3" s="1"/>
  <c r="E16" i="3"/>
  <c r="F16" i="3"/>
  <c r="E15" i="3"/>
  <c r="F15" i="3" s="1"/>
  <c r="E14" i="3"/>
  <c r="F14" i="3" s="1"/>
  <c r="E49" i="2"/>
  <c r="F49" i="2" s="1"/>
  <c r="D46" i="2"/>
  <c r="C46" i="2"/>
  <c r="F46" i="2" s="1"/>
  <c r="F45" i="2"/>
  <c r="E45" i="2"/>
  <c r="F44" i="2"/>
  <c r="E44" i="2"/>
  <c r="D39" i="2"/>
  <c r="E39" i="2" s="1"/>
  <c r="F39" i="2" s="1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/>
  <c r="E28" i="2"/>
  <c r="F28" i="2" s="1"/>
  <c r="E27" i="2"/>
  <c r="F27" i="2" s="1"/>
  <c r="E26" i="2"/>
  <c r="F26" i="2" s="1"/>
  <c r="E25" i="2"/>
  <c r="F25" i="2"/>
  <c r="E24" i="2"/>
  <c r="F24" i="2" s="1"/>
  <c r="E23" i="2"/>
  <c r="F23" i="2" s="1"/>
  <c r="E22" i="2"/>
  <c r="F22" i="2" s="1"/>
  <c r="E18" i="2"/>
  <c r="F18" i="2"/>
  <c r="E17" i="2"/>
  <c r="F17" i="2" s="1"/>
  <c r="D16" i="2"/>
  <c r="E16" i="2" s="1"/>
  <c r="C16" i="2"/>
  <c r="F15" i="2"/>
  <c r="E15" i="2"/>
  <c r="F14" i="2"/>
  <c r="E14" i="2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E61" i="1" s="1"/>
  <c r="C61" i="1"/>
  <c r="E60" i="1"/>
  <c r="F60" i="1" s="1"/>
  <c r="E59" i="1"/>
  <c r="F59" i="1" s="1"/>
  <c r="D56" i="1"/>
  <c r="C56" i="1"/>
  <c r="E55" i="1"/>
  <c r="F55" i="1"/>
  <c r="E54" i="1"/>
  <c r="F54" i="1" s="1"/>
  <c r="E53" i="1"/>
  <c r="F53" i="1" s="1"/>
  <c r="E52" i="1"/>
  <c r="F52" i="1" s="1"/>
  <c r="E51" i="1"/>
  <c r="F51" i="1" s="1"/>
  <c r="E50" i="1"/>
  <c r="F50" i="1" s="1"/>
  <c r="A50" i="1"/>
  <c r="A51" i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E37" i="1"/>
  <c r="F37" i="1" s="1"/>
  <c r="E36" i="1"/>
  <c r="F36" i="1"/>
  <c r="E33" i="1"/>
  <c r="F33" i="1" s="1"/>
  <c r="E32" i="1"/>
  <c r="F32" i="1"/>
  <c r="E31" i="1"/>
  <c r="F31" i="1" s="1"/>
  <c r="D29" i="1"/>
  <c r="C29" i="1"/>
  <c r="E28" i="1"/>
  <c r="F28" i="1"/>
  <c r="F27" i="1"/>
  <c r="E27" i="1"/>
  <c r="F26" i="1"/>
  <c r="E26" i="1"/>
  <c r="E25" i="1"/>
  <c r="F25" i="1" s="1"/>
  <c r="D22" i="1"/>
  <c r="E22" i="1" s="1"/>
  <c r="C22" i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D90" i="14"/>
  <c r="D278" i="14"/>
  <c r="E100" i="14"/>
  <c r="E109" i="14"/>
  <c r="E203" i="14"/>
  <c r="F203" i="14" s="1"/>
  <c r="E238" i="14"/>
  <c r="E296" i="14"/>
  <c r="F296" i="14" s="1"/>
  <c r="D37" i="14"/>
  <c r="D60" i="14"/>
  <c r="D61" i="14" s="1"/>
  <c r="D146" i="14"/>
  <c r="D283" i="14"/>
  <c r="F130" i="14"/>
  <c r="E144" i="14"/>
  <c r="F164" i="14"/>
  <c r="E226" i="14"/>
  <c r="D206" i="14"/>
  <c r="D239" i="14"/>
  <c r="D277" i="14"/>
  <c r="D284" i="14" s="1"/>
  <c r="E37" i="14"/>
  <c r="E67" i="14"/>
  <c r="E77" i="14"/>
  <c r="E129" i="14"/>
  <c r="F129" i="14" s="1"/>
  <c r="D214" i="14"/>
  <c r="D254" i="14" s="1"/>
  <c r="D261" i="14"/>
  <c r="D263" i="14" s="1"/>
  <c r="D140" i="5"/>
  <c r="D136" i="5"/>
  <c r="D139" i="5"/>
  <c r="D135" i="5"/>
  <c r="D138" i="5"/>
  <c r="D137" i="5"/>
  <c r="D157" i="5"/>
  <c r="D153" i="5"/>
  <c r="D156" i="5"/>
  <c r="D152" i="5"/>
  <c r="D154" i="5"/>
  <c r="D155" i="5"/>
  <c r="D158" i="5" s="1"/>
  <c r="C24" i="5"/>
  <c r="C17" i="5"/>
  <c r="E24" i="10"/>
  <c r="E17" i="10"/>
  <c r="E28" i="10"/>
  <c r="E70" i="10" s="1"/>
  <c r="E72" i="10" s="1"/>
  <c r="C21" i="10"/>
  <c r="E278" i="14"/>
  <c r="F278" i="14" s="1"/>
  <c r="F51" i="3"/>
  <c r="F85" i="3"/>
  <c r="F94" i="3"/>
  <c r="F24" i="4"/>
  <c r="C83" i="4"/>
  <c r="E83" i="4" s="1"/>
  <c r="F83" i="4" s="1"/>
  <c r="C65" i="1"/>
  <c r="C19" i="2"/>
  <c r="C33" i="2" s="1"/>
  <c r="C41" i="2" s="1"/>
  <c r="E43" i="3"/>
  <c r="F43" i="3" s="1"/>
  <c r="E44" i="3"/>
  <c r="F44" i="3" s="1"/>
  <c r="E46" i="3"/>
  <c r="E47" i="3"/>
  <c r="E49" i="3"/>
  <c r="F49" i="3" s="1"/>
  <c r="E50" i="3"/>
  <c r="F50" i="3" s="1"/>
  <c r="E81" i="3"/>
  <c r="F81" i="3" s="1"/>
  <c r="E84" i="3"/>
  <c r="E86" i="3"/>
  <c r="F86" i="3" s="1"/>
  <c r="E87" i="3"/>
  <c r="F87" i="3" s="1"/>
  <c r="E89" i="3"/>
  <c r="F89" i="3" s="1"/>
  <c r="E91" i="3"/>
  <c r="F91" i="3" s="1"/>
  <c r="E93" i="3"/>
  <c r="F93" i="3" s="1"/>
  <c r="E124" i="3"/>
  <c r="F124" i="3" s="1"/>
  <c r="E153" i="3"/>
  <c r="F153" i="3" s="1"/>
  <c r="E179" i="3"/>
  <c r="F179" i="3" s="1"/>
  <c r="C25" i="5"/>
  <c r="C27" i="5" s="1"/>
  <c r="D122" i="7"/>
  <c r="E122" i="7" s="1"/>
  <c r="F122" i="7" s="1"/>
  <c r="F31" i="9"/>
  <c r="E25" i="10"/>
  <c r="E27" i="10"/>
  <c r="E22" i="10" s="1"/>
  <c r="D48" i="10"/>
  <c r="D42" i="10"/>
  <c r="C53" i="5"/>
  <c r="C49" i="5"/>
  <c r="D21" i="10"/>
  <c r="F33" i="11"/>
  <c r="H33" i="11" s="1"/>
  <c r="H17" i="11"/>
  <c r="I33" i="11"/>
  <c r="I36" i="11" s="1"/>
  <c r="I38" i="11" s="1"/>
  <c r="I40" i="11" s="1"/>
  <c r="G36" i="11"/>
  <c r="G38" i="11" s="1"/>
  <c r="G40" i="11" s="1"/>
  <c r="E89" i="14"/>
  <c r="F89" i="14"/>
  <c r="F84" i="3"/>
  <c r="E41" i="4"/>
  <c r="F41" i="4"/>
  <c r="E155" i="4"/>
  <c r="F155" i="4"/>
  <c r="D15" i="5"/>
  <c r="C79" i="5"/>
  <c r="C88" i="5"/>
  <c r="C90" i="5" s="1"/>
  <c r="C86" i="5" s="1"/>
  <c r="F63" i="6"/>
  <c r="F115" i="6"/>
  <c r="F141" i="6"/>
  <c r="F199" i="6"/>
  <c r="F201" i="6"/>
  <c r="F203" i="6"/>
  <c r="F35" i="7"/>
  <c r="F107" i="7"/>
  <c r="F116" i="7"/>
  <c r="F118" i="7"/>
  <c r="F120" i="7"/>
  <c r="F31" i="11"/>
  <c r="F17" i="13"/>
  <c r="E38" i="8"/>
  <c r="F38" i="8" s="1"/>
  <c r="D41" i="8"/>
  <c r="C41" i="9"/>
  <c r="E33" i="11"/>
  <c r="E36" i="11"/>
  <c r="E38" i="11" s="1"/>
  <c r="E31" i="11"/>
  <c r="D284" i="15"/>
  <c r="E22" i="15"/>
  <c r="E43" i="15"/>
  <c r="D157" i="15"/>
  <c r="D176" i="4"/>
  <c r="E198" i="6"/>
  <c r="F198" i="6" s="1"/>
  <c r="E117" i="7"/>
  <c r="F117" i="7"/>
  <c r="C59" i="10"/>
  <c r="C61" i="10"/>
  <c r="C57" i="10" s="1"/>
  <c r="E69" i="10"/>
  <c r="C41" i="8"/>
  <c r="C43" i="8" s="1"/>
  <c r="E32" i="14"/>
  <c r="F32" i="14" s="1"/>
  <c r="F36" i="6"/>
  <c r="F140" i="6"/>
  <c r="F204" i="6"/>
  <c r="F113" i="7"/>
  <c r="C42" i="10"/>
  <c r="D320" i="15"/>
  <c r="E320" i="15" s="1"/>
  <c r="E316" i="15"/>
  <c r="D330" i="15"/>
  <c r="E330" i="15"/>
  <c r="E326" i="15"/>
  <c r="E57" i="5"/>
  <c r="E62" i="5" s="1"/>
  <c r="F20" i="14"/>
  <c r="F23" i="14"/>
  <c r="F37" i="14"/>
  <c r="F52" i="14"/>
  <c r="F66" i="14"/>
  <c r="C68" i="14"/>
  <c r="F95" i="14"/>
  <c r="F109" i="14"/>
  <c r="C111" i="14"/>
  <c r="F120" i="14"/>
  <c r="C124" i="14"/>
  <c r="F171" i="14"/>
  <c r="C206" i="14"/>
  <c r="C193" i="14"/>
  <c r="F204" i="14"/>
  <c r="C215" i="14"/>
  <c r="C227" i="14"/>
  <c r="C267" i="14"/>
  <c r="C269" i="14"/>
  <c r="C285" i="14"/>
  <c r="C283" i="15"/>
  <c r="D44" i="15"/>
  <c r="C55" i="15"/>
  <c r="C252" i="15"/>
  <c r="E220" i="15"/>
  <c r="C222" i="15"/>
  <c r="C262" i="14"/>
  <c r="C255" i="14"/>
  <c r="E189" i="14"/>
  <c r="F189" i="14" s="1"/>
  <c r="C280" i="14"/>
  <c r="C200" i="14"/>
  <c r="C274" i="14"/>
  <c r="F198" i="14"/>
  <c r="E215" i="15"/>
  <c r="D239" i="15"/>
  <c r="E239" i="15"/>
  <c r="D270" i="14"/>
  <c r="E267" i="14"/>
  <c r="F24" i="14"/>
  <c r="E31" i="14"/>
  <c r="F31" i="14" s="1"/>
  <c r="F44" i="14"/>
  <c r="F53" i="14"/>
  <c r="F67" i="14"/>
  <c r="E76" i="14"/>
  <c r="F76" i="14" s="1"/>
  <c r="E88" i="14"/>
  <c r="F88" i="14" s="1"/>
  <c r="F100" i="14"/>
  <c r="F110" i="14"/>
  <c r="F144" i="14"/>
  <c r="C146" i="14"/>
  <c r="F155" i="14"/>
  <c r="F170" i="14"/>
  <c r="C181" i="14"/>
  <c r="C239" i="14"/>
  <c r="C283" i="14"/>
  <c r="C290" i="14"/>
  <c r="C33" i="15"/>
  <c r="E39" i="15"/>
  <c r="C65" i="15"/>
  <c r="C246" i="15" s="1"/>
  <c r="C156" i="15"/>
  <c r="C157" i="15" s="1"/>
  <c r="E166" i="15"/>
  <c r="E244" i="15"/>
  <c r="E221" i="15"/>
  <c r="F36" i="17"/>
  <c r="D272" i="14"/>
  <c r="C284" i="14"/>
  <c r="D260" i="15"/>
  <c r="E195" i="15"/>
  <c r="E231" i="15"/>
  <c r="D175" i="14"/>
  <c r="D105" i="14"/>
  <c r="D106" i="14" s="1"/>
  <c r="D207" i="14"/>
  <c r="D138" i="14"/>
  <c r="F180" i="14"/>
  <c r="C205" i="14"/>
  <c r="C214" i="14"/>
  <c r="F226" i="14"/>
  <c r="F238" i="14"/>
  <c r="F250" i="14"/>
  <c r="C279" i="14"/>
  <c r="F299" i="14"/>
  <c r="C306" i="14"/>
  <c r="E306" i="14" s="1"/>
  <c r="C284" i="15"/>
  <c r="E284" i="15" s="1"/>
  <c r="E37" i="15"/>
  <c r="E151" i="15"/>
  <c r="D163" i="15"/>
  <c r="E163" i="15" s="1"/>
  <c r="E21" i="15"/>
  <c r="D283" i="15"/>
  <c r="E283" i="15" s="1"/>
  <c r="D240" i="15"/>
  <c r="D222" i="15"/>
  <c r="C217" i="15"/>
  <c r="C241" i="15" s="1"/>
  <c r="C242" i="15"/>
  <c r="E219" i="15"/>
  <c r="D243" i="15"/>
  <c r="E243" i="15"/>
  <c r="C21" i="14"/>
  <c r="F229" i="14"/>
  <c r="C254" i="14"/>
  <c r="C282" i="14"/>
  <c r="E55" i="15"/>
  <c r="D139" i="14"/>
  <c r="D268" i="14"/>
  <c r="E233" i="15"/>
  <c r="E251" i="15"/>
  <c r="C37" i="16"/>
  <c r="C38" i="16" s="1"/>
  <c r="C127" i="16" s="1"/>
  <c r="C129" i="16" s="1"/>
  <c r="C133" i="16" s="1"/>
  <c r="C20" i="17"/>
  <c r="E20" i="17" s="1"/>
  <c r="C40" i="17"/>
  <c r="C41" i="17" s="1"/>
  <c r="C46" i="17"/>
  <c r="E22" i="19"/>
  <c r="C33" i="19"/>
  <c r="D34" i="19"/>
  <c r="D77" i="19"/>
  <c r="D109" i="19" s="1"/>
  <c r="C101" i="19"/>
  <c r="D161" i="14"/>
  <c r="D174" i="14"/>
  <c r="D193" i="14"/>
  <c r="D271" i="14"/>
  <c r="D273" i="14" s="1"/>
  <c r="D285" i="14"/>
  <c r="D303" i="15"/>
  <c r="D306" i="15" s="1"/>
  <c r="E314" i="15"/>
  <c r="C49" i="16"/>
  <c r="F33" i="17"/>
  <c r="D22" i="19"/>
  <c r="E23" i="19"/>
  <c r="C54" i="19"/>
  <c r="E108" i="19"/>
  <c r="D124" i="14"/>
  <c r="E124" i="14"/>
  <c r="D160" i="14"/>
  <c r="D200" i="14"/>
  <c r="E200" i="14" s="1"/>
  <c r="D274" i="14"/>
  <c r="E274" i="14" s="1"/>
  <c r="F274" i="14" s="1"/>
  <c r="D280" i="14"/>
  <c r="E324" i="15"/>
  <c r="E19" i="17"/>
  <c r="F19" i="17" s="1"/>
  <c r="E39" i="17"/>
  <c r="E43" i="17"/>
  <c r="D23" i="19"/>
  <c r="E33" i="19"/>
  <c r="D49" i="14"/>
  <c r="D50" i="14" s="1"/>
  <c r="D91" i="14"/>
  <c r="D104" i="14"/>
  <c r="D199" i="14"/>
  <c r="D205" i="14"/>
  <c r="E205" i="14" s="1"/>
  <c r="D215" i="14"/>
  <c r="C30" i="19"/>
  <c r="C48" i="19" s="1"/>
  <c r="C36" i="19"/>
  <c r="C40" i="19"/>
  <c r="D287" i="14"/>
  <c r="D126" i="14"/>
  <c r="D162" i="14"/>
  <c r="E110" i="19"/>
  <c r="E45" i="19"/>
  <c r="E35" i="19"/>
  <c r="C216" i="14"/>
  <c r="E214" i="14"/>
  <c r="F214" i="14" s="1"/>
  <c r="E280" i="14"/>
  <c r="F280" i="14" s="1"/>
  <c r="D45" i="19"/>
  <c r="D35" i="19"/>
  <c r="D110" i="19"/>
  <c r="E193" i="14"/>
  <c r="D176" i="14"/>
  <c r="E260" i="15"/>
  <c r="E290" i="14"/>
  <c r="F267" i="14"/>
  <c r="F20" i="17"/>
  <c r="D300" i="14"/>
  <c r="C223" i="15"/>
  <c r="D252" i="15"/>
  <c r="E156" i="15"/>
  <c r="D304" i="14"/>
  <c r="D255" i="14"/>
  <c r="E255" i="14" s="1"/>
  <c r="E215" i="14"/>
  <c r="D286" i="14"/>
  <c r="E285" i="14"/>
  <c r="D92" i="14"/>
  <c r="E54" i="19"/>
  <c r="E46" i="19"/>
  <c r="E40" i="19"/>
  <c r="E36" i="19"/>
  <c r="E30" i="19"/>
  <c r="E111" i="19"/>
  <c r="D208" i="14"/>
  <c r="C281" i="14"/>
  <c r="C48" i="9"/>
  <c r="C28" i="5"/>
  <c r="C112" i="5"/>
  <c r="C111" i="5" s="1"/>
  <c r="F205" i="14"/>
  <c r="D288" i="14"/>
  <c r="D216" i="14"/>
  <c r="E216" i="14" s="1"/>
  <c r="D125" i="14"/>
  <c r="D140" i="14"/>
  <c r="F39" i="17"/>
  <c r="F124" i="14"/>
  <c r="C304" i="14"/>
  <c r="E157" i="15"/>
  <c r="C126" i="14"/>
  <c r="E21" i="14"/>
  <c r="F21" i="14" s="1"/>
  <c r="C91" i="14"/>
  <c r="D127" i="14"/>
  <c r="E284" i="14"/>
  <c r="F284" i="14" s="1"/>
  <c r="E239" i="14"/>
  <c r="F239" i="14" s="1"/>
  <c r="F181" i="14"/>
  <c r="E181" i="14"/>
  <c r="E146" i="14"/>
  <c r="E262" i="14"/>
  <c r="C272" i="14"/>
  <c r="D258" i="15"/>
  <c r="D98" i="15"/>
  <c r="D87" i="15"/>
  <c r="D83" i="15"/>
  <c r="D97" i="15"/>
  <c r="D95" i="15"/>
  <c r="D85" i="15"/>
  <c r="D101" i="15"/>
  <c r="D99" i="15"/>
  <c r="D89" i="15"/>
  <c r="D96" i="15"/>
  <c r="D86" i="15"/>
  <c r="D84" i="15"/>
  <c r="D90" i="15" s="1"/>
  <c r="D100" i="15"/>
  <c r="D88" i="15"/>
  <c r="E227" i="14"/>
  <c r="F227" i="14"/>
  <c r="E206" i="14"/>
  <c r="F206" i="14"/>
  <c r="E68" i="14"/>
  <c r="F68" i="14"/>
  <c r="F36" i="11"/>
  <c r="F38" i="11" s="1"/>
  <c r="F40" i="11" s="1"/>
  <c r="H36" i="11"/>
  <c r="H38" i="11" s="1"/>
  <c r="H40" i="11" s="1"/>
  <c r="E20" i="10"/>
  <c r="F285" i="14"/>
  <c r="C288" i="14"/>
  <c r="D141" i="5"/>
  <c r="D40" i="19"/>
  <c r="D30" i="19"/>
  <c r="D54" i="19"/>
  <c r="D108" i="19"/>
  <c r="C286" i="14"/>
  <c r="E283" i="14"/>
  <c r="F283" i="14"/>
  <c r="C194" i="14"/>
  <c r="C196" i="14" s="1"/>
  <c r="D24" i="5"/>
  <c r="D20" i="5" s="1"/>
  <c r="D17" i="5"/>
  <c r="D28" i="5" s="1"/>
  <c r="E40" i="17"/>
  <c r="C287" i="14"/>
  <c r="E33" i="15"/>
  <c r="D113" i="19"/>
  <c r="D48" i="19"/>
  <c r="C291" i="14"/>
  <c r="C289" i="14"/>
  <c r="E287" i="14"/>
  <c r="F287" i="14" s="1"/>
  <c r="D112" i="5"/>
  <c r="D111" i="5" s="1"/>
  <c r="D102" i="15"/>
  <c r="C92" i="14"/>
  <c r="E288" i="14"/>
  <c r="F288" i="14"/>
  <c r="E48" i="19"/>
  <c r="E38" i="19"/>
  <c r="E113" i="19"/>
  <c r="E56" i="19"/>
  <c r="D310" i="15"/>
  <c r="D141" i="14"/>
  <c r="D148" i="14" s="1"/>
  <c r="D210" i="14"/>
  <c r="D209" i="14"/>
  <c r="E304" i="14"/>
  <c r="F304" i="14" s="1"/>
  <c r="E252" i="15"/>
  <c r="D103" i="15"/>
  <c r="D324" i="14"/>
  <c r="D325" i="14" s="1"/>
  <c r="D113" i="14"/>
  <c r="E92" i="14"/>
  <c r="F92" i="14" s="1"/>
  <c r="D183" i="14"/>
  <c r="D323" i="14"/>
  <c r="E272" i="14"/>
  <c r="F272" i="14" s="1"/>
  <c r="E286" i="14"/>
  <c r="F286" i="14" s="1"/>
  <c r="D211" i="14"/>
  <c r="C48" i="2"/>
  <c r="C305" i="14"/>
  <c r="D91" i="15"/>
  <c r="D322" i="14"/>
  <c r="C309" i="14"/>
  <c r="D105" i="15"/>
  <c r="C310" i="14"/>
  <c r="C312" i="14" s="1"/>
  <c r="C313" i="14" s="1"/>
  <c r="C251" i="14" l="1"/>
  <c r="C256" i="14"/>
  <c r="C257" i="14" s="1"/>
  <c r="C315" i="14"/>
  <c r="C314" i="14"/>
  <c r="F61" i="1"/>
  <c r="D99" i="5"/>
  <c r="D101" i="5" s="1"/>
  <c r="D98" i="5" s="1"/>
  <c r="D22" i="5"/>
  <c r="C20" i="5"/>
  <c r="C21" i="5"/>
  <c r="C43" i="1"/>
  <c r="E31" i="2"/>
  <c r="F31" i="2" s="1"/>
  <c r="E46" i="2"/>
  <c r="E25" i="3"/>
  <c r="F25" i="3" s="1"/>
  <c r="E111" i="3"/>
  <c r="F111" i="3" s="1"/>
  <c r="E137" i="3"/>
  <c r="F137" i="3" s="1"/>
  <c r="E166" i="3"/>
  <c r="F166" i="3" s="1"/>
  <c r="E35" i="4"/>
  <c r="E59" i="4"/>
  <c r="E78" i="4"/>
  <c r="F22" i="1"/>
  <c r="E29" i="1"/>
  <c r="F29" i="1" s="1"/>
  <c r="E41" i="1"/>
  <c r="F41" i="1" s="1"/>
  <c r="E56" i="1"/>
  <c r="F56" i="1" s="1"/>
  <c r="D65" i="1"/>
  <c r="E65" i="1" s="1"/>
  <c r="F65" i="1" s="1"/>
  <c r="F46" i="3"/>
  <c r="F47" i="3"/>
  <c r="E95" i="3"/>
  <c r="F95" i="3" s="1"/>
  <c r="F35" i="4"/>
  <c r="E171" i="4"/>
  <c r="F171" i="4" s="1"/>
  <c r="E27" i="5"/>
  <c r="E21" i="5" s="1"/>
  <c r="D57" i="5"/>
  <c r="D62" i="5" s="1"/>
  <c r="E43" i="5"/>
  <c r="C43" i="5"/>
  <c r="D53" i="5"/>
  <c r="D71" i="5"/>
  <c r="E77" i="5"/>
  <c r="E71" i="5" s="1"/>
  <c r="C149" i="5"/>
  <c r="E207" i="6"/>
  <c r="F207" i="6" s="1"/>
  <c r="E114" i="7"/>
  <c r="F114" i="7" s="1"/>
  <c r="E115" i="7"/>
  <c r="E119" i="7"/>
  <c r="E61" i="8"/>
  <c r="F61" i="8" s="1"/>
  <c r="C176" i="4"/>
  <c r="E176" i="4" s="1"/>
  <c r="F176" i="4" s="1"/>
  <c r="D49" i="5"/>
  <c r="C71" i="5"/>
  <c r="E79" i="5"/>
  <c r="C109" i="5"/>
  <c r="C106" i="5" s="1"/>
  <c r="E109" i="5"/>
  <c r="E106" i="5" s="1"/>
  <c r="E149" i="5"/>
  <c r="C166" i="5"/>
  <c r="E166" i="5"/>
  <c r="E23" i="6"/>
  <c r="F23" i="6" s="1"/>
  <c r="E24" i="6"/>
  <c r="F24" i="6" s="1"/>
  <c r="E37" i="6"/>
  <c r="F37" i="6" s="1"/>
  <c r="E114" i="6"/>
  <c r="F114" i="6" s="1"/>
  <c r="C208" i="6"/>
  <c r="D208" i="6"/>
  <c r="E200" i="6"/>
  <c r="F200" i="6" s="1"/>
  <c r="E205" i="6"/>
  <c r="F205" i="6" s="1"/>
  <c r="E206" i="6"/>
  <c r="F36" i="7"/>
  <c r="E48" i="7"/>
  <c r="E72" i="7"/>
  <c r="E108" i="7"/>
  <c r="F108" i="7" s="1"/>
  <c r="E112" i="7"/>
  <c r="F112" i="7" s="1"/>
  <c r="F115" i="7"/>
  <c r="E22" i="8"/>
  <c r="E56" i="8"/>
  <c r="F56" i="8" s="1"/>
  <c r="D65" i="8"/>
  <c r="E73" i="8"/>
  <c r="E16" i="9"/>
  <c r="D15" i="10"/>
  <c r="D24" i="10" s="1"/>
  <c r="E70" i="12"/>
  <c r="F70" i="12" s="1"/>
  <c r="F73" i="12"/>
  <c r="E92" i="12"/>
  <c r="F92" i="12" s="1"/>
  <c r="C48" i="14"/>
  <c r="F85" i="14"/>
  <c r="F145" i="14"/>
  <c r="C199" i="14"/>
  <c r="E199" i="14" s="1"/>
  <c r="F199" i="14" s="1"/>
  <c r="E32" i="15"/>
  <c r="C44" i="15"/>
  <c r="E54" i="15"/>
  <c r="E75" i="15"/>
  <c r="E245" i="15"/>
  <c r="E232" i="15"/>
  <c r="E262" i="15"/>
  <c r="E276" i="15"/>
  <c r="E278" i="15"/>
  <c r="E279" i="15"/>
  <c r="E288" i="15"/>
  <c r="E19" i="18"/>
  <c r="F19" i="18" s="1"/>
  <c r="E21" i="18"/>
  <c r="F21" i="18" s="1"/>
  <c r="C77" i="19"/>
  <c r="D102" i="19"/>
  <c r="D103" i="19" s="1"/>
  <c r="C102" i="19"/>
  <c r="C103" i="19" s="1"/>
  <c r="E101" i="19"/>
  <c r="D88" i="19"/>
  <c r="E98" i="19"/>
  <c r="D111" i="14"/>
  <c r="E111" i="14" s="1"/>
  <c r="F111" i="14" s="1"/>
  <c r="D20" i="10"/>
  <c r="D80" i="10"/>
  <c r="D77" i="10" s="1"/>
  <c r="F37" i="12"/>
  <c r="E50" i="12"/>
  <c r="F135" i="14"/>
  <c r="F297" i="14"/>
  <c r="E289" i="15"/>
  <c r="E161" i="15"/>
  <c r="E162" i="15"/>
  <c r="E164" i="15"/>
  <c r="E167" i="15"/>
  <c r="E173" i="15"/>
  <c r="E178" i="15"/>
  <c r="D189" i="15"/>
  <c r="E189" i="15" s="1"/>
  <c r="E216" i="15"/>
  <c r="E44" i="17"/>
  <c r="F44" i="17" s="1"/>
  <c r="C195" i="14"/>
  <c r="E41" i="17"/>
  <c r="F41" i="17" s="1"/>
  <c r="F40" i="17"/>
  <c r="D56" i="19"/>
  <c r="D38" i="19"/>
  <c r="E91" i="14"/>
  <c r="F91" i="14" s="1"/>
  <c r="C99" i="5"/>
  <c r="C101" i="5" s="1"/>
  <c r="C98" i="5" s="1"/>
  <c r="C22" i="5"/>
  <c r="F216" i="14"/>
  <c r="D289" i="14"/>
  <c r="E289" i="14" s="1"/>
  <c r="F289" i="14" s="1"/>
  <c r="D291" i="14"/>
  <c r="C56" i="19"/>
  <c r="C38" i="19"/>
  <c r="E46" i="17"/>
  <c r="F43" i="17"/>
  <c r="D266" i="14"/>
  <c r="D194" i="14"/>
  <c r="D282" i="14"/>
  <c r="E53" i="19"/>
  <c r="E39" i="19"/>
  <c r="E29" i="19"/>
  <c r="D223" i="15"/>
  <c r="E222" i="15"/>
  <c r="F262" i="14"/>
  <c r="C270" i="14"/>
  <c r="E269" i="14"/>
  <c r="F269" i="14" s="1"/>
  <c r="F215" i="14"/>
  <c r="C266" i="14"/>
  <c r="F193" i="14"/>
  <c r="E41" i="8"/>
  <c r="F41" i="8" s="1"/>
  <c r="D43" i="8"/>
  <c r="E43" i="8" s="1"/>
  <c r="E254" i="14"/>
  <c r="F254" i="14" s="1"/>
  <c r="C135" i="5"/>
  <c r="C136" i="5"/>
  <c r="C140" i="5"/>
  <c r="E126" i="14"/>
  <c r="F126" i="14" s="1"/>
  <c r="C127" i="14"/>
  <c r="D46" i="19"/>
  <c r="D36" i="19"/>
  <c r="D111" i="19"/>
  <c r="D53" i="19"/>
  <c r="D39" i="19"/>
  <c r="D29" i="19"/>
  <c r="F46" i="17"/>
  <c r="E240" i="15"/>
  <c r="D253" i="15"/>
  <c r="C66" i="15"/>
  <c r="C295" i="15" s="1"/>
  <c r="C294" i="15"/>
  <c r="F290" i="14"/>
  <c r="F146" i="14"/>
  <c r="E270" i="14"/>
  <c r="F200" i="14"/>
  <c r="F255" i="14"/>
  <c r="F43" i="8"/>
  <c r="D62" i="14"/>
  <c r="F16" i="2"/>
  <c r="E52" i="3"/>
  <c r="F52" i="3" s="1"/>
  <c r="E73" i="1"/>
  <c r="F73" i="1" s="1"/>
  <c r="E21" i="10"/>
  <c r="E277" i="14"/>
  <c r="F277" i="14" s="1"/>
  <c r="D279" i="14"/>
  <c r="E279" i="14" s="1"/>
  <c r="F279" i="14" s="1"/>
  <c r="F41" i="3"/>
  <c r="E41" i="3"/>
  <c r="C75" i="1"/>
  <c r="E38" i="1"/>
  <c r="F38" i="1" s="1"/>
  <c r="D75" i="1"/>
  <c r="E75" i="1" s="1"/>
  <c r="D43" i="1"/>
  <c r="E43" i="1" s="1"/>
  <c r="F43" i="1" s="1"/>
  <c r="D19" i="2"/>
  <c r="F109" i="4"/>
  <c r="C154" i="5"/>
  <c r="C157" i="5"/>
  <c r="C153" i="5"/>
  <c r="F59" i="4"/>
  <c r="F78" i="4"/>
  <c r="F118" i="4"/>
  <c r="E49" i="5"/>
  <c r="D88" i="5"/>
  <c r="D90" i="5" s="1"/>
  <c r="D86" i="5" s="1"/>
  <c r="F49" i="6"/>
  <c r="E49" i="6"/>
  <c r="E62" i="6"/>
  <c r="F62" i="6" s="1"/>
  <c r="E76" i="6"/>
  <c r="F76" i="6" s="1"/>
  <c r="F206" i="6"/>
  <c r="E121" i="7"/>
  <c r="F121" i="7" s="1"/>
  <c r="F22" i="8"/>
  <c r="F16" i="9"/>
  <c r="F84" i="12"/>
  <c r="F99" i="12"/>
  <c r="F21" i="13"/>
  <c r="E15" i="5"/>
  <c r="E50" i="6"/>
  <c r="F50" i="6" s="1"/>
  <c r="E75" i="6"/>
  <c r="F75" i="6" s="1"/>
  <c r="E208" i="6"/>
  <c r="F208" i="6" s="1"/>
  <c r="E101" i="6"/>
  <c r="E102" i="6"/>
  <c r="E127" i="6"/>
  <c r="F127" i="6" s="1"/>
  <c r="E128" i="6"/>
  <c r="F128" i="6" s="1"/>
  <c r="E153" i="6"/>
  <c r="E154" i="6"/>
  <c r="E179" i="6"/>
  <c r="E180" i="6"/>
  <c r="E23" i="7"/>
  <c r="E24" i="7"/>
  <c r="F29" i="8"/>
  <c r="C75" i="8"/>
  <c r="F73" i="8"/>
  <c r="D19" i="9"/>
  <c r="D17" i="10"/>
  <c r="D28" i="10" s="1"/>
  <c r="C15" i="10"/>
  <c r="E48" i="10"/>
  <c r="E42" i="10" s="1"/>
  <c r="D31" i="11"/>
  <c r="C31" i="11"/>
  <c r="H31" i="11" s="1"/>
  <c r="F17" i="14"/>
  <c r="E35" i="14"/>
  <c r="F35" i="14" s="1"/>
  <c r="E36" i="14"/>
  <c r="F36" i="14" s="1"/>
  <c r="E58" i="14"/>
  <c r="F58" i="14" s="1"/>
  <c r="C60" i="14"/>
  <c r="E94" i="14"/>
  <c r="F94" i="14" s="1"/>
  <c r="E101" i="14"/>
  <c r="F101" i="14" s="1"/>
  <c r="C102" i="14"/>
  <c r="E123" i="14"/>
  <c r="F123" i="14" s="1"/>
  <c r="C192" i="14"/>
  <c r="C159" i="14"/>
  <c r="C172" i="14"/>
  <c r="C76" i="15"/>
  <c r="F119" i="7"/>
  <c r="I17" i="11"/>
  <c r="G31" i="11"/>
  <c r="E30" i="14"/>
  <c r="F30" i="14" s="1"/>
  <c r="F136" i="14"/>
  <c r="C137" i="14"/>
  <c r="E158" i="14"/>
  <c r="F158" i="14" s="1"/>
  <c r="E188" i="14"/>
  <c r="F188" i="14" s="1"/>
  <c r="E191" i="14"/>
  <c r="F191" i="14" s="1"/>
  <c r="F237" i="14"/>
  <c r="C261" i="14"/>
  <c r="C264" i="14"/>
  <c r="E294" i="14"/>
  <c r="F294" i="14" s="1"/>
  <c r="F298" i="14"/>
  <c r="E311" i="14"/>
  <c r="F311" i="14" s="1"/>
  <c r="D65" i="15"/>
  <c r="E70" i="15"/>
  <c r="D71" i="15"/>
  <c r="E71" i="15" s="1"/>
  <c r="D144" i="15"/>
  <c r="D175" i="15"/>
  <c r="E175" i="15" s="1"/>
  <c r="E188" i="15"/>
  <c r="D210" i="15"/>
  <c r="E205" i="15"/>
  <c r="D229" i="15"/>
  <c r="D242" i="15"/>
  <c r="E242" i="15" s="1"/>
  <c r="D217" i="15"/>
  <c r="E59" i="14"/>
  <c r="F59" i="14" s="1"/>
  <c r="E307" i="14"/>
  <c r="F307" i="14" s="1"/>
  <c r="C190" i="14"/>
  <c r="E223" i="14"/>
  <c r="F223" i="14" s="1"/>
  <c r="E295" i="14"/>
  <c r="F295" i="14" s="1"/>
  <c r="E60" i="15"/>
  <c r="C144" i="15"/>
  <c r="C261" i="15"/>
  <c r="E261" i="15" s="1"/>
  <c r="C229" i="15"/>
  <c r="C210" i="15"/>
  <c r="C253" i="15"/>
  <c r="C254" i="15" s="1"/>
  <c r="C302" i="15"/>
  <c r="C303" i="15" s="1"/>
  <c r="F25" i="17"/>
  <c r="C34" i="19"/>
  <c r="C22" i="19"/>
  <c r="E102" i="19"/>
  <c r="E103" i="19" s="1"/>
  <c r="E228" i="15"/>
  <c r="C109" i="19" l="1"/>
  <c r="C108" i="19"/>
  <c r="C111" i="19"/>
  <c r="C113" i="19"/>
  <c r="C258" i="15"/>
  <c r="E258" i="15" s="1"/>
  <c r="C97" i="15"/>
  <c r="E97" i="15" s="1"/>
  <c r="C99" i="15"/>
  <c r="E99" i="15" s="1"/>
  <c r="C87" i="15"/>
  <c r="E87" i="15" s="1"/>
  <c r="C84" i="15"/>
  <c r="C98" i="15"/>
  <c r="E98" i="15" s="1"/>
  <c r="C95" i="15"/>
  <c r="E95" i="15" s="1"/>
  <c r="C83" i="15"/>
  <c r="E44" i="15"/>
  <c r="C101" i="15"/>
  <c r="E101" i="15" s="1"/>
  <c r="C86" i="15"/>
  <c r="E86" i="15" s="1"/>
  <c r="C89" i="15"/>
  <c r="E89" i="15" s="1"/>
  <c r="C96" i="15"/>
  <c r="C100" i="15"/>
  <c r="E100" i="15" s="1"/>
  <c r="C88" i="15"/>
  <c r="E88" i="15" s="1"/>
  <c r="C85" i="15"/>
  <c r="E85" i="15" s="1"/>
  <c r="E65" i="8"/>
  <c r="F65" i="8" s="1"/>
  <c r="D75" i="8"/>
  <c r="E75" i="8" s="1"/>
  <c r="C156" i="5"/>
  <c r="C155" i="5"/>
  <c r="C152" i="5"/>
  <c r="C318" i="14"/>
  <c r="C158" i="5"/>
  <c r="E48" i="14"/>
  <c r="C90" i="14"/>
  <c r="F48" i="14"/>
  <c r="C49" i="14"/>
  <c r="E154" i="5"/>
  <c r="E153" i="5"/>
  <c r="E156" i="5"/>
  <c r="E157" i="5"/>
  <c r="E155" i="5"/>
  <c r="E152" i="5"/>
  <c r="E158" i="5" s="1"/>
  <c r="E137" i="5"/>
  <c r="E136" i="5"/>
  <c r="E138" i="5"/>
  <c r="E140" i="5"/>
  <c r="E135" i="5"/>
  <c r="E139" i="5"/>
  <c r="C138" i="5"/>
  <c r="C139" i="5"/>
  <c r="C137" i="5"/>
  <c r="C125" i="14"/>
  <c r="E125" i="14" s="1"/>
  <c r="F125" i="14" s="1"/>
  <c r="C306" i="15"/>
  <c r="E303" i="15"/>
  <c r="E190" i="14"/>
  <c r="F190" i="14" s="1"/>
  <c r="E229" i="15"/>
  <c r="C45" i="19"/>
  <c r="C53" i="19"/>
  <c r="C29" i="19"/>
  <c r="C35" i="19"/>
  <c r="C110" i="19"/>
  <c r="C39" i="19"/>
  <c r="E302" i="15"/>
  <c r="C211" i="15"/>
  <c r="C235" i="15" s="1"/>
  <c r="C234" i="15"/>
  <c r="D145" i="15"/>
  <c r="E144" i="15"/>
  <c r="D180" i="15"/>
  <c r="D168" i="15"/>
  <c r="C263" i="14"/>
  <c r="C268" i="14"/>
  <c r="C271" i="14"/>
  <c r="E261" i="14"/>
  <c r="F261" i="14"/>
  <c r="D76" i="15"/>
  <c r="I31" i="11"/>
  <c r="C173" i="14"/>
  <c r="E172" i="14"/>
  <c r="F172" i="14" s="1"/>
  <c r="C61" i="14"/>
  <c r="C17" i="10"/>
  <c r="C28" i="10" s="1"/>
  <c r="C24" i="10"/>
  <c r="C20" i="10" s="1"/>
  <c r="D33" i="9"/>
  <c r="E19" i="9"/>
  <c r="F19" i="9" s="1"/>
  <c r="F75" i="8"/>
  <c r="E60" i="14"/>
  <c r="F60" i="14" s="1"/>
  <c r="D37" i="19"/>
  <c r="D55" i="19"/>
  <c r="D47" i="19"/>
  <c r="D112" i="19"/>
  <c r="E127" i="14"/>
  <c r="F127" i="14" s="1"/>
  <c r="C141" i="5"/>
  <c r="F270" i="14"/>
  <c r="E47" i="19"/>
  <c r="E112" i="19"/>
  <c r="E37" i="19"/>
  <c r="E55" i="19"/>
  <c r="E194" i="14"/>
  <c r="F194" i="14" s="1"/>
  <c r="D196" i="14"/>
  <c r="D195" i="14"/>
  <c r="E195" i="14" s="1"/>
  <c r="F195" i="14" s="1"/>
  <c r="D305" i="14"/>
  <c r="E291" i="14"/>
  <c r="F291" i="14" s="1"/>
  <c r="C145" i="15"/>
  <c r="C180" i="15"/>
  <c r="C168" i="15"/>
  <c r="D241" i="15"/>
  <c r="E241" i="15" s="1"/>
  <c r="E217" i="15"/>
  <c r="E210" i="15"/>
  <c r="D211" i="15"/>
  <c r="D234" i="15"/>
  <c r="E234" i="15" s="1"/>
  <c r="D66" i="15"/>
  <c r="D294" i="15"/>
  <c r="E294" i="15" s="1"/>
  <c r="E65" i="15"/>
  <c r="D246" i="15"/>
  <c r="E246" i="15" s="1"/>
  <c r="E264" i="14"/>
  <c r="F264" i="14" s="1"/>
  <c r="C300" i="14"/>
  <c r="C265" i="14"/>
  <c r="C138" i="14"/>
  <c r="E137" i="14"/>
  <c r="F137" i="14"/>
  <c r="C207" i="14"/>
  <c r="C77" i="15"/>
  <c r="C259" i="15"/>
  <c r="C263" i="15" s="1"/>
  <c r="C264" i="15" s="1"/>
  <c r="C266" i="15" s="1"/>
  <c r="C267" i="15" s="1"/>
  <c r="C160" i="14"/>
  <c r="E159" i="14"/>
  <c r="C161" i="14"/>
  <c r="F159" i="14"/>
  <c r="E192" i="14"/>
  <c r="F192" i="14" s="1"/>
  <c r="C103" i="14"/>
  <c r="E102" i="14"/>
  <c r="F102" i="14"/>
  <c r="D70" i="10"/>
  <c r="D72" i="10" s="1"/>
  <c r="D69" i="10" s="1"/>
  <c r="D22" i="10"/>
  <c r="E17" i="5"/>
  <c r="E24" i="5"/>
  <c r="E20" i="5" s="1"/>
  <c r="D33" i="2"/>
  <c r="E19" i="2"/>
  <c r="F19" i="2" s="1"/>
  <c r="F75" i="1"/>
  <c r="D63" i="14"/>
  <c r="E253" i="15"/>
  <c r="C247" i="15"/>
  <c r="E223" i="15"/>
  <c r="D247" i="15"/>
  <c r="E247" i="15" s="1"/>
  <c r="E282" i="14"/>
  <c r="F282" i="14" s="1"/>
  <c r="D281" i="14"/>
  <c r="E281" i="14" s="1"/>
  <c r="F281" i="14" s="1"/>
  <c r="E266" i="14"/>
  <c r="F266" i="14" s="1"/>
  <c r="D265" i="14"/>
  <c r="E265" i="14" s="1"/>
  <c r="D254" i="15"/>
  <c r="E254" i="15" s="1"/>
  <c r="E141" i="5" l="1"/>
  <c r="E83" i="15"/>
  <c r="E49" i="14"/>
  <c r="F49" i="14" s="1"/>
  <c r="C50" i="14"/>
  <c r="E90" i="14"/>
  <c r="F90" i="14"/>
  <c r="C102" i="15"/>
  <c r="E96" i="15"/>
  <c r="C90" i="15"/>
  <c r="E90" i="15" s="1"/>
  <c r="E84" i="15"/>
  <c r="D70" i="14"/>
  <c r="D41" i="2"/>
  <c r="E33" i="2"/>
  <c r="F33" i="2" s="1"/>
  <c r="E112" i="5"/>
  <c r="E111" i="5" s="1"/>
  <c r="E28" i="5"/>
  <c r="C268" i="15"/>
  <c r="C269" i="15"/>
  <c r="C208" i="14"/>
  <c r="E207" i="14"/>
  <c r="F207" i="14"/>
  <c r="F265" i="14"/>
  <c r="E305" i="14"/>
  <c r="F305" i="14" s="1"/>
  <c r="D309" i="14"/>
  <c r="D197" i="14"/>
  <c r="E196" i="14"/>
  <c r="F196" i="14" s="1"/>
  <c r="E173" i="14"/>
  <c r="C175" i="14"/>
  <c r="F173" i="14"/>
  <c r="E76" i="15"/>
  <c r="D259" i="15"/>
  <c r="D77" i="15"/>
  <c r="E268" i="14"/>
  <c r="F268" i="14" s="1"/>
  <c r="E168" i="15"/>
  <c r="C112" i="19"/>
  <c r="C47" i="19"/>
  <c r="C55" i="19"/>
  <c r="C37" i="19"/>
  <c r="C105" i="14"/>
  <c r="E103" i="14"/>
  <c r="F103" i="14" s="1"/>
  <c r="C162" i="14"/>
  <c r="E161" i="14"/>
  <c r="F161" i="14" s="1"/>
  <c r="E160" i="14"/>
  <c r="F160" i="14" s="1"/>
  <c r="C124" i="15"/>
  <c r="C109" i="15"/>
  <c r="C112" i="15"/>
  <c r="C126" i="15"/>
  <c r="C123" i="15"/>
  <c r="C111" i="15"/>
  <c r="C125" i="15"/>
  <c r="C122" i="15"/>
  <c r="C128" i="15" s="1"/>
  <c r="C114" i="15"/>
  <c r="C127" i="15"/>
  <c r="C113" i="15"/>
  <c r="C110" i="15"/>
  <c r="C116" i="15" s="1"/>
  <c r="C121" i="15"/>
  <c r="C115" i="15"/>
  <c r="C140" i="14"/>
  <c r="F138" i="14"/>
  <c r="E138" i="14"/>
  <c r="F300" i="14"/>
  <c r="E300" i="14"/>
  <c r="D295" i="15"/>
  <c r="E295" i="15" s="1"/>
  <c r="E66" i="15"/>
  <c r="D235" i="15"/>
  <c r="E235" i="15" s="1"/>
  <c r="E211" i="15"/>
  <c r="C181" i="15"/>
  <c r="C169" i="15"/>
  <c r="E33" i="9"/>
  <c r="F33" i="9" s="1"/>
  <c r="D41" i="9"/>
  <c r="C70" i="10"/>
  <c r="C72" i="10" s="1"/>
  <c r="C69" i="10" s="1"/>
  <c r="C22" i="10"/>
  <c r="C174" i="14"/>
  <c r="C209" i="14"/>
  <c r="C104" i="14"/>
  <c r="C139" i="14"/>
  <c r="C62" i="14"/>
  <c r="E61" i="14"/>
  <c r="F61" i="14" s="1"/>
  <c r="C273" i="14"/>
  <c r="E271" i="14"/>
  <c r="F271" i="14" s="1"/>
  <c r="F263" i="14"/>
  <c r="E263" i="14"/>
  <c r="E180" i="15"/>
  <c r="E145" i="15"/>
  <c r="D181" i="15"/>
  <c r="E181" i="15" s="1"/>
  <c r="D169" i="15"/>
  <c r="E169" i="15" s="1"/>
  <c r="C310" i="15"/>
  <c r="E310" i="15" s="1"/>
  <c r="E306" i="15"/>
  <c r="C103" i="15" l="1"/>
  <c r="E103" i="15" s="1"/>
  <c r="E102" i="15"/>
  <c r="E50" i="14"/>
  <c r="F50" i="14" s="1"/>
  <c r="C91" i="15"/>
  <c r="E174" i="14"/>
  <c r="F174" i="14" s="1"/>
  <c r="E273" i="14"/>
  <c r="F273" i="14" s="1"/>
  <c r="C63" i="14"/>
  <c r="E62" i="14"/>
  <c r="F62" i="14" s="1"/>
  <c r="E104" i="14"/>
  <c r="F104" i="14" s="1"/>
  <c r="E209" i="14"/>
  <c r="F209" i="14" s="1"/>
  <c r="E41" i="9"/>
  <c r="F41" i="9" s="1"/>
  <c r="D48" i="9"/>
  <c r="E48" i="9" s="1"/>
  <c r="F48" i="9" s="1"/>
  <c r="C141" i="14"/>
  <c r="E140" i="14"/>
  <c r="F140" i="14" s="1"/>
  <c r="C129" i="15"/>
  <c r="E162" i="14"/>
  <c r="F162" i="14" s="1"/>
  <c r="C197" i="14"/>
  <c r="C106" i="14"/>
  <c r="E105" i="14"/>
  <c r="F105" i="14" s="1"/>
  <c r="D125" i="15"/>
  <c r="E125" i="15" s="1"/>
  <c r="D114" i="15"/>
  <c r="E114" i="15" s="1"/>
  <c r="D127" i="15"/>
  <c r="E127" i="15" s="1"/>
  <c r="D124" i="15"/>
  <c r="E124" i="15" s="1"/>
  <c r="D112" i="15"/>
  <c r="E112" i="15" s="1"/>
  <c r="D109" i="15"/>
  <c r="D113" i="15"/>
  <c r="E113" i="15" s="1"/>
  <c r="E77" i="15"/>
  <c r="D121" i="15"/>
  <c r="D115" i="15"/>
  <c r="E115" i="15" s="1"/>
  <c r="D126" i="15"/>
  <c r="E126" i="15" s="1"/>
  <c r="D111" i="15"/>
  <c r="E111" i="15" s="1"/>
  <c r="D110" i="15"/>
  <c r="D122" i="15"/>
  <c r="D123" i="15"/>
  <c r="E123" i="15" s="1"/>
  <c r="C176" i="14"/>
  <c r="C183" i="14" s="1"/>
  <c r="E175" i="14"/>
  <c r="F175" i="14" s="1"/>
  <c r="E309" i="14"/>
  <c r="F309" i="14" s="1"/>
  <c r="D310" i="14"/>
  <c r="E22" i="5"/>
  <c r="E99" i="5"/>
  <c r="E101" i="5" s="1"/>
  <c r="E98" i="5" s="1"/>
  <c r="E139" i="14"/>
  <c r="F139" i="14" s="1"/>
  <c r="C117" i="15"/>
  <c r="C131" i="15" s="1"/>
  <c r="D263" i="15"/>
  <c r="E259" i="15"/>
  <c r="E197" i="14"/>
  <c r="E208" i="14"/>
  <c r="C210" i="14"/>
  <c r="F208" i="14"/>
  <c r="C271" i="15"/>
  <c r="D48" i="2"/>
  <c r="E48" i="2" s="1"/>
  <c r="F48" i="2" s="1"/>
  <c r="E41" i="2"/>
  <c r="F41" i="2" s="1"/>
  <c r="E91" i="15" l="1"/>
  <c r="C105" i="15"/>
  <c r="E105" i="15" s="1"/>
  <c r="E183" i="14"/>
  <c r="F183" i="14" s="1"/>
  <c r="E210" i="14"/>
  <c r="F210" i="14" s="1"/>
  <c r="E263" i="15"/>
  <c r="D264" i="15"/>
  <c r="D116" i="15"/>
  <c r="E116" i="15" s="1"/>
  <c r="E110" i="15"/>
  <c r="E121" i="15"/>
  <c r="C324" i="14"/>
  <c r="E106" i="14"/>
  <c r="F106" i="14" s="1"/>
  <c r="C113" i="14"/>
  <c r="F197" i="14"/>
  <c r="C322" i="14"/>
  <c r="E141" i="14"/>
  <c r="C211" i="14"/>
  <c r="F141" i="14"/>
  <c r="C148" i="14"/>
  <c r="C70" i="14"/>
  <c r="E63" i="14"/>
  <c r="F63" i="14" s="1"/>
  <c r="E310" i="14"/>
  <c r="F310" i="14" s="1"/>
  <c r="D312" i="14"/>
  <c r="E176" i="14"/>
  <c r="F176" i="14" s="1"/>
  <c r="D128" i="15"/>
  <c r="E128" i="15" s="1"/>
  <c r="E122" i="15"/>
  <c r="D117" i="15"/>
  <c r="E109" i="15"/>
  <c r="C323" i="14"/>
  <c r="E323" i="14" l="1"/>
  <c r="F323" i="14" s="1"/>
  <c r="E117" i="15"/>
  <c r="E148" i="14"/>
  <c r="F148" i="14" s="1"/>
  <c r="E211" i="14"/>
  <c r="F211" i="14" s="1"/>
  <c r="E322" i="14"/>
  <c r="F322" i="14" s="1"/>
  <c r="E113" i="14"/>
  <c r="F113" i="14" s="1"/>
  <c r="E324" i="14"/>
  <c r="F324" i="14" s="1"/>
  <c r="C325" i="14"/>
  <c r="D129" i="15"/>
  <c r="E129" i="15" s="1"/>
  <c r="E264" i="15"/>
  <c r="D266" i="15"/>
  <c r="E312" i="14"/>
  <c r="F312" i="14" s="1"/>
  <c r="D313" i="14"/>
  <c r="E70" i="14"/>
  <c r="F70" i="14" s="1"/>
  <c r="D251" i="14" l="1"/>
  <c r="E251" i="14" s="1"/>
  <c r="F251" i="14" s="1"/>
  <c r="D314" i="14"/>
  <c r="D315" i="14"/>
  <c r="E315" i="14" s="1"/>
  <c r="F315" i="14" s="1"/>
  <c r="E313" i="14"/>
  <c r="F313" i="14" s="1"/>
  <c r="D256" i="14"/>
  <c r="D267" i="15"/>
  <c r="E266" i="15"/>
  <c r="E325" i="14"/>
  <c r="F325" i="14"/>
  <c r="D131" i="15"/>
  <c r="E131" i="15" s="1"/>
  <c r="E256" i="14" l="1"/>
  <c r="F256" i="14" s="1"/>
  <c r="D257" i="14"/>
  <c r="E257" i="14" s="1"/>
  <c r="F257" i="14" s="1"/>
  <c r="D269" i="15"/>
  <c r="E269" i="15" s="1"/>
  <c r="D268" i="15"/>
  <c r="E267" i="15"/>
  <c r="E314" i="14"/>
  <c r="F314" i="14" s="1"/>
  <c r="D318" i="14"/>
  <c r="E318" i="14" s="1"/>
  <c r="F318" i="14" s="1"/>
  <c r="E268" i="15" l="1"/>
  <c r="D271" i="15"/>
  <c r="E271" i="15" s="1"/>
</calcChain>
</file>

<file path=xl/sharedStrings.xml><?xml version="1.0" encoding="utf-8"?>
<sst xmlns="http://schemas.openxmlformats.org/spreadsheetml/2006/main" count="2307" uniqueCount="984">
  <si>
    <t>MANCHESTER MEMORIAL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</si>
  <si>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</si>
  <si>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</si>
  <si>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</si>
  <si>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</si>
  <si>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</si>
  <si>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</si>
  <si>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</si>
  <si>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</si>
  <si>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</si>
  <si>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</si>
  <si>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</si>
  <si>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</si>
  <si>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</si>
  <si>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</si>
  <si>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</si>
  <si>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</si>
  <si>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</si>
  <si>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</si>
  <si>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</si>
  <si>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</si>
  <si>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</si>
  <si>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</si>
  <si>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</si>
  <si>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</si>
  <si>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</si>
  <si>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</si>
  <si>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</si>
  <si>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</si>
  <si>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</si>
  <si>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</si>
  <si>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</si>
  <si>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</si>
  <si>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</si>
  <si>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</si>
  <si>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</si>
  <si>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</si>
  <si>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</si>
  <si>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</si>
  <si>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</si>
  <si>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</si>
  <si>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</si>
  <si>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</si>
  <si>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</si>
  <si>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</si>
  <si>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</si>
  <si>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</si>
  <si>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</si>
  <si>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</si>
  <si>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</si>
  <si>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</si>
  <si>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</si>
  <si>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</si>
  <si>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</si>
  <si>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</si>
  <si>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</si>
  <si>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</si>
  <si>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</si>
  <si>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</si>
  <si>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</si>
  <si>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</si>
  <si>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</si>
  <si>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</si>
  <si>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</si>
  <si>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</si>
  <si>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</si>
  <si>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</si>
  <si>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</si>
  <si>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</si>
  <si>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</si>
  <si>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</si>
  <si>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</si>
  <si>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</si>
  <si>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</si>
  <si>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</si>
  <si>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</si>
  <si>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</si>
  <si>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</si>
  <si>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</si>
  <si>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</si>
  <si>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</si>
  <si>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</si>
  <si>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</si>
  <si>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</si>
  <si>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</si>
  <si>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</si>
  <si>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</si>
  <si>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</si>
  <si>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</si>
  <si>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</si>
  <si>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</si>
  <si>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</si>
  <si>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</si>
  <si>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</si>
  <si>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</si>
  <si>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</si>
  <si>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</si>
  <si>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</si>
  <si>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</si>
  <si>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</si>
  <si>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</si>
  <si>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</si>
  <si>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</si>
  <si>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</si>
  <si>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</si>
  <si>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</si>
  <si>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</si>
  <si>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</si>
  <si>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</si>
  <si>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</si>
  <si>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</si>
  <si>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</si>
  <si>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</si>
  <si>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</si>
  <si>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</si>
  <si>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</si>
  <si>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</si>
  <si>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</si>
  <si>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</si>
  <si>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</si>
  <si>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</si>
  <si>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</si>
  <si>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</si>
  <si>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</si>
  <si>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</si>
  <si>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</si>
  <si>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</si>
  <si>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</si>
  <si>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</si>
  <si>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</si>
  <si>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</si>
  <si>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</si>
  <si>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</si>
  <si>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</si>
  <si>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</si>
  <si>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</si>
  <si>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</si>
  <si>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</si>
  <si>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</si>
  <si>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</si>
  <si>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</si>
  <si>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</si>
  <si>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</si>
  <si>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</si>
  <si>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</si>
  <si>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</si>
  <si>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</si>
  <si>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</si>
  <si>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</si>
  <si>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</si>
  <si>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</si>
  <si>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</si>
  <si>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</si>
  <si>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</si>
  <si>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</si>
  <si>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</si>
  <si>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</si>
  <si>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</si>
  <si>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</si>
  <si>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</si>
  <si>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</si>
  <si>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</si>
  <si>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</si>
  <si>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</si>
  <si>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</si>
  <si>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</si>
  <si>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</si>
  <si>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</si>
  <si>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</si>
  <si>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</si>
  <si>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</si>
  <si>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</si>
  <si>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</si>
  <si>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</si>
  <si>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</si>
  <si>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</si>
  <si>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</si>
  <si>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</si>
  <si>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</si>
  <si>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</si>
  <si>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</si>
  <si>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</si>
  <si>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</si>
  <si>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</si>
  <si>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</si>
  <si>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</si>
  <si>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</si>
  <si>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</si>
  <si>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</si>
  <si>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</si>
  <si>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</si>
  <si>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</si>
  <si>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</si>
  <si>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</si>
  <si>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</si>
  <si>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</si>
  <si>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</si>
  <si>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</si>
  <si>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</si>
  <si>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</si>
  <si>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</si>
  <si>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</si>
  <si>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</si>
  <si>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</si>
  <si>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</si>
  <si>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</si>
  <si>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</si>
  <si>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</si>
  <si>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</si>
  <si>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</si>
  <si>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</si>
  <si>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</si>
  <si>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</si>
  <si>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</si>
  <si>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</si>
  <si>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</si>
  <si>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</si>
  <si>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</si>
  <si>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</si>
  <si>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</si>
  <si>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</si>
  <si>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</si>
  <si>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</si>
  <si>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</si>
  <si>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</si>
  <si>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</si>
  <si>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</si>
  <si>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</si>
  <si>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</si>
  <si>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</si>
  <si>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</si>
  <si>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</si>
  <si>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</si>
  <si>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</si>
  <si>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</si>
  <si>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</si>
  <si>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</si>
  <si>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</si>
  <si>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</si>
  <si>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</si>
  <si>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</si>
  <si>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</si>
  <si>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</si>
  <si>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</si>
  <si>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</si>
  <si>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</si>
  <si>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</si>
  <si>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</si>
  <si>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</si>
  <si>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</si>
  <si>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</si>
  <si>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</si>
  <si>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</si>
  <si>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</si>
  <si>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</si>
  <si>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</si>
  <si>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</si>
  <si>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</si>
  <si>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</si>
  <si>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</si>
  <si>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</si>
  <si>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</si>
  <si>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</si>
  <si>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</si>
  <si>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</si>
  <si>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</si>
  <si>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</si>
  <si>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</si>
  <si>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</si>
  <si>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</si>
  <si>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</si>
  <si>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</si>
  <si>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</si>
  <si>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</si>
  <si>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</si>
  <si>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</si>
  <si>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</si>
  <si>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</si>
  <si>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</si>
  <si>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</si>
  <si>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</si>
  <si>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</si>
  <si>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</si>
  <si>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</si>
  <si>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</si>
  <si>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</si>
  <si>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</si>
  <si>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</si>
  <si>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</si>
  <si>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</si>
  <si>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</si>
  <si>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</si>
  <si>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</si>
  <si>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</si>
  <si>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</si>
  <si>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</si>
  <si>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</si>
  <si>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</si>
  <si>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</si>
  <si>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</si>
  <si>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</si>
  <si>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</si>
  <si>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</si>
  <si>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</si>
  <si>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</si>
  <si>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</si>
  <si>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</si>
  <si>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</si>
  <si>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</si>
  <si>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</si>
  <si>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</si>
  <si>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</si>
  <si>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</si>
  <si>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</si>
  <si>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</si>
  <si>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</si>
  <si>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</si>
  <si>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</si>
  <si>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</si>
  <si>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</si>
  <si>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</si>
  <si>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</si>
  <si>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</si>
  <si>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</si>
  <si>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</si>
  <si>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</si>
  <si>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</si>
  <si>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</si>
  <si>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</si>
  <si>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</si>
  <si>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</si>
  <si>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</si>
  <si>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</si>
  <si>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</si>
  <si>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</si>
  <si>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</si>
  <si>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</si>
  <si>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</si>
  <si>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</si>
  <si>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</si>
  <si>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</si>
  <si>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</si>
  <si>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</si>
  <si>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</si>
  <si>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</si>
  <si>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</si>
  <si>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</si>
  <si>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</si>
  <si>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</si>
  <si>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</si>
  <si>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</si>
  <si>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</si>
  <si>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</si>
  <si>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</si>
  <si>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</si>
  <si>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</si>
  <si>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</si>
  <si>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</si>
  <si>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</si>
  <si>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</si>
  <si>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</si>
  <si>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</si>
  <si>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</si>
  <si>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</si>
  <si>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</si>
  <si>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</si>
  <si>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</si>
  <si>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</si>
  <si>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</si>
  <si>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</si>
  <si>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</si>
  <si>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</si>
  <si>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</si>
  <si>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</si>
  <si>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</si>
  <si>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</si>
  <si>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</si>
  <si>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</si>
  <si>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</si>
  <si>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</si>
  <si>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</si>
  <si>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</si>
  <si>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</si>
  <si>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</si>
  <si>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</si>
  <si>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</si>
  <si>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</si>
  <si>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</si>
  <si>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</si>
  <si>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</si>
  <si>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</si>
  <si>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</si>
  <si>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</si>
  <si>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</si>
  <si>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</si>
  <si>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</si>
  <si>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</si>
  <si>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</si>
  <si>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</si>
  <si>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</si>
  <si>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</si>
  <si>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</si>
  <si>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</si>
  <si>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</si>
  <si>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</si>
  <si>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</si>
  <si>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</si>
  <si>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</si>
  <si>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</si>
  <si>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</si>
  <si>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</si>
  <si>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</si>
  <si>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</si>
  <si>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</si>
  <si>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</si>
  <si>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</si>
  <si>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</si>
  <si>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</si>
  <si>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</si>
  <si>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</si>
  <si>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</si>
  <si>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</si>
  <si>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</si>
  <si>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</si>
  <si>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</si>
  <si>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</si>
  <si>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</si>
  <si>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</si>
  <si>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</si>
  <si>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</si>
  <si>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</si>
  <si>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</si>
  <si>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</si>
  <si>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</si>
  <si>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</si>
  <si>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</si>
  <si>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</si>
  <si>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</si>
  <si>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</si>
  <si>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</si>
  <si>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</si>
  <si>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</si>
  <si>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</si>
  <si>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</si>
  <si>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</si>
  <si>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</si>
  <si>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</si>
  <si>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</si>
  <si>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</si>
  <si>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</si>
  <si>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</si>
  <si>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</si>
  <si>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</si>
  <si>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</si>
  <si>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</si>
  <si>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</si>
  <si>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</si>
  <si>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</si>
  <si>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</si>
  <si>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</si>
  <si>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</si>
  <si>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</si>
  <si>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</si>
  <si>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</si>
  <si>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</si>
  <si>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</si>
  <si>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</si>
  <si>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</si>
  <si>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</si>
  <si>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</si>
  <si>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</si>
  <si>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</si>
  <si>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</si>
  <si>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</si>
  <si>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</si>
  <si>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</si>
  <si>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</si>
  <si>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EASTERN CONNECTICUT HEALTH NETWORK,INC.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</si>
  <si>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</si>
  <si>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</si>
  <si>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</si>
  <si>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</si>
  <si>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</si>
  <si>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</si>
  <si>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</si>
  <si>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</si>
  <si>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</si>
  <si>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</si>
  <si>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</si>
  <si>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</si>
  <si>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</si>
  <si>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</si>
  <si>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</si>
  <si>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</si>
  <si>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</si>
  <si>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</si>
  <si>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</si>
  <si>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</si>
  <si>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</si>
  <si>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</si>
  <si>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</si>
  <si>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</si>
  <si>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</si>
  <si>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</si>
  <si>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</si>
  <si>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</si>
  <si>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</si>
  <si>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</si>
  <si>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</si>
  <si>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</si>
  <si>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</si>
  <si>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</si>
  <si>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</si>
  <si>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</si>
  <si>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</si>
  <si>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</si>
  <si>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</si>
  <si>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</si>
  <si>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</si>
  <si>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</si>
  <si>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</si>
  <si>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</si>
  <si>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</si>
  <si>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</si>
  <si>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</si>
  <si>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</si>
  <si>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</si>
  <si>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</si>
  <si>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</si>
  <si>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</si>
  <si>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</si>
  <si>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</si>
  <si>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</si>
  <si>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</si>
  <si>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</si>
  <si>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</si>
  <si>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</si>
  <si>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</si>
  <si>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</si>
  <si>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</si>
  <si>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</si>
  <si>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</si>
  <si>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</si>
  <si>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</si>
  <si>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</si>
  <si>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</si>
  <si>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</si>
  <si>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</si>
  <si>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</si>
  <si>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</si>
  <si>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</si>
  <si>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</si>
  <si>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</si>
  <si>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</si>
  <si>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</si>
  <si>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</si>
  <si>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</si>
  <si>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</si>
  <si>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</si>
  <si>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</si>
  <si>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</si>
  <si>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</si>
  <si>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</si>
  <si>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</si>
  <si>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</si>
  <si>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</si>
  <si>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</si>
  <si>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</si>
  <si>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</si>
  <si>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</si>
  <si>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</si>
  <si>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</si>
  <si>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</si>
  <si>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</si>
  <si>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</si>
  <si>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</si>
  <si>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</si>
  <si>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</si>
  <si>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</si>
  <si>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</si>
  <si>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</si>
  <si>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</si>
  <si>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</si>
  <si>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</si>
  <si>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</si>
  <si>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</si>
  <si>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</si>
  <si>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</si>
  <si>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</si>
  <si>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</si>
  <si>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Hospital Emergency Room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</si>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</sst>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20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7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6996083</v>
      </c>
      <c r="D13" s="23">
        <v>10880739</v>
      </c>
      <c r="E13" s="23">
        <f t="shared" ref="E13:E22" si="0">D13-C13</f>
        <v>3884656</v>
      </c>
      <c r="F13" s="24">
        <f t="shared" ref="F13:F22" si="1">IF(C13=0,0,E13/C13)</f>
        <v>0.55526156565037899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15" x14ac:dyDescent="0.2">
      <c r="A15" s="21">
        <v>3</v>
      </c>
      <c r="B15" s="22" t="s">
        <v>18</v>
      </c>
      <c r="C15" s="23">
        <v>24506769</v>
      </c>
      <c r="D15" s="23">
        <v>24700330</v>
      </c>
      <c r="E15" s="23">
        <f t="shared" si="0"/>
        <v>193561</v>
      </c>
      <c r="F15" s="24">
        <f t="shared" si="1"/>
        <v>7.8982668013070183E-3</v>
      </c>
    </row>
    <row r="16" spans="1:8" ht="24" customHeight="1" x14ac:dyDescent="0.2">
      <c r="A16" s="21">
        <v>4</v>
      </c>
      <c r="B16" s="22" t="s">
        <v>19</v>
      </c>
      <c r="C16" s="23">
        <v>694111</v>
      </c>
      <c r="D16" s="23">
        <v>803195</v>
      </c>
      <c r="E16" s="23">
        <f t="shared" si="0"/>
        <v>109084</v>
      </c>
      <c r="F16" s="24">
        <f t="shared" si="1"/>
        <v>0.15715642022673607</v>
      </c>
    </row>
    <row r="17" spans="1:11" ht="24" customHeight="1" x14ac:dyDescent="0.2">
      <c r="A17" s="21">
        <v>5</v>
      </c>
      <c r="B17" s="22" t="s">
        <v>20</v>
      </c>
      <c r="C17" s="23">
        <v>9161307</v>
      </c>
      <c r="D17" s="23">
        <v>419887</v>
      </c>
      <c r="E17" s="23">
        <f t="shared" si="0"/>
        <v>-8741420</v>
      </c>
      <c r="F17" s="24">
        <f t="shared" si="1"/>
        <v>-0.95416734751930044</v>
      </c>
    </row>
    <row r="18" spans="1:11" ht="24" customHeight="1" x14ac:dyDescent="0.2">
      <c r="A18" s="21">
        <v>6</v>
      </c>
      <c r="B18" s="22" t="s">
        <v>21</v>
      </c>
      <c r="C18" s="23">
        <v>359760</v>
      </c>
      <c r="D18" s="23">
        <v>432832</v>
      </c>
      <c r="E18" s="23">
        <f t="shared" si="0"/>
        <v>73072</v>
      </c>
      <c r="F18" s="24">
        <f t="shared" si="1"/>
        <v>0.20311318656882366</v>
      </c>
    </row>
    <row r="19" spans="1:11" ht="24" customHeight="1" x14ac:dyDescent="0.2">
      <c r="A19" s="21">
        <v>7</v>
      </c>
      <c r="B19" s="22" t="s">
        <v>22</v>
      </c>
      <c r="C19" s="23">
        <v>2570091</v>
      </c>
      <c r="D19" s="23">
        <v>2591838</v>
      </c>
      <c r="E19" s="23">
        <f t="shared" si="0"/>
        <v>21747</v>
      </c>
      <c r="F19" s="24">
        <f t="shared" si="1"/>
        <v>8.4615680923360304E-3</v>
      </c>
    </row>
    <row r="20" spans="1:11" ht="24" customHeight="1" x14ac:dyDescent="0.2">
      <c r="A20" s="21">
        <v>8</v>
      </c>
      <c r="B20" s="22" t="s">
        <v>23</v>
      </c>
      <c r="C20" s="23">
        <v>1489763</v>
      </c>
      <c r="D20" s="23">
        <v>1380570</v>
      </c>
      <c r="E20" s="23">
        <f t="shared" si="0"/>
        <v>-109193</v>
      </c>
      <c r="F20" s="24">
        <f t="shared" si="1"/>
        <v>-7.329555103731264E-2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45777884</v>
      </c>
      <c r="D22" s="27">
        <f>SUM(D13:D21)</f>
        <v>41209391</v>
      </c>
      <c r="E22" s="27">
        <f t="shared" si="0"/>
        <v>-4568493</v>
      </c>
      <c r="F22" s="28">
        <f t="shared" si="1"/>
        <v>-9.9796945616796098E-2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3261508</v>
      </c>
      <c r="D25" s="23">
        <v>3259163</v>
      </c>
      <c r="E25" s="23">
        <f>D25-C25</f>
        <v>-2345</v>
      </c>
      <c r="F25" s="24">
        <f>IF(C25=0,0,E25/C25)</f>
        <v>-7.1899256417583518E-4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16261081</v>
      </c>
      <c r="D28" s="23">
        <v>15263421</v>
      </c>
      <c r="E28" s="23">
        <f>D28-C28</f>
        <v>-997660</v>
      </c>
      <c r="F28" s="24">
        <f>IF(C28=0,0,E28/C28)</f>
        <v>-6.1352624711727345E-2</v>
      </c>
    </row>
    <row r="29" spans="1:11" ht="24" customHeight="1" x14ac:dyDescent="0.25">
      <c r="A29" s="25"/>
      <c r="B29" s="26" t="s">
        <v>32</v>
      </c>
      <c r="C29" s="27">
        <f>SUM(C25:C28)</f>
        <v>19522589</v>
      </c>
      <c r="D29" s="27">
        <f>SUM(D25:D28)</f>
        <v>18522584</v>
      </c>
      <c r="E29" s="27">
        <f>D29-C29</f>
        <v>-1000005</v>
      </c>
      <c r="F29" s="28">
        <f>IF(C29=0,0,E29/C29)</f>
        <v>-5.1222970477942241E-2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4852903</v>
      </c>
      <c r="D31" s="23">
        <v>3872533</v>
      </c>
      <c r="E31" s="23">
        <f>D31-C31</f>
        <v>-980370</v>
      </c>
      <c r="F31" s="24">
        <f>IF(C31=0,0,E31/C31)</f>
        <v>-0.20201722556581081</v>
      </c>
    </row>
    <row r="32" spans="1:11" ht="24" customHeight="1" x14ac:dyDescent="0.2">
      <c r="A32" s="21">
        <v>6</v>
      </c>
      <c r="B32" s="22" t="s">
        <v>34</v>
      </c>
      <c r="C32" s="23">
        <v>10731706</v>
      </c>
      <c r="D32" s="23">
        <v>10937437</v>
      </c>
      <c r="E32" s="23">
        <f>D32-C32</f>
        <v>205731</v>
      </c>
      <c r="F32" s="24">
        <f>IF(C32=0,0,E32/C32)</f>
        <v>1.9170390989093438E-2</v>
      </c>
    </row>
    <row r="33" spans="1:8" ht="24" customHeight="1" x14ac:dyDescent="0.2">
      <c r="A33" s="21">
        <v>7</v>
      </c>
      <c r="B33" s="22" t="s">
        <v>35</v>
      </c>
      <c r="C33" s="23">
        <v>17995203</v>
      </c>
      <c r="D33" s="23">
        <v>21408045</v>
      </c>
      <c r="E33" s="23">
        <f>D33-C33</f>
        <v>3412842</v>
      </c>
      <c r="F33" s="24">
        <f>IF(C33=0,0,E33/C33)</f>
        <v>0.18965287582474064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182534259</v>
      </c>
      <c r="D36" s="23">
        <v>187641424</v>
      </c>
      <c r="E36" s="23">
        <f>D36-C36</f>
        <v>5107165</v>
      </c>
      <c r="F36" s="24">
        <f>IF(C36=0,0,E36/C36)</f>
        <v>2.7979213480139091E-2</v>
      </c>
    </row>
    <row r="37" spans="1:8" ht="24" customHeight="1" x14ac:dyDescent="0.2">
      <c r="A37" s="21">
        <v>2</v>
      </c>
      <c r="B37" s="22" t="s">
        <v>39</v>
      </c>
      <c r="C37" s="23">
        <v>130971357</v>
      </c>
      <c r="D37" s="23">
        <v>137494546</v>
      </c>
      <c r="E37" s="23">
        <f>D37-C37</f>
        <v>6523189</v>
      </c>
      <c r="F37" s="24">
        <f>IF(C37=0,0,E37/C37)</f>
        <v>4.9806225952137004E-2</v>
      </c>
    </row>
    <row r="38" spans="1:8" ht="24" customHeight="1" x14ac:dyDescent="0.25">
      <c r="A38" s="25"/>
      <c r="B38" s="26" t="s">
        <v>40</v>
      </c>
      <c r="C38" s="27">
        <f>C36-C37</f>
        <v>51562902</v>
      </c>
      <c r="D38" s="27">
        <f>D36-D37</f>
        <v>50146878</v>
      </c>
      <c r="E38" s="27">
        <f>D38-C38</f>
        <v>-1416024</v>
      </c>
      <c r="F38" s="28">
        <f>IF(C38=0,0,E38/C38)</f>
        <v>-2.7462069532083359E-2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199081</v>
      </c>
      <c r="D40" s="23">
        <v>1937620</v>
      </c>
      <c r="E40" s="23">
        <f>D40-C40</f>
        <v>1738539</v>
      </c>
      <c r="F40" s="24">
        <f>IF(C40=0,0,E40/C40)</f>
        <v>8.7328223185537546</v>
      </c>
    </row>
    <row r="41" spans="1:8" ht="24" customHeight="1" x14ac:dyDescent="0.25">
      <c r="A41" s="25"/>
      <c r="B41" s="26" t="s">
        <v>42</v>
      </c>
      <c r="C41" s="27">
        <f>+C38+C40</f>
        <v>51761983</v>
      </c>
      <c r="D41" s="27">
        <f>+D38+D40</f>
        <v>52084498</v>
      </c>
      <c r="E41" s="27">
        <f>D41-C41</f>
        <v>322515</v>
      </c>
      <c r="F41" s="28">
        <f>IF(C41=0,0,E41/C41)</f>
        <v>6.2307311526299137E-3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150642268</v>
      </c>
      <c r="D43" s="27">
        <f>D22+D29+D31+D32+D33+D41</f>
        <v>148034488</v>
      </c>
      <c r="E43" s="27">
        <f>D43-C43</f>
        <v>-2607780</v>
      </c>
      <c r="F43" s="28">
        <f>IF(C43=0,0,E43/C43)</f>
        <v>-1.731107765849622E-2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13827968</v>
      </c>
      <c r="D49" s="23">
        <v>13253092</v>
      </c>
      <c r="E49" s="23">
        <f t="shared" ref="E49:E56" si="2">D49-C49</f>
        <v>-574876</v>
      </c>
      <c r="F49" s="24">
        <f t="shared" ref="F49:F56" si="3">IF(C49=0,0,E49/C49)</f>
        <v>-4.1573425683368664E-2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2920000</v>
      </c>
      <c r="D50" s="23">
        <v>2445753</v>
      </c>
      <c r="E50" s="23">
        <f t="shared" si="2"/>
        <v>-474247</v>
      </c>
      <c r="F50" s="24">
        <f t="shared" si="3"/>
        <v>-0.16241335616438357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281399</v>
      </c>
      <c r="D51" s="23">
        <v>1420022</v>
      </c>
      <c r="E51" s="23">
        <f t="shared" si="2"/>
        <v>1138623</v>
      </c>
      <c r="F51" s="24">
        <f t="shared" si="3"/>
        <v>4.0462936968503795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14838492</v>
      </c>
      <c r="D52" s="23">
        <v>2283655</v>
      </c>
      <c r="E52" s="23">
        <f t="shared" si="2"/>
        <v>-12554837</v>
      </c>
      <c r="F52" s="24">
        <f t="shared" si="3"/>
        <v>-0.84609925321252322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6722072</v>
      </c>
      <c r="D53" s="23">
        <v>8797182</v>
      </c>
      <c r="E53" s="23">
        <f t="shared" si="2"/>
        <v>2075110</v>
      </c>
      <c r="F53" s="24">
        <f t="shared" si="3"/>
        <v>0.30870094816003163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1125935</v>
      </c>
      <c r="D54" s="23">
        <v>1169961</v>
      </c>
      <c r="E54" s="23">
        <f t="shared" si="2"/>
        <v>44026</v>
      </c>
      <c r="F54" s="24">
        <f t="shared" si="3"/>
        <v>3.9101724344655774E-2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6944195</v>
      </c>
      <c r="D55" s="23">
        <v>11236219</v>
      </c>
      <c r="E55" s="23">
        <f t="shared" si="2"/>
        <v>4292024</v>
      </c>
      <c r="F55" s="24">
        <f t="shared" si="3"/>
        <v>0.61807365720576679</v>
      </c>
    </row>
    <row r="56" spans="1:6" ht="24" customHeight="1" x14ac:dyDescent="0.25">
      <c r="A56" s="25"/>
      <c r="B56" s="26" t="s">
        <v>54</v>
      </c>
      <c r="C56" s="27">
        <f>SUM(C49:C55)</f>
        <v>46660061</v>
      </c>
      <c r="D56" s="27">
        <f>SUM(D49:D55)</f>
        <v>40605884</v>
      </c>
      <c r="E56" s="27">
        <f t="shared" si="2"/>
        <v>-6054177</v>
      </c>
      <c r="F56" s="28">
        <f t="shared" si="3"/>
        <v>-0.12975073050161678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44207188</v>
      </c>
      <c r="D59" s="23">
        <v>43315158</v>
      </c>
      <c r="E59" s="23">
        <f>D59-C59</f>
        <v>-892030</v>
      </c>
      <c r="F59" s="24">
        <f>IF(C59=0,0,E59/C59)</f>
        <v>-2.0178392708443703E-2</v>
      </c>
    </row>
    <row r="60" spans="1:6" ht="24" customHeight="1" x14ac:dyDescent="0.2">
      <c r="A60" s="21">
        <v>2</v>
      </c>
      <c r="B60" s="22" t="s">
        <v>57</v>
      </c>
      <c r="C60" s="23">
        <v>2213487</v>
      </c>
      <c r="D60" s="23">
        <v>6393587</v>
      </c>
      <c r="E60" s="23">
        <f>D60-C60</f>
        <v>4180100</v>
      </c>
      <c r="F60" s="24">
        <f>IF(C60=0,0,E60/C60)</f>
        <v>1.8884682855602948</v>
      </c>
    </row>
    <row r="61" spans="1:6" ht="24" customHeight="1" x14ac:dyDescent="0.25">
      <c r="A61" s="25"/>
      <c r="B61" s="26" t="s">
        <v>58</v>
      </c>
      <c r="C61" s="27">
        <f>SUM(C59:C60)</f>
        <v>46420675</v>
      </c>
      <c r="D61" s="27">
        <f>SUM(D59:D60)</f>
        <v>49708745</v>
      </c>
      <c r="E61" s="27">
        <f>D61-C61</f>
        <v>3288070</v>
      </c>
      <c r="F61" s="28">
        <f>IF(C61=0,0,E61/C61)</f>
        <v>7.0832016122126612E-2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39765402</v>
      </c>
      <c r="D63" s="23">
        <v>43370197</v>
      </c>
      <c r="E63" s="23">
        <f>D63-C63</f>
        <v>3604795</v>
      </c>
      <c r="F63" s="24">
        <f>IF(C63=0,0,E63/C63)</f>
        <v>9.0651541759844398E-2</v>
      </c>
    </row>
    <row r="64" spans="1:6" ht="24" customHeight="1" x14ac:dyDescent="0.2">
      <c r="A64" s="21">
        <v>4</v>
      </c>
      <c r="B64" s="22" t="s">
        <v>60</v>
      </c>
      <c r="C64" s="23">
        <v>2604743</v>
      </c>
      <c r="D64" s="23">
        <v>2208020</v>
      </c>
      <c r="E64" s="23">
        <f>D64-C64</f>
        <v>-396723</v>
      </c>
      <c r="F64" s="24">
        <f>IF(C64=0,0,E64/C64)</f>
        <v>-0.15230792442862884</v>
      </c>
    </row>
    <row r="65" spans="1:6" ht="24" customHeight="1" x14ac:dyDescent="0.25">
      <c r="A65" s="25"/>
      <c r="B65" s="26" t="s">
        <v>61</v>
      </c>
      <c r="C65" s="27">
        <f>SUM(C61:C64)</f>
        <v>88790820</v>
      </c>
      <c r="D65" s="27">
        <f>SUM(D61:D64)</f>
        <v>95286962</v>
      </c>
      <c r="E65" s="27">
        <f>D65-C65</f>
        <v>6496142</v>
      </c>
      <c r="F65" s="28">
        <f>IF(C65=0,0,E65/C65)</f>
        <v>7.3162315653802948E-2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5363698</v>
      </c>
      <c r="D70" s="23">
        <v>3473307</v>
      </c>
      <c r="E70" s="23">
        <f>D70-C70</f>
        <v>-1890391</v>
      </c>
      <c r="F70" s="24">
        <f>IF(C70=0,0,E70/C70)</f>
        <v>-0.35244172956792125</v>
      </c>
    </row>
    <row r="71" spans="1:6" ht="24" customHeight="1" x14ac:dyDescent="0.2">
      <c r="A71" s="21">
        <v>2</v>
      </c>
      <c r="B71" s="22" t="s">
        <v>65</v>
      </c>
      <c r="C71" s="23">
        <v>1904133</v>
      </c>
      <c r="D71" s="23">
        <v>988702</v>
      </c>
      <c r="E71" s="23">
        <f>D71-C71</f>
        <v>-915431</v>
      </c>
      <c r="F71" s="24">
        <f>IF(C71=0,0,E71/C71)</f>
        <v>-0.48076000993628071</v>
      </c>
    </row>
    <row r="72" spans="1:6" ht="24" customHeight="1" x14ac:dyDescent="0.2">
      <c r="A72" s="21">
        <v>3</v>
      </c>
      <c r="B72" s="22" t="s">
        <v>66</v>
      </c>
      <c r="C72" s="23">
        <v>7923556</v>
      </c>
      <c r="D72" s="23">
        <v>7679633</v>
      </c>
      <c r="E72" s="23">
        <f>D72-C72</f>
        <v>-243923</v>
      </c>
      <c r="F72" s="24">
        <f>IF(C72=0,0,E72/C72)</f>
        <v>-3.0784536639862203E-2</v>
      </c>
    </row>
    <row r="73" spans="1:6" ht="24" customHeight="1" x14ac:dyDescent="0.25">
      <c r="A73" s="21"/>
      <c r="B73" s="26" t="s">
        <v>67</v>
      </c>
      <c r="C73" s="27">
        <f>SUM(C70:C72)</f>
        <v>15191387</v>
      </c>
      <c r="D73" s="27">
        <f>SUM(D70:D72)</f>
        <v>12141642</v>
      </c>
      <c r="E73" s="27">
        <f>D73-C73</f>
        <v>-3049745</v>
      </c>
      <c r="F73" s="28">
        <f>IF(C73=0,0,E73/C73)</f>
        <v>-0.20075487511443163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150642268</v>
      </c>
      <c r="D75" s="27">
        <f>D56+D65+D67+D73</f>
        <v>148034488</v>
      </c>
      <c r="E75" s="27">
        <f>D75-C75</f>
        <v>-2607780</v>
      </c>
      <c r="F75" s="28">
        <f>IF(C75=0,0,E75/C75)</f>
        <v>-1.731107765849622E-2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6" t="s">
        <v>477</v>
      </c>
      <c r="B1" s="697"/>
      <c r="C1" s="697"/>
      <c r="D1" s="697"/>
      <c r="E1" s="698"/>
    </row>
    <row r="2" spans="1:6" ht="24" customHeight="1" x14ac:dyDescent="0.25">
      <c r="A2" s="696" t="s">
        <v>1</v>
      </c>
      <c r="B2" s="697"/>
      <c r="C2" s="697"/>
      <c r="D2" s="697"/>
      <c r="E2" s="698"/>
    </row>
    <row r="3" spans="1:6" ht="24" customHeight="1" x14ac:dyDescent="0.25">
      <c r="A3" s="696" t="s">
        <v>2</v>
      </c>
      <c r="B3" s="697"/>
      <c r="C3" s="697"/>
      <c r="D3" s="697"/>
      <c r="E3" s="698"/>
    </row>
    <row r="4" spans="1:6" ht="24" customHeight="1" x14ac:dyDescent="0.25">
      <c r="A4" s="696" t="s">
        <v>480</v>
      </c>
      <c r="B4" s="697"/>
      <c r="C4" s="697"/>
      <c r="D4" s="697"/>
      <c r="E4" s="698"/>
    </row>
    <row r="5" spans="1:6" ht="24" customHeight="1" x14ac:dyDescent="0.25">
      <c r="A5" s="696"/>
      <c r="B5" s="697"/>
      <c r="C5" s="697"/>
      <c r="D5" s="697"/>
      <c r="E5" s="698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261403024</v>
      </c>
      <c r="D11" s="51">
        <v>262817891</v>
      </c>
      <c r="E11" s="51">
        <v>261348876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16912648</v>
      </c>
      <c r="D12" s="49">
        <v>17826849</v>
      </c>
      <c r="E12" s="49">
        <v>19641309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278315672</v>
      </c>
      <c r="D13" s="51">
        <f>+D11+D12</f>
        <v>280644740</v>
      </c>
      <c r="E13" s="51">
        <f>+E11+E12</f>
        <v>280990185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271196171</v>
      </c>
      <c r="D14" s="49">
        <v>274106412</v>
      </c>
      <c r="E14" s="49">
        <v>280947508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7119501</v>
      </c>
      <c r="D15" s="51">
        <f>+D13-D14</f>
        <v>6538328</v>
      </c>
      <c r="E15" s="51">
        <f>+E13-E14</f>
        <v>42677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-3903448</v>
      </c>
      <c r="D16" s="49">
        <v>-1785503</v>
      </c>
      <c r="E16" s="49">
        <v>-1341596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3216053</v>
      </c>
      <c r="D17" s="51">
        <f>D15+D16</f>
        <v>4752825</v>
      </c>
      <c r="E17" s="51">
        <f>E15+E16</f>
        <v>-1298919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2.5944547572341384E-2</v>
      </c>
      <c r="D20" s="169">
        <f>IF(+D27=0,0,+D24/+D27)</f>
        <v>2.3446696872372205E-2</v>
      </c>
      <c r="E20" s="169">
        <f>IF(+E27=0,0,+E24/+E27)</f>
        <v>1.5260938792006565E-4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-1.4224759899908831E-2</v>
      </c>
      <c r="D21" s="169">
        <f>IF(+D27=0,0,+D26/+D27)</f>
        <v>-6.4028827562201216E-3</v>
      </c>
      <c r="E21" s="169">
        <f>IF(+E27=0,0,+E26/+E27)</f>
        <v>-4.7974352554305214E-3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1.1719787672432551E-2</v>
      </c>
      <c r="D22" s="169">
        <f>IF(+D27=0,0,+D28/+D27)</f>
        <v>1.7043814116152085E-2</v>
      </c>
      <c r="E22" s="169">
        <f>IF(+E27=0,0,+E28/+E27)</f>
        <v>-4.6448258675104558E-3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7119501</v>
      </c>
      <c r="D24" s="51">
        <f>+D15</f>
        <v>6538328</v>
      </c>
      <c r="E24" s="51">
        <f>+E15</f>
        <v>42677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278315672</v>
      </c>
      <c r="D25" s="51">
        <f>+D13</f>
        <v>280644740</v>
      </c>
      <c r="E25" s="51">
        <f>+E13</f>
        <v>280990185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-3903448</v>
      </c>
      <c r="D26" s="51">
        <f>+D16</f>
        <v>-1785503</v>
      </c>
      <c r="E26" s="51">
        <f>+E16</f>
        <v>-1341596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274412224</v>
      </c>
      <c r="D27" s="51">
        <f>SUM(D25:D26)</f>
        <v>278859237</v>
      </c>
      <c r="E27" s="51">
        <f>SUM(E25:E26)</f>
        <v>279648589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3216053</v>
      </c>
      <c r="D28" s="51">
        <f>+D17</f>
        <v>4752825</v>
      </c>
      <c r="E28" s="51">
        <f>+E17</f>
        <v>-1298919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59586141</v>
      </c>
      <c r="D31" s="51">
        <v>54654325</v>
      </c>
      <c r="E31" s="52">
        <v>41815956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75433676</v>
      </c>
      <c r="D32" s="51">
        <v>71476482</v>
      </c>
      <c r="E32" s="51">
        <v>55161657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-20064906</v>
      </c>
      <c r="D33" s="51">
        <f>+D32-C32</f>
        <v>-3957194</v>
      </c>
      <c r="E33" s="51">
        <f>+E32-D32</f>
        <v>-16314825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0.78979999999999995</v>
      </c>
      <c r="D34" s="171">
        <f>IF(C32=0,0,+D33/C32)</f>
        <v>-5.2459249102483084E-2</v>
      </c>
      <c r="E34" s="171">
        <f>IF(D32=0,0,+E33/D32)</f>
        <v>-0.22825444878498638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1.7972788705105314</v>
      </c>
      <c r="D38" s="269">
        <f>IF(+D40=0,0,+D39/+D40)</f>
        <v>1.3887115137181509</v>
      </c>
      <c r="E38" s="269">
        <f>IF(+E40=0,0,+E39/+E40)</f>
        <v>1.2552876757622056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78264897</v>
      </c>
      <c r="D39" s="270">
        <v>69908525</v>
      </c>
      <c r="E39" s="270">
        <v>71146925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43546329</v>
      </c>
      <c r="D40" s="270">
        <v>50340567</v>
      </c>
      <c r="E40" s="270">
        <v>56677785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39.467092910633177</v>
      </c>
      <c r="D42" s="271">
        <f>IF((D48/365)=0,0,+D45/(D48/365))</f>
        <v>27.266321899246435</v>
      </c>
      <c r="E42" s="271">
        <f>IF((E48/365)=0,0,+E45/(E48/365))</f>
        <v>28.477312220814834</v>
      </c>
    </row>
    <row r="43" spans="1:14" ht="24" customHeight="1" x14ac:dyDescent="0.2">
      <c r="A43" s="17">
        <v>5</v>
      </c>
      <c r="B43" s="188" t="s">
        <v>16</v>
      </c>
      <c r="C43" s="272">
        <v>28001547</v>
      </c>
      <c r="D43" s="272">
        <v>19538406</v>
      </c>
      <c r="E43" s="272">
        <v>20991180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344</v>
      </c>
      <c r="C45" s="270">
        <f>+C43+C44</f>
        <v>28001547</v>
      </c>
      <c r="D45" s="270">
        <f>+D43+D44</f>
        <v>19538406</v>
      </c>
      <c r="E45" s="270">
        <f>+E43+E44</f>
        <v>20991180</v>
      </c>
    </row>
    <row r="46" spans="1:14" ht="24" customHeight="1" x14ac:dyDescent="0.2">
      <c r="A46" s="17">
        <v>8</v>
      </c>
      <c r="B46" s="45" t="s">
        <v>322</v>
      </c>
      <c r="C46" s="270">
        <f>+C14</f>
        <v>271196171</v>
      </c>
      <c r="D46" s="270">
        <f>+D14</f>
        <v>274106412</v>
      </c>
      <c r="E46" s="270">
        <f>+E14</f>
        <v>280947508</v>
      </c>
    </row>
    <row r="47" spans="1:14" ht="24" customHeight="1" x14ac:dyDescent="0.2">
      <c r="A47" s="17">
        <v>9</v>
      </c>
      <c r="B47" s="45" t="s">
        <v>345</v>
      </c>
      <c r="C47" s="270">
        <v>12231958</v>
      </c>
      <c r="D47" s="270">
        <v>12555983</v>
      </c>
      <c r="E47" s="270">
        <v>11898918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258964213</v>
      </c>
      <c r="D48" s="270">
        <f>+D46-D47</f>
        <v>261550429</v>
      </c>
      <c r="E48" s="270">
        <f>+E46-E47</f>
        <v>269048590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54.283284898035454</v>
      </c>
      <c r="D50" s="278">
        <f>IF((D55/365)=0,0,+D54/(D55/365))</f>
        <v>55.147395654278348</v>
      </c>
      <c r="E50" s="278">
        <f>IF((E55/365)=0,0,+E54/(E55/365))</f>
        <v>53.031335746016367</v>
      </c>
    </row>
    <row r="51" spans="1:5" ht="24" customHeight="1" x14ac:dyDescent="0.2">
      <c r="A51" s="17">
        <v>12</v>
      </c>
      <c r="B51" s="188" t="s">
        <v>348</v>
      </c>
      <c r="C51" s="279">
        <v>38270688</v>
      </c>
      <c r="D51" s="279">
        <v>39411447</v>
      </c>
      <c r="E51" s="279">
        <v>39643428</v>
      </c>
    </row>
    <row r="52" spans="1:5" ht="24" customHeight="1" x14ac:dyDescent="0.2">
      <c r="A52" s="17">
        <v>13</v>
      </c>
      <c r="B52" s="188" t="s">
        <v>21</v>
      </c>
      <c r="C52" s="270">
        <v>1491255</v>
      </c>
      <c r="D52" s="270">
        <v>721274</v>
      </c>
      <c r="E52" s="270">
        <v>432832</v>
      </c>
    </row>
    <row r="53" spans="1:5" ht="24" customHeight="1" x14ac:dyDescent="0.2">
      <c r="A53" s="17">
        <v>14</v>
      </c>
      <c r="B53" s="188" t="s">
        <v>49</v>
      </c>
      <c r="C53" s="270">
        <v>885738</v>
      </c>
      <c r="D53" s="270">
        <v>423893</v>
      </c>
      <c r="E53" s="270">
        <v>2104534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38876205</v>
      </c>
      <c r="D54" s="280">
        <f>+D51+D52-D53</f>
        <v>39708828</v>
      </c>
      <c r="E54" s="280">
        <f>+E51+E52-E53</f>
        <v>37971726</v>
      </c>
    </row>
    <row r="55" spans="1:5" ht="24" customHeight="1" x14ac:dyDescent="0.2">
      <c r="A55" s="17">
        <v>16</v>
      </c>
      <c r="B55" s="45" t="s">
        <v>75</v>
      </c>
      <c r="C55" s="270">
        <f>+C11</f>
        <v>261403024</v>
      </c>
      <c r="D55" s="270">
        <f>+D11</f>
        <v>262817891</v>
      </c>
      <c r="E55" s="270">
        <f>+E11</f>
        <v>261348876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61.376859377090845</v>
      </c>
      <c r="D57" s="283">
        <f>IF((D61/365)=0,0,+D58/(D61/365))</f>
        <v>70.25148849975696</v>
      </c>
      <c r="E57" s="283">
        <f>IF((E61/365)=0,0,+E58/(E61/365))</f>
        <v>76.890912251203403</v>
      </c>
    </row>
    <row r="58" spans="1:5" ht="24" customHeight="1" x14ac:dyDescent="0.2">
      <c r="A58" s="17">
        <v>18</v>
      </c>
      <c r="B58" s="45" t="s">
        <v>54</v>
      </c>
      <c r="C58" s="281">
        <f>+C40</f>
        <v>43546329</v>
      </c>
      <c r="D58" s="281">
        <f>+D40</f>
        <v>50340567</v>
      </c>
      <c r="E58" s="281">
        <f>+E40</f>
        <v>56677785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271196171</v>
      </c>
      <c r="D59" s="281">
        <f t="shared" si="0"/>
        <v>274106412</v>
      </c>
      <c r="E59" s="281">
        <f t="shared" si="0"/>
        <v>280947508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12231958</v>
      </c>
      <c r="D60" s="176">
        <f t="shared" si="0"/>
        <v>12555983</v>
      </c>
      <c r="E60" s="176">
        <f t="shared" si="0"/>
        <v>11898918</v>
      </c>
    </row>
    <row r="61" spans="1:5" ht="24" customHeight="1" x14ac:dyDescent="0.2">
      <c r="A61" s="17">
        <v>21</v>
      </c>
      <c r="B61" s="45" t="s">
        <v>351</v>
      </c>
      <c r="C61" s="281">
        <f>+C59-C60</f>
        <v>258964213</v>
      </c>
      <c r="D61" s="281">
        <f>+D59-D60</f>
        <v>261550429</v>
      </c>
      <c r="E61" s="281">
        <f>+E59-E60</f>
        <v>269048590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28.831892679126973</v>
      </c>
      <c r="D65" s="284">
        <f>IF(D67=0,0,(D66/D67)*100)</f>
        <v>27.142618567265377</v>
      </c>
      <c r="E65" s="284">
        <f>IF(E67=0,0,(E66/E67)*100)</f>
        <v>21.030814139247386</v>
      </c>
    </row>
    <row r="66" spans="1:5" ht="24" customHeight="1" x14ac:dyDescent="0.2">
      <c r="A66" s="17">
        <v>2</v>
      </c>
      <c r="B66" s="45" t="s">
        <v>67</v>
      </c>
      <c r="C66" s="281">
        <f>+C32</f>
        <v>75433676</v>
      </c>
      <c r="D66" s="281">
        <f>+D32</f>
        <v>71476482</v>
      </c>
      <c r="E66" s="281">
        <f>+E32</f>
        <v>55161657</v>
      </c>
    </row>
    <row r="67" spans="1:5" ht="24" customHeight="1" x14ac:dyDescent="0.2">
      <c r="A67" s="17">
        <v>3</v>
      </c>
      <c r="B67" s="45" t="s">
        <v>43</v>
      </c>
      <c r="C67" s="281">
        <v>261632758</v>
      </c>
      <c r="D67" s="281">
        <v>263336722</v>
      </c>
      <c r="E67" s="281">
        <v>262289689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11.989431643291379</v>
      </c>
      <c r="D69" s="284">
        <f>IF(D75=0,0,(D72/D75)*100)</f>
        <v>13.105421203286358</v>
      </c>
      <c r="E69" s="284">
        <f>IF(E75=0,0,(E72/E75)*100)</f>
        <v>7.3963999764152506</v>
      </c>
    </row>
    <row r="70" spans="1:5" ht="24" customHeight="1" x14ac:dyDescent="0.2">
      <c r="A70" s="17">
        <v>5</v>
      </c>
      <c r="B70" s="45" t="s">
        <v>356</v>
      </c>
      <c r="C70" s="281">
        <f>+C28</f>
        <v>3216053</v>
      </c>
      <c r="D70" s="281">
        <f>+D28</f>
        <v>4752825</v>
      </c>
      <c r="E70" s="281">
        <f>+E28</f>
        <v>-1298919</v>
      </c>
    </row>
    <row r="71" spans="1:5" ht="24" customHeight="1" x14ac:dyDescent="0.2">
      <c r="A71" s="17">
        <v>6</v>
      </c>
      <c r="B71" s="45" t="s">
        <v>345</v>
      </c>
      <c r="C71" s="176">
        <f>+C47</f>
        <v>12231958</v>
      </c>
      <c r="D71" s="176">
        <f>+D47</f>
        <v>12555983</v>
      </c>
      <c r="E71" s="176">
        <f>+E47</f>
        <v>11898918</v>
      </c>
    </row>
    <row r="72" spans="1:5" ht="24" customHeight="1" x14ac:dyDescent="0.2">
      <c r="A72" s="17">
        <v>7</v>
      </c>
      <c r="B72" s="45" t="s">
        <v>357</v>
      </c>
      <c r="C72" s="281">
        <f>+C70+C71</f>
        <v>15448011</v>
      </c>
      <c r="D72" s="281">
        <f>+D70+D71</f>
        <v>17308808</v>
      </c>
      <c r="E72" s="281">
        <f>+E70+E71</f>
        <v>10599999</v>
      </c>
    </row>
    <row r="73" spans="1:5" ht="24" customHeight="1" x14ac:dyDescent="0.2">
      <c r="A73" s="17">
        <v>8</v>
      </c>
      <c r="B73" s="45" t="s">
        <v>54</v>
      </c>
      <c r="C73" s="270">
        <f>+C40</f>
        <v>43546329</v>
      </c>
      <c r="D73" s="270">
        <f>+D40</f>
        <v>50340567</v>
      </c>
      <c r="E73" s="270">
        <f>+E40</f>
        <v>56677785</v>
      </c>
    </row>
    <row r="74" spans="1:5" ht="24" customHeight="1" x14ac:dyDescent="0.2">
      <c r="A74" s="17">
        <v>9</v>
      </c>
      <c r="B74" s="45" t="s">
        <v>58</v>
      </c>
      <c r="C74" s="281">
        <v>85300571</v>
      </c>
      <c r="D74" s="281">
        <v>81733082</v>
      </c>
      <c r="E74" s="281">
        <v>86635165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128846900</v>
      </c>
      <c r="D75" s="270">
        <f>+D73+D74</f>
        <v>132073649</v>
      </c>
      <c r="E75" s="270">
        <f>+E73+E74</f>
        <v>143312950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53.069319446278307</v>
      </c>
      <c r="D77" s="286">
        <f>IF(D80=0,0,(D78/D80)*100)</f>
        <v>53.347245345597351</v>
      </c>
      <c r="E77" s="286">
        <f>IF(E80=0,0,(E78/E80)*100)</f>
        <v>61.098100633031116</v>
      </c>
    </row>
    <row r="78" spans="1:5" ht="24" customHeight="1" x14ac:dyDescent="0.2">
      <c r="A78" s="17">
        <v>12</v>
      </c>
      <c r="B78" s="45" t="s">
        <v>58</v>
      </c>
      <c r="C78" s="270">
        <f>+C74</f>
        <v>85300571</v>
      </c>
      <c r="D78" s="270">
        <f>+D74</f>
        <v>81733082</v>
      </c>
      <c r="E78" s="270">
        <f>+E74</f>
        <v>86635165</v>
      </c>
    </row>
    <row r="79" spans="1:5" ht="24" customHeight="1" x14ac:dyDescent="0.2">
      <c r="A79" s="17">
        <v>13</v>
      </c>
      <c r="B79" s="45" t="s">
        <v>67</v>
      </c>
      <c r="C79" s="270">
        <f>+C32</f>
        <v>75433676</v>
      </c>
      <c r="D79" s="270">
        <f>+D32</f>
        <v>71476482</v>
      </c>
      <c r="E79" s="270">
        <f>+E32</f>
        <v>55161657</v>
      </c>
    </row>
    <row r="80" spans="1:5" ht="24" customHeight="1" x14ac:dyDescent="0.2">
      <c r="A80" s="17">
        <v>14</v>
      </c>
      <c r="B80" s="45" t="s">
        <v>360</v>
      </c>
      <c r="C80" s="270">
        <f>+C78+C79</f>
        <v>160734247</v>
      </c>
      <c r="D80" s="270">
        <f>+D78+D79</f>
        <v>153209564</v>
      </c>
      <c r="E80" s="270">
        <f>+E78+E79</f>
        <v>141796822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21442</v>
      </c>
      <c r="D11" s="296">
        <v>5536</v>
      </c>
      <c r="E11" s="296">
        <v>5293</v>
      </c>
      <c r="F11" s="297">
        <v>82</v>
      </c>
      <c r="G11" s="297">
        <v>158</v>
      </c>
      <c r="H11" s="298">
        <f>IF(F11=0,0,$C11/(F11*365))</f>
        <v>0.71640494487136652</v>
      </c>
      <c r="I11" s="298">
        <f>IF(G11=0,0,$C11/(G11*365))</f>
        <v>0.37180509797121553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5293</v>
      </c>
      <c r="D13" s="296">
        <v>685</v>
      </c>
      <c r="E13" s="296">
        <v>0</v>
      </c>
      <c r="F13" s="297">
        <v>22</v>
      </c>
      <c r="G13" s="297">
        <v>25</v>
      </c>
      <c r="H13" s="298">
        <f>IF(F13=0,0,$C13/(F13*365))</f>
        <v>0.65915317559153175</v>
      </c>
      <c r="I13" s="298">
        <f>IF(G13=0,0,$C13/(G13*365))</f>
        <v>0.58005479452054798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1348</v>
      </c>
      <c r="D15" s="296">
        <v>198</v>
      </c>
      <c r="E15" s="296">
        <v>195</v>
      </c>
      <c r="F15" s="297">
        <v>5</v>
      </c>
      <c r="G15" s="297">
        <v>10</v>
      </c>
      <c r="H15" s="298">
        <f t="shared" ref="H15:I17" si="0">IF(F15=0,0,$C15/(F15*365))</f>
        <v>0.73863013698630142</v>
      </c>
      <c r="I15" s="298">
        <f t="shared" si="0"/>
        <v>0.36931506849315071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8284</v>
      </c>
      <c r="D16" s="296">
        <v>1218</v>
      </c>
      <c r="E16" s="296">
        <v>1199</v>
      </c>
      <c r="F16" s="297">
        <v>26</v>
      </c>
      <c r="G16" s="297">
        <v>26</v>
      </c>
      <c r="H16" s="298">
        <f t="shared" si="0"/>
        <v>0.87291886195995783</v>
      </c>
      <c r="I16" s="298">
        <f t="shared" si="0"/>
        <v>0.87291886195995783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9632</v>
      </c>
      <c r="D17" s="300">
        <f>SUM(D15:D16)</f>
        <v>1416</v>
      </c>
      <c r="E17" s="300">
        <f>SUM(E15:E16)</f>
        <v>1394</v>
      </c>
      <c r="F17" s="300">
        <f>SUM(F15:F16)</f>
        <v>31</v>
      </c>
      <c r="G17" s="300">
        <f>SUM(G15:G16)</f>
        <v>36</v>
      </c>
      <c r="H17" s="301">
        <f t="shared" si="0"/>
        <v>0.85125939019001329</v>
      </c>
      <c r="I17" s="301">
        <f t="shared" si="0"/>
        <v>0.73302891933028924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3446</v>
      </c>
      <c r="D21" s="296">
        <v>1261</v>
      </c>
      <c r="E21" s="296">
        <v>1246</v>
      </c>
      <c r="F21" s="297">
        <v>15</v>
      </c>
      <c r="G21" s="297">
        <v>30</v>
      </c>
      <c r="H21" s="298">
        <f>IF(F21=0,0,$C21/(F21*365))</f>
        <v>0.62940639269406395</v>
      </c>
      <c r="I21" s="298">
        <f>IF(G21=0,0,$C21/(G21*365))</f>
        <v>0.31470319634703198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3662</v>
      </c>
      <c r="D23" s="296">
        <v>1068</v>
      </c>
      <c r="E23" s="296">
        <v>1159</v>
      </c>
      <c r="F23" s="297">
        <v>21</v>
      </c>
      <c r="G23" s="297">
        <v>34</v>
      </c>
      <c r="H23" s="298">
        <f>IF(F23=0,0,$C23/(F23*365))</f>
        <v>0.47775603392041749</v>
      </c>
      <c r="I23" s="298">
        <f>IF(G23=0,0,$C23/(G23*365))</f>
        <v>0.29508460918614021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39813</v>
      </c>
      <c r="D31" s="300">
        <f>SUM(D10:D29)-D13-D17-D23</f>
        <v>8213</v>
      </c>
      <c r="E31" s="300">
        <f>SUM(E10:E29)-E17-E23</f>
        <v>7933</v>
      </c>
      <c r="F31" s="300">
        <f>SUM(F10:F29)-F17-F23</f>
        <v>150</v>
      </c>
      <c r="G31" s="300">
        <f>SUM(G10:G29)-G17-G23</f>
        <v>249</v>
      </c>
      <c r="H31" s="301">
        <f>IF(F31=0,0,$C31/(F31*365))</f>
        <v>0.72717808219178082</v>
      </c>
      <c r="I31" s="301">
        <f>IF(G31=0,0,$C31/(G31*365))</f>
        <v>0.4380590856576993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43475</v>
      </c>
      <c r="D33" s="300">
        <f>SUM(D10:D29)-D13-D17</f>
        <v>9281</v>
      </c>
      <c r="E33" s="300">
        <f>SUM(E10:E29)-E17</f>
        <v>9092</v>
      </c>
      <c r="F33" s="300">
        <f>SUM(F10:F29)-F17</f>
        <v>171</v>
      </c>
      <c r="G33" s="300">
        <f>SUM(G10:G29)-G17</f>
        <v>283</v>
      </c>
      <c r="H33" s="301">
        <f>IF(F33=0,0,$C33/(F33*365))</f>
        <v>0.69654730433389411</v>
      </c>
      <c r="I33" s="301">
        <f>IF(G33=0,0,$C33/(G33*365))</f>
        <v>0.42088194007454377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43475</v>
      </c>
      <c r="D36" s="300">
        <f t="shared" si="1"/>
        <v>9281</v>
      </c>
      <c r="E36" s="300">
        <f t="shared" si="1"/>
        <v>9092</v>
      </c>
      <c r="F36" s="300">
        <f t="shared" si="1"/>
        <v>171</v>
      </c>
      <c r="G36" s="300">
        <f t="shared" si="1"/>
        <v>283</v>
      </c>
      <c r="H36" s="301">
        <f t="shared" si="1"/>
        <v>0.69654730433389411</v>
      </c>
      <c r="I36" s="301">
        <f t="shared" si="1"/>
        <v>0.42088194007454377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44935</v>
      </c>
      <c r="D37" s="300">
        <v>0</v>
      </c>
      <c r="E37" s="300">
        <v>0</v>
      </c>
      <c r="F37" s="302">
        <v>140</v>
      </c>
      <c r="G37" s="302">
        <v>283</v>
      </c>
      <c r="H37" s="301">
        <f>IF(F37=0,0,$C37/(F37*365))</f>
        <v>0.87935420743639925</v>
      </c>
      <c r="I37" s="301">
        <f>IF(G37=0,0,$C37/(G37*365))</f>
        <v>0.43501621569291832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-1460</v>
      </c>
      <c r="D38" s="300">
        <f t="shared" si="2"/>
        <v>9281</v>
      </c>
      <c r="E38" s="300">
        <f t="shared" si="2"/>
        <v>9092</v>
      </c>
      <c r="F38" s="300">
        <f t="shared" si="2"/>
        <v>31</v>
      </c>
      <c r="G38" s="300">
        <f t="shared" si="2"/>
        <v>0</v>
      </c>
      <c r="H38" s="301">
        <f t="shared" si="2"/>
        <v>-0.18280690310250514</v>
      </c>
      <c r="I38" s="301">
        <f t="shared" si="2"/>
        <v>-1.4134275618374548E-2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-3.2491376432624904E-2</v>
      </c>
      <c r="D40" s="148">
        <f t="shared" si="3"/>
        <v>0</v>
      </c>
      <c r="E40" s="148">
        <f t="shared" si="3"/>
        <v>0</v>
      </c>
      <c r="F40" s="148">
        <f t="shared" si="3"/>
        <v>0.22142857142857142</v>
      </c>
      <c r="G40" s="148">
        <f t="shared" si="3"/>
        <v>0</v>
      </c>
      <c r="H40" s="148">
        <f t="shared" si="3"/>
        <v>-0.20788767661150578</v>
      </c>
      <c r="I40" s="148">
        <f t="shared" si="3"/>
        <v>-3.2491376432624883E-2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283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FILING&amp;RMANCHESTER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526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5785</v>
      </c>
      <c r="D12" s="296">
        <v>4253</v>
      </c>
      <c r="E12" s="296">
        <f>+D12-C12</f>
        <v>-1532</v>
      </c>
      <c r="F12" s="316">
        <f>IF(C12=0,0,+E12/C12)</f>
        <v>-0.26482281763180637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11732</v>
      </c>
      <c r="D13" s="296">
        <v>10204</v>
      </c>
      <c r="E13" s="296">
        <f>+D13-C13</f>
        <v>-1528</v>
      </c>
      <c r="F13" s="316">
        <f>IF(C13=0,0,+E13/C13)</f>
        <v>-0.13024207296283669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4248</v>
      </c>
      <c r="D14" s="296">
        <v>3695</v>
      </c>
      <c r="E14" s="296">
        <f>+D14-C14</f>
        <v>-553</v>
      </c>
      <c r="F14" s="316">
        <f>IF(C14=0,0,+E14/C14)</f>
        <v>-0.1301789077212806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21765</v>
      </c>
      <c r="D16" s="300">
        <f>SUM(D12:D15)</f>
        <v>18152</v>
      </c>
      <c r="E16" s="300">
        <f>+D16-C16</f>
        <v>-3613</v>
      </c>
      <c r="F16" s="309">
        <f>IF(C16=0,0,+E16/C16)</f>
        <v>-0.16600045945325062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580</v>
      </c>
      <c r="D19" s="296">
        <v>524</v>
      </c>
      <c r="E19" s="296">
        <f>+D19-C19</f>
        <v>-56</v>
      </c>
      <c r="F19" s="316">
        <f>IF(C19=0,0,+E19/C19)</f>
        <v>-9.6551724137931033E-2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3195</v>
      </c>
      <c r="D20" s="296">
        <v>3143</v>
      </c>
      <c r="E20" s="296">
        <f>+D20-C20</f>
        <v>-52</v>
      </c>
      <c r="F20" s="316">
        <f>IF(C20=0,0,+E20/C20)</f>
        <v>-1.6275430359937403E-2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65</v>
      </c>
      <c r="D21" s="296">
        <v>64</v>
      </c>
      <c r="E21" s="296">
        <f>+D21-C21</f>
        <v>-1</v>
      </c>
      <c r="F21" s="316">
        <f>IF(C21=0,0,+E21/C21)</f>
        <v>-1.5384615384615385E-2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3840</v>
      </c>
      <c r="D23" s="300">
        <f>SUM(D19:D22)</f>
        <v>3731</v>
      </c>
      <c r="E23" s="300">
        <f>+D23-C23</f>
        <v>-109</v>
      </c>
      <c r="F23" s="309">
        <f>IF(C23=0,0,+E23/C23)</f>
        <v>-2.8385416666666666E-2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2</v>
      </c>
      <c r="E26" s="296">
        <f>+D26-C26</f>
        <v>2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136</v>
      </c>
      <c r="D27" s="296">
        <v>2</v>
      </c>
      <c r="E27" s="296">
        <f>+D27-C27</f>
        <v>-134</v>
      </c>
      <c r="F27" s="316">
        <f>IF(C27=0,0,+E27/C27)</f>
        <v>-0.98529411764705888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136</v>
      </c>
      <c r="D30" s="300">
        <f>SUM(D26:D29)</f>
        <v>4</v>
      </c>
      <c r="E30" s="300">
        <f>+D30-C30</f>
        <v>-132</v>
      </c>
      <c r="F30" s="309">
        <f>IF(C30=0,0,+E30/C30)</f>
        <v>-0.97058823529411764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237</v>
      </c>
      <c r="D34" s="296">
        <v>409</v>
      </c>
      <c r="E34" s="296">
        <f>+D34-C34</f>
        <v>172</v>
      </c>
      <c r="F34" s="316">
        <f>IF(C34=0,0,+E34/C34)</f>
        <v>0.72573839662447259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237</v>
      </c>
      <c r="D37" s="300">
        <f>SUM(D33:D36)</f>
        <v>409</v>
      </c>
      <c r="E37" s="300">
        <f>+D37-C37</f>
        <v>172</v>
      </c>
      <c r="F37" s="309">
        <f>IF(C37=0,0,+E37/C37)</f>
        <v>0.72573839662447259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0</v>
      </c>
      <c r="D58" s="296">
        <v>2</v>
      </c>
      <c r="E58" s="296">
        <f>+D58-C58</f>
        <v>2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94</v>
      </c>
      <c r="D59" s="296">
        <v>98</v>
      </c>
      <c r="E59" s="296">
        <f>+D59-C59</f>
        <v>4</v>
      </c>
      <c r="F59" s="316">
        <f>IF(C59=0,0,+E59/C59)</f>
        <v>4.2553191489361701E-2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94</v>
      </c>
      <c r="D60" s="300">
        <f>SUM(D58:D59)</f>
        <v>100</v>
      </c>
      <c r="E60" s="300">
        <f>SUM(E58:E59)</f>
        <v>6</v>
      </c>
      <c r="F60" s="309">
        <f>IF(C60=0,0,+E60/C60)</f>
        <v>6.3829787234042548E-2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1827</v>
      </c>
      <c r="D63" s="296">
        <v>1596</v>
      </c>
      <c r="E63" s="296">
        <f>+D63-C63</f>
        <v>-231</v>
      </c>
      <c r="F63" s="316">
        <f>IF(C63=0,0,+E63/C63)</f>
        <v>-0.12643678160919541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5240</v>
      </c>
      <c r="D64" s="296">
        <v>5099</v>
      </c>
      <c r="E64" s="296">
        <f>+D64-C64</f>
        <v>-141</v>
      </c>
      <c r="F64" s="316">
        <f>IF(C64=0,0,+E64/C64)</f>
        <v>-2.6908396946564887E-2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7067</v>
      </c>
      <c r="D65" s="300">
        <f>SUM(D63:D64)</f>
        <v>6695</v>
      </c>
      <c r="E65" s="300">
        <f>+D65-C65</f>
        <v>-372</v>
      </c>
      <c r="F65" s="309">
        <f>IF(C65=0,0,+E65/C65)</f>
        <v>-5.2639026461015988E-2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655</v>
      </c>
      <c r="D68" s="296">
        <v>520</v>
      </c>
      <c r="E68" s="296">
        <f>+D68-C68</f>
        <v>-135</v>
      </c>
      <c r="F68" s="316">
        <f>IF(C68=0,0,+E68/C68)</f>
        <v>-0.20610687022900764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6663</v>
      </c>
      <c r="D69" s="296">
        <v>6418</v>
      </c>
      <c r="E69" s="296">
        <f>+D69-C69</f>
        <v>-245</v>
      </c>
      <c r="F69" s="318">
        <f>IF(C69=0,0,+E69/C69)</f>
        <v>-3.6770223622992648E-2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7318</v>
      </c>
      <c r="D70" s="300">
        <f>SUM(D68:D69)</f>
        <v>6938</v>
      </c>
      <c r="E70" s="300">
        <f>+D70-C70</f>
        <v>-380</v>
      </c>
      <c r="F70" s="309">
        <f>IF(C70=0,0,+E70/C70)</f>
        <v>-5.1926755944247061E-2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5340</v>
      </c>
      <c r="D73" s="319">
        <v>5332</v>
      </c>
      <c r="E73" s="296">
        <f>+D73-C73</f>
        <v>-8</v>
      </c>
      <c r="F73" s="316">
        <f>IF(C73=0,0,+E73/C73)</f>
        <v>-1.4981273408239701E-3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40946</v>
      </c>
      <c r="D74" s="319">
        <v>42502</v>
      </c>
      <c r="E74" s="296">
        <f>+D74-C74</f>
        <v>1556</v>
      </c>
      <c r="F74" s="316">
        <f>IF(C74=0,0,+E74/C74)</f>
        <v>3.8001269965320175E-2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46286</v>
      </c>
      <c r="D75" s="300">
        <f>SUM(D73:D74)</f>
        <v>47834</v>
      </c>
      <c r="E75" s="300">
        <f>SUM(E73:E74)</f>
        <v>1548</v>
      </c>
      <c r="F75" s="309">
        <f>IF(C75=0,0,+E75/C75)</f>
        <v>3.3444237998530871E-2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64882</v>
      </c>
      <c r="D81" s="319">
        <v>75062</v>
      </c>
      <c r="E81" s="296">
        <f t="shared" si="0"/>
        <v>10180</v>
      </c>
      <c r="F81" s="316">
        <f t="shared" si="1"/>
        <v>0.15690021885885144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64882</v>
      </c>
      <c r="D84" s="320">
        <f>SUM(D79:D83)</f>
        <v>75062</v>
      </c>
      <c r="E84" s="300">
        <f t="shared" si="0"/>
        <v>10180</v>
      </c>
      <c r="F84" s="309">
        <f t="shared" si="1"/>
        <v>0.15690021885885144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69401</v>
      </c>
      <c r="D87" s="322">
        <v>67913</v>
      </c>
      <c r="E87" s="323">
        <f t="shared" ref="E87:E92" si="2">+D87-C87</f>
        <v>-1488</v>
      </c>
      <c r="F87" s="318">
        <f t="shared" ref="F87:F92" si="3">IF(C87=0,0,+E87/C87)</f>
        <v>-2.1440613247647729E-2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7920</v>
      </c>
      <c r="D88" s="322">
        <v>7230</v>
      </c>
      <c r="E88" s="296">
        <f t="shared" si="2"/>
        <v>-690</v>
      </c>
      <c r="F88" s="316">
        <f t="shared" si="3"/>
        <v>-8.7121212121212127E-2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595</v>
      </c>
      <c r="D89" s="322">
        <v>538</v>
      </c>
      <c r="E89" s="296">
        <f t="shared" si="2"/>
        <v>-57</v>
      </c>
      <c r="F89" s="316">
        <f t="shared" si="3"/>
        <v>-9.5798319327731099E-2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6663</v>
      </c>
      <c r="D90" s="322">
        <v>6418</v>
      </c>
      <c r="E90" s="296">
        <f t="shared" si="2"/>
        <v>-245</v>
      </c>
      <c r="F90" s="316">
        <f t="shared" si="3"/>
        <v>-3.6770223622992648E-2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43740</v>
      </c>
      <c r="D91" s="322">
        <v>39867</v>
      </c>
      <c r="E91" s="296">
        <f t="shared" si="2"/>
        <v>-3873</v>
      </c>
      <c r="F91" s="316">
        <f t="shared" si="3"/>
        <v>-8.8545953360768176E-2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128319</v>
      </c>
      <c r="D92" s="320">
        <f>SUM(D87:D91)</f>
        <v>121966</v>
      </c>
      <c r="E92" s="300">
        <f t="shared" si="2"/>
        <v>-6353</v>
      </c>
      <c r="F92" s="309">
        <f t="shared" si="3"/>
        <v>-4.9509425728068331E-2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340.4</v>
      </c>
      <c r="D96" s="325">
        <v>321</v>
      </c>
      <c r="E96" s="326">
        <f>+D96-C96</f>
        <v>-19.399999999999977</v>
      </c>
      <c r="F96" s="316">
        <f>IF(C96=0,0,+E96/C96)</f>
        <v>-5.6991774383078668E-2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13.3</v>
      </c>
      <c r="D97" s="325">
        <v>16.7</v>
      </c>
      <c r="E97" s="326">
        <f>+D97-C97</f>
        <v>3.3999999999999986</v>
      </c>
      <c r="F97" s="316">
        <f>IF(C97=0,0,+E97/C97)</f>
        <v>0.25563909774436078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793.2</v>
      </c>
      <c r="D98" s="325">
        <v>801.2</v>
      </c>
      <c r="E98" s="326">
        <f>+D98-C98</f>
        <v>8</v>
      </c>
      <c r="F98" s="316">
        <f>IF(C98=0,0,+E98/C98)</f>
        <v>1.0085728693898134E-2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1146.9000000000001</v>
      </c>
      <c r="D99" s="327">
        <f>SUM(D96:D98)</f>
        <v>1138.9000000000001</v>
      </c>
      <c r="E99" s="327">
        <f>+D99-C99</f>
        <v>-8</v>
      </c>
      <c r="F99" s="309">
        <f>IF(C99=0,0,+E99/C99)</f>
        <v>-6.9753247885604667E-3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FILING&amp;RMANCHESTER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585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5240</v>
      </c>
      <c r="D12" s="296">
        <v>5099</v>
      </c>
      <c r="E12" s="296">
        <f>+D12-C12</f>
        <v>-141</v>
      </c>
      <c r="F12" s="316">
        <f>IF(C12=0,0,+E12/C12)</f>
        <v>-2.6908396946564887E-2</v>
      </c>
    </row>
    <row r="13" spans="1:16" ht="15.75" customHeight="1" x14ac:dyDescent="0.25">
      <c r="A13" s="294"/>
      <c r="B13" s="135" t="s">
        <v>587</v>
      </c>
      <c r="C13" s="300">
        <f>SUM(C11:C12)</f>
        <v>5240</v>
      </c>
      <c r="D13" s="300">
        <f>SUM(D11:D12)</f>
        <v>5099</v>
      </c>
      <c r="E13" s="300">
        <f>+D13-C13</f>
        <v>-141</v>
      </c>
      <c r="F13" s="309">
        <f>IF(C13=0,0,+E13/C13)</f>
        <v>-2.6908396946564887E-2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561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586</v>
      </c>
      <c r="C16" s="296">
        <v>6663</v>
      </c>
      <c r="D16" s="296">
        <v>6418</v>
      </c>
      <c r="E16" s="296">
        <f>+D16-C16</f>
        <v>-245</v>
      </c>
      <c r="F16" s="316">
        <f>IF(C16=0,0,+E16/C16)</f>
        <v>-3.6770223622992648E-2</v>
      </c>
    </row>
    <row r="17" spans="1:6" ht="15.75" customHeight="1" x14ac:dyDescent="0.25">
      <c r="A17" s="294"/>
      <c r="B17" s="135" t="s">
        <v>588</v>
      </c>
      <c r="C17" s="300">
        <f>SUM(C15:C16)</f>
        <v>6663</v>
      </c>
      <c r="D17" s="300">
        <f>SUM(D15:D16)</f>
        <v>6418</v>
      </c>
      <c r="E17" s="300">
        <f>+D17-C17</f>
        <v>-245</v>
      </c>
      <c r="F17" s="309">
        <f>IF(C17=0,0,+E17/C17)</f>
        <v>-3.6770223622992648E-2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589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590</v>
      </c>
      <c r="C20" s="296">
        <v>40946</v>
      </c>
      <c r="D20" s="296">
        <v>42502</v>
      </c>
      <c r="E20" s="296">
        <f>+D20-C20</f>
        <v>1556</v>
      </c>
      <c r="F20" s="316">
        <f>IF(C20=0,0,+E20/C20)</f>
        <v>3.8001269965320175E-2</v>
      </c>
    </row>
    <row r="21" spans="1:6" ht="15.75" customHeight="1" x14ac:dyDescent="0.25">
      <c r="A21" s="294"/>
      <c r="B21" s="135" t="s">
        <v>591</v>
      </c>
      <c r="C21" s="300">
        <f>SUM(C19:C20)</f>
        <v>40946</v>
      </c>
      <c r="D21" s="300">
        <f>SUM(D19:D20)</f>
        <v>42502</v>
      </c>
      <c r="E21" s="300">
        <f>+D21-C21</f>
        <v>1556</v>
      </c>
      <c r="F21" s="309">
        <f>IF(C21=0,0,+E21/C21)</f>
        <v>3.8001269965320175E-2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700" t="s">
        <v>592</v>
      </c>
      <c r="C23" s="701"/>
      <c r="D23" s="701"/>
      <c r="E23" s="701"/>
      <c r="F23" s="702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700" t="s">
        <v>593</v>
      </c>
      <c r="C25" s="701"/>
      <c r="D25" s="701"/>
      <c r="E25" s="701"/>
      <c r="F25" s="702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700" t="s">
        <v>594</v>
      </c>
      <c r="C27" s="701"/>
      <c r="D27" s="701"/>
      <c r="E27" s="701"/>
      <c r="F27" s="702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1" fitToHeight="0" orientation="portrait" horizontalDpi="1200" verticalDpi="1200" r:id="rId1"/>
  <headerFooter>
    <oddHeader>&amp;LOFFICE OF HEALTH CARE ACCESS&amp;CTWELVE MONTHS ACTUAL FILING&amp;RMANCHESTER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3" t="s">
        <v>0</v>
      </c>
      <c r="B1" s="703"/>
      <c r="C1" s="703"/>
      <c r="D1" s="703"/>
      <c r="E1" s="703"/>
      <c r="F1" s="703"/>
    </row>
    <row r="2" spans="1:21" ht="15.75" customHeight="1" x14ac:dyDescent="0.25">
      <c r="A2" s="704" t="s">
        <v>595</v>
      </c>
      <c r="B2" s="705"/>
      <c r="C2" s="705"/>
      <c r="D2" s="705"/>
      <c r="E2" s="705"/>
      <c r="F2" s="706"/>
    </row>
    <row r="3" spans="1:21" ht="15.75" customHeight="1" x14ac:dyDescent="0.25">
      <c r="A3" s="704" t="s">
        <v>596</v>
      </c>
      <c r="B3" s="705"/>
      <c r="C3" s="705"/>
      <c r="D3" s="705"/>
      <c r="E3" s="705"/>
      <c r="F3" s="706"/>
    </row>
    <row r="4" spans="1:21" ht="15.75" customHeight="1" x14ac:dyDescent="0.25">
      <c r="A4" s="707" t="s">
        <v>597</v>
      </c>
      <c r="B4" s="708"/>
      <c r="C4" s="708"/>
      <c r="D4" s="708"/>
      <c r="E4" s="708"/>
      <c r="F4" s="709"/>
    </row>
    <row r="5" spans="1:21" ht="15.75" customHeight="1" x14ac:dyDescent="0.25">
      <c r="A5" s="707" t="s">
        <v>598</v>
      </c>
      <c r="B5" s="708"/>
      <c r="C5" s="708"/>
      <c r="D5" s="708"/>
      <c r="E5" s="708"/>
      <c r="F5" s="709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91363204</v>
      </c>
      <c r="D15" s="361">
        <v>81439769</v>
      </c>
      <c r="E15" s="361">
        <f t="shared" ref="E15:E24" si="0">D15-C15</f>
        <v>-9923435</v>
      </c>
      <c r="F15" s="362">
        <f t="shared" ref="F15:F24" si="1">IF(C15=0,0,E15/C15)</f>
        <v>-0.10861522544677833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35991274</v>
      </c>
      <c r="D16" s="361">
        <v>30670179</v>
      </c>
      <c r="E16" s="361">
        <f t="shared" si="0"/>
        <v>-5321095</v>
      </c>
      <c r="F16" s="362">
        <f t="shared" si="1"/>
        <v>-0.14784403019465217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0.39393620652795847</v>
      </c>
      <c r="D17" s="366">
        <f>IF(LN_IA1=0,0,LN_IA2/LN_IA1)</f>
        <v>0.37659953333119106</v>
      </c>
      <c r="E17" s="367">
        <f t="shared" si="0"/>
        <v>-1.7336673196767405E-2</v>
      </c>
      <c r="F17" s="362">
        <f t="shared" si="1"/>
        <v>-4.4008834195688448E-2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3774</v>
      </c>
      <c r="D18" s="369">
        <v>3626</v>
      </c>
      <c r="E18" s="369">
        <f t="shared" si="0"/>
        <v>-148</v>
      </c>
      <c r="F18" s="362">
        <f t="shared" si="1"/>
        <v>-3.9215686274509803E-2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1.4590099999999999</v>
      </c>
      <c r="D19" s="372">
        <v>1.3673</v>
      </c>
      <c r="E19" s="373">
        <f t="shared" si="0"/>
        <v>-9.1709999999999958E-2</v>
      </c>
      <c r="F19" s="362">
        <f t="shared" si="1"/>
        <v>-6.2857691174152311E-2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5506.3037399999994</v>
      </c>
      <c r="D20" s="376">
        <f>LN_IA4*LN_IA5</f>
        <v>4957.8297999999995</v>
      </c>
      <c r="E20" s="376">
        <f t="shared" si="0"/>
        <v>-548.47393999999986</v>
      </c>
      <c r="F20" s="362">
        <f t="shared" si="1"/>
        <v>-9.9608369951636549E-2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6536.3764331678522</v>
      </c>
      <c r="D21" s="378">
        <f>IF(LN_IA6=0,0,LN_IA2/LN_IA6)</f>
        <v>6186.2105472035373</v>
      </c>
      <c r="E21" s="378">
        <f t="shared" si="0"/>
        <v>-350.16588596431484</v>
      </c>
      <c r="F21" s="362">
        <f t="shared" si="1"/>
        <v>-5.3571866544810838E-2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22745</v>
      </c>
      <c r="D22" s="369">
        <v>20921</v>
      </c>
      <c r="E22" s="369">
        <f t="shared" si="0"/>
        <v>-1824</v>
      </c>
      <c r="F22" s="362">
        <f t="shared" si="1"/>
        <v>-8.0193449109694434E-2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1582.3817981974059</v>
      </c>
      <c r="D23" s="378">
        <f>IF(LN_IA8=0,0,LN_IA2/LN_IA8)</f>
        <v>1465.9996654079632</v>
      </c>
      <c r="E23" s="378">
        <f t="shared" si="0"/>
        <v>-116.38213278944272</v>
      </c>
      <c r="F23" s="362">
        <f t="shared" si="1"/>
        <v>-7.3548705452768218E-2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6.0267620561738209</v>
      </c>
      <c r="D24" s="379">
        <f>IF(LN_IA4=0,0,LN_IA8/LN_IA4)</f>
        <v>5.7697186982901272</v>
      </c>
      <c r="E24" s="379">
        <f t="shared" si="0"/>
        <v>-0.2570433578836937</v>
      </c>
      <c r="F24" s="362">
        <f t="shared" si="1"/>
        <v>-4.2650324583559468E-2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88314303</v>
      </c>
      <c r="D27" s="361">
        <v>90726985</v>
      </c>
      <c r="E27" s="361">
        <f t="shared" ref="E27:E32" si="2">D27-C27</f>
        <v>2412682</v>
      </c>
      <c r="F27" s="362">
        <f t="shared" ref="F27:F32" si="3">IF(C27=0,0,E27/C27)</f>
        <v>2.7319266733045494E-2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25579933</v>
      </c>
      <c r="D28" s="361">
        <v>24331083</v>
      </c>
      <c r="E28" s="361">
        <f t="shared" si="2"/>
        <v>-1248850</v>
      </c>
      <c r="F28" s="362">
        <f t="shared" si="3"/>
        <v>-4.8821472675475736E-2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0.28964654796630168</v>
      </c>
      <c r="D29" s="366">
        <f>IF(LN_IA11=0,0,LN_IA12/LN_IA11)</f>
        <v>0.26817912002696881</v>
      </c>
      <c r="E29" s="367">
        <f t="shared" si="2"/>
        <v>-2.1467427939332873E-2</v>
      </c>
      <c r="F29" s="362">
        <f t="shared" si="3"/>
        <v>-7.4115946107634792E-2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0.96662878635473426</v>
      </c>
      <c r="D30" s="366">
        <f>IF(LN_IA1=0,0,LN_IA11/LN_IA1)</f>
        <v>1.1140378480199276</v>
      </c>
      <c r="E30" s="367">
        <f t="shared" si="2"/>
        <v>0.1474090616651933</v>
      </c>
      <c r="F30" s="362">
        <f t="shared" si="3"/>
        <v>0.152498108628742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3648.0570397027673</v>
      </c>
      <c r="D31" s="376">
        <f>LN_IA14*LN_IA4</f>
        <v>4039.5012369202573</v>
      </c>
      <c r="E31" s="376">
        <f t="shared" si="2"/>
        <v>391.44419721749</v>
      </c>
      <c r="F31" s="362">
        <f t="shared" si="3"/>
        <v>0.10730210436879126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7011.9333995074203</v>
      </c>
      <c r="D32" s="378">
        <f>IF(LN_IA15=0,0,LN_IA12/LN_IA15)</f>
        <v>6023.2889094372895</v>
      </c>
      <c r="E32" s="378">
        <f t="shared" si="2"/>
        <v>-988.64449007013081</v>
      </c>
      <c r="F32" s="362">
        <f t="shared" si="3"/>
        <v>-0.1409945636590875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179677507</v>
      </c>
      <c r="D35" s="361">
        <f>LN_IA1+LN_IA11</f>
        <v>172166754</v>
      </c>
      <c r="E35" s="361">
        <f>D35-C35</f>
        <v>-7510753</v>
      </c>
      <c r="F35" s="362">
        <f>IF(C35=0,0,E35/C35)</f>
        <v>-4.1801297922059881E-2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61571207</v>
      </c>
      <c r="D36" s="361">
        <f>LN_IA2+LN_IA12</f>
        <v>55001262</v>
      </c>
      <c r="E36" s="361">
        <f>D36-C36</f>
        <v>-6569945</v>
      </c>
      <c r="F36" s="362">
        <f>IF(C36=0,0,E36/C36)</f>
        <v>-0.10670482714428516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118106300</v>
      </c>
      <c r="D37" s="361">
        <f>LN_IA17-LN_IA18</f>
        <v>117165492</v>
      </c>
      <c r="E37" s="361">
        <f>D37-C37</f>
        <v>-940808</v>
      </c>
      <c r="F37" s="362">
        <f>IF(C37=0,0,E37/C37)</f>
        <v>-7.9657732060017129E-3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47309650</v>
      </c>
      <c r="D42" s="361">
        <v>44280158</v>
      </c>
      <c r="E42" s="361">
        <f t="shared" ref="E42:E53" si="4">D42-C42</f>
        <v>-3029492</v>
      </c>
      <c r="F42" s="362">
        <f t="shared" ref="F42:F53" si="5">IF(C42=0,0,E42/C42)</f>
        <v>-6.4035392356527679E-2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24611239</v>
      </c>
      <c r="D43" s="361">
        <v>25821229</v>
      </c>
      <c r="E43" s="361">
        <f t="shared" si="4"/>
        <v>1209990</v>
      </c>
      <c r="F43" s="362">
        <f t="shared" si="5"/>
        <v>4.9164123756630047E-2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0.52021604471814942</v>
      </c>
      <c r="D44" s="366">
        <f>IF(LN_IB1=0,0,LN_IB2/LN_IB1)</f>
        <v>0.58313317219870808</v>
      </c>
      <c r="E44" s="367">
        <f t="shared" si="4"/>
        <v>6.2917127480558666E-2</v>
      </c>
      <c r="F44" s="362">
        <f t="shared" si="5"/>
        <v>0.1209442271520996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3650</v>
      </c>
      <c r="D45" s="369">
        <v>3754</v>
      </c>
      <c r="E45" s="369">
        <f t="shared" si="4"/>
        <v>104</v>
      </c>
      <c r="F45" s="362">
        <f t="shared" si="5"/>
        <v>2.8493150684931506E-2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1.01037</v>
      </c>
      <c r="D46" s="372">
        <v>0.98160000000000003</v>
      </c>
      <c r="E46" s="373">
        <f t="shared" si="4"/>
        <v>-2.8769999999999962E-2</v>
      </c>
      <c r="F46" s="362">
        <f t="shared" si="5"/>
        <v>-2.8474717182814181E-2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3687.8505</v>
      </c>
      <c r="D47" s="376">
        <f>LN_IB4*LN_IB5</f>
        <v>3684.9264000000003</v>
      </c>
      <c r="E47" s="376">
        <f t="shared" si="4"/>
        <v>-2.9240999999997257</v>
      </c>
      <c r="F47" s="362">
        <f t="shared" si="5"/>
        <v>-7.9290090528336924E-4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6673.5999737516477</v>
      </c>
      <c r="D48" s="378">
        <f>IF(LN_IB6=0,0,LN_IB2/LN_IB6)</f>
        <v>7007.2577297608977</v>
      </c>
      <c r="E48" s="378">
        <f t="shared" si="4"/>
        <v>333.65775600925008</v>
      </c>
      <c r="F48" s="362">
        <f t="shared" si="5"/>
        <v>4.9996667064489964E-2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-137.22354058379551</v>
      </c>
      <c r="D49" s="378">
        <f>LN_IA7-LN_IB7</f>
        <v>-821.04718255736043</v>
      </c>
      <c r="E49" s="378">
        <f t="shared" si="4"/>
        <v>-683.82364197356492</v>
      </c>
      <c r="F49" s="362">
        <f t="shared" si="5"/>
        <v>4.9832823075716242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-506059.90275372058</v>
      </c>
      <c r="D50" s="391">
        <f>LN_IB8*LN_IB6</f>
        <v>-3025498.4386512372</v>
      </c>
      <c r="E50" s="391">
        <f t="shared" si="4"/>
        <v>-2519438.5358975166</v>
      </c>
      <c r="F50" s="362">
        <f t="shared" si="5"/>
        <v>4.9785381576133849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13952</v>
      </c>
      <c r="D51" s="369">
        <v>13397</v>
      </c>
      <c r="E51" s="369">
        <f t="shared" si="4"/>
        <v>-555</v>
      </c>
      <c r="F51" s="362">
        <f t="shared" si="5"/>
        <v>-3.9779243119266054E-2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1763.9936209862385</v>
      </c>
      <c r="D52" s="378">
        <f>IF(LN_IB10=0,0,LN_IB2/LN_IB10)</f>
        <v>1927.3888930357543</v>
      </c>
      <c r="E52" s="378">
        <f t="shared" si="4"/>
        <v>163.39527204951582</v>
      </c>
      <c r="F52" s="362">
        <f t="shared" si="5"/>
        <v>9.262804020694955E-2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3.8224657534246576</v>
      </c>
      <c r="D53" s="379">
        <f>IF(LN_IB4=0,0,LN_IB10/LN_IB4)</f>
        <v>3.5687266915290357</v>
      </c>
      <c r="E53" s="379">
        <f t="shared" si="4"/>
        <v>-0.2537390618956219</v>
      </c>
      <c r="F53" s="362">
        <f t="shared" si="5"/>
        <v>-6.6380990246489385E-2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128521572</v>
      </c>
      <c r="D56" s="361">
        <v>131255039</v>
      </c>
      <c r="E56" s="361">
        <f t="shared" ref="E56:E63" si="6">D56-C56</f>
        <v>2733467</v>
      </c>
      <c r="F56" s="362">
        <f t="shared" ref="F56:F63" si="7">IF(C56=0,0,E56/C56)</f>
        <v>2.1268546263968822E-2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56072777</v>
      </c>
      <c r="D57" s="361">
        <v>59270269</v>
      </c>
      <c r="E57" s="361">
        <f t="shared" si="6"/>
        <v>3197492</v>
      </c>
      <c r="F57" s="362">
        <f t="shared" si="7"/>
        <v>5.7023963696322726E-2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0.43629078081926975</v>
      </c>
      <c r="D58" s="366">
        <f>IF(LN_IB13=0,0,LN_IB14/LN_IB13)</f>
        <v>0.4515656652237176</v>
      </c>
      <c r="E58" s="367">
        <f t="shared" si="6"/>
        <v>1.5274884404447853E-2</v>
      </c>
      <c r="F58" s="362">
        <f t="shared" si="7"/>
        <v>3.5010788849960506E-2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2.7166037372924974</v>
      </c>
      <c r="D59" s="366">
        <f>IF(LN_IB1=0,0,LN_IB13/LN_IB1)</f>
        <v>2.9641953626272066</v>
      </c>
      <c r="E59" s="367">
        <f t="shared" si="6"/>
        <v>0.24759162533470924</v>
      </c>
      <c r="F59" s="362">
        <f t="shared" si="7"/>
        <v>9.1140132782660227E-2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9915.6036411176156</v>
      </c>
      <c r="D60" s="376">
        <f>LN_IB16*LN_IB4</f>
        <v>11127.589391302534</v>
      </c>
      <c r="E60" s="376">
        <f t="shared" si="6"/>
        <v>1211.9857501849183</v>
      </c>
      <c r="F60" s="362">
        <f t="shared" si="7"/>
        <v>0.12223015300441274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5655.0038736401002</v>
      </c>
      <c r="D61" s="378">
        <f>IF(LN_IB17=0,0,LN_IB14/LN_IB17)</f>
        <v>5326.4248810552263</v>
      </c>
      <c r="E61" s="378">
        <f t="shared" si="6"/>
        <v>-328.57899258487396</v>
      </c>
      <c r="F61" s="362">
        <f t="shared" si="7"/>
        <v>-5.8104114502289306E-2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1356.9295258673201</v>
      </c>
      <c r="D62" s="378">
        <f>LN_IA16-LN_IB18</f>
        <v>696.86402838206322</v>
      </c>
      <c r="E62" s="378">
        <f t="shared" si="6"/>
        <v>-660.06549748525686</v>
      </c>
      <c r="F62" s="362">
        <f t="shared" si="7"/>
        <v>-0.48644051507638708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13454775.347429998</v>
      </c>
      <c r="D63" s="361">
        <f>LN_IB19*LN_IB17</f>
        <v>7754416.7694045948</v>
      </c>
      <c r="E63" s="361">
        <f t="shared" si="6"/>
        <v>-5700358.5780254034</v>
      </c>
      <c r="F63" s="362">
        <f t="shared" si="7"/>
        <v>-0.42366806065730639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175831222</v>
      </c>
      <c r="D66" s="361">
        <f>LN_IB1+LN_IB13</f>
        <v>175535197</v>
      </c>
      <c r="E66" s="361">
        <f>D66-C66</f>
        <v>-296025</v>
      </c>
      <c r="F66" s="362">
        <f>IF(C66=0,0,E66/C66)</f>
        <v>-1.6835747180327281E-3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80684016</v>
      </c>
      <c r="D67" s="361">
        <f>LN_IB2+LN_IB14</f>
        <v>85091498</v>
      </c>
      <c r="E67" s="361">
        <f>D67-C67</f>
        <v>4407482</v>
      </c>
      <c r="F67" s="362">
        <f>IF(C67=0,0,E67/C67)</f>
        <v>5.4626457860005383E-2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95147206</v>
      </c>
      <c r="D68" s="361">
        <f>LN_IB21-LN_IB22</f>
        <v>90443699</v>
      </c>
      <c r="E68" s="361">
        <f>D68-C68</f>
        <v>-4703507</v>
      </c>
      <c r="F68" s="362">
        <f>IF(C68=0,0,E68/C68)</f>
        <v>-4.943400019544452E-2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12948715.444676278</v>
      </c>
      <c r="D70" s="353">
        <f>LN_IB9+LN_IB20</f>
        <v>4728918.3307533581</v>
      </c>
      <c r="E70" s="361">
        <f>D70-C70</f>
        <v>-8219797.1139229201</v>
      </c>
      <c r="F70" s="362">
        <f>IF(C70=0,0,E70/C70)</f>
        <v>-0.6347963355162306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175831221</v>
      </c>
      <c r="D73" s="400">
        <v>175535197</v>
      </c>
      <c r="E73" s="400">
        <f>D73-C73</f>
        <v>-296024</v>
      </c>
      <c r="F73" s="401">
        <f>IF(C73=0,0,E73/C73)</f>
        <v>-1.6835690403355613E-3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80709016</v>
      </c>
      <c r="D74" s="400">
        <v>85091498</v>
      </c>
      <c r="E74" s="400">
        <f>D74-C74</f>
        <v>4382482</v>
      </c>
      <c r="F74" s="401">
        <f>IF(C74=0,0,E74/C74)</f>
        <v>5.4299782319239279E-2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95122205</v>
      </c>
      <c r="D76" s="353">
        <f>LN_IB32-LN_IB33</f>
        <v>90443699</v>
      </c>
      <c r="E76" s="400">
        <f>D76-C76</f>
        <v>-4678506</v>
      </c>
      <c r="F76" s="401">
        <f>IF(C76=0,0,E76/C76)</f>
        <v>-4.9184162625330229E-2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0.54098586393823656</v>
      </c>
      <c r="D77" s="366">
        <f>IF(LN_IB1=0,0,LN_IB34/LN_IB32)</f>
        <v>0.5152453783955363</v>
      </c>
      <c r="E77" s="405">
        <f>D77-C77</f>
        <v>-2.5740485542700253E-2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3498834</v>
      </c>
      <c r="D83" s="361">
        <v>2596225</v>
      </c>
      <c r="E83" s="361">
        <f t="shared" ref="E83:E95" si="8">D83-C83</f>
        <v>-902609</v>
      </c>
      <c r="F83" s="362">
        <f t="shared" ref="F83:F95" si="9">IF(C83=0,0,E83/C83)</f>
        <v>-0.2579742279856661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834918</v>
      </c>
      <c r="D84" s="361">
        <v>37680</v>
      </c>
      <c r="E84" s="361">
        <f t="shared" si="8"/>
        <v>-797238</v>
      </c>
      <c r="F84" s="362">
        <f t="shared" si="9"/>
        <v>-0.95486981955114159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0.23862749704615879</v>
      </c>
      <c r="D85" s="366">
        <f>IF(LN_IC1=0,0,LN_IC2/LN_IC1)</f>
        <v>1.4513380003659159E-2</v>
      </c>
      <c r="E85" s="367">
        <f t="shared" si="8"/>
        <v>-0.22411411704249964</v>
      </c>
      <c r="F85" s="362">
        <f t="shared" si="9"/>
        <v>-0.93917976686126925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185</v>
      </c>
      <c r="D86" s="369">
        <v>216</v>
      </c>
      <c r="E86" s="369">
        <f t="shared" si="8"/>
        <v>31</v>
      </c>
      <c r="F86" s="362">
        <f t="shared" si="9"/>
        <v>0.16756756756756758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1.0976300000000001</v>
      </c>
      <c r="D87" s="372">
        <v>1.0310999999999999</v>
      </c>
      <c r="E87" s="373">
        <f t="shared" si="8"/>
        <v>-6.65300000000002E-2</v>
      </c>
      <c r="F87" s="362">
        <f t="shared" si="9"/>
        <v>-6.0612410375081034E-2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203.06155000000001</v>
      </c>
      <c r="D88" s="376">
        <f>LN_IC4*LN_IC5</f>
        <v>222.71759999999998</v>
      </c>
      <c r="E88" s="376">
        <f t="shared" si="8"/>
        <v>19.656049999999965</v>
      </c>
      <c r="F88" s="362">
        <f t="shared" si="9"/>
        <v>9.6798483021527035E-2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4111.6498913752994</v>
      </c>
      <c r="D89" s="378">
        <f>IF(LN_IC6=0,0,LN_IC2/LN_IC6)</f>
        <v>169.18285757389629</v>
      </c>
      <c r="E89" s="378">
        <f t="shared" si="8"/>
        <v>-3942.467033801403</v>
      </c>
      <c r="F89" s="362">
        <f t="shared" si="9"/>
        <v>-0.9588528055540968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2561.9500823763483</v>
      </c>
      <c r="D90" s="378">
        <f>LN_IB7-LN_IC7</f>
        <v>6838.0748721870013</v>
      </c>
      <c r="E90" s="378">
        <f t="shared" si="8"/>
        <v>4276.1247898106531</v>
      </c>
      <c r="F90" s="362">
        <f t="shared" si="9"/>
        <v>1.6690898153036278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2424.7265417925528</v>
      </c>
      <c r="D91" s="378">
        <f>LN_IA7-LN_IC7</f>
        <v>6017.0276896296409</v>
      </c>
      <c r="E91" s="378">
        <f t="shared" si="8"/>
        <v>3592.3011478370881</v>
      </c>
      <c r="F91" s="362">
        <f t="shared" si="9"/>
        <v>1.4815283645063622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492368.72990253556</v>
      </c>
      <c r="D92" s="353">
        <f>LN_IC9*LN_IC6</f>
        <v>1340097.9661678583</v>
      </c>
      <c r="E92" s="353">
        <f t="shared" si="8"/>
        <v>847729.23626532278</v>
      </c>
      <c r="F92" s="362">
        <f t="shared" si="9"/>
        <v>1.721736545765469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1019</v>
      </c>
      <c r="D93" s="369">
        <v>1246</v>
      </c>
      <c r="E93" s="369">
        <f t="shared" si="8"/>
        <v>227</v>
      </c>
      <c r="F93" s="362">
        <f t="shared" si="9"/>
        <v>0.22276741903827282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819.35034347399414</v>
      </c>
      <c r="D94" s="411">
        <f>IF(LN_IC11=0,0,LN_IC2/LN_IC11)</f>
        <v>30.240770465489568</v>
      </c>
      <c r="E94" s="411">
        <f t="shared" si="8"/>
        <v>-789.10957300850453</v>
      </c>
      <c r="F94" s="362">
        <f t="shared" si="9"/>
        <v>-0.96309177056389494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5.5081081081081082</v>
      </c>
      <c r="D95" s="379">
        <f>IF(LN_IC4=0,0,LN_IC11/LN_IC4)</f>
        <v>5.7685185185185182</v>
      </c>
      <c r="E95" s="379">
        <f t="shared" si="8"/>
        <v>0.26041041041040991</v>
      </c>
      <c r="F95" s="362">
        <f t="shared" si="9"/>
        <v>4.7277650565187276E-2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8874148</v>
      </c>
      <c r="D98" s="361">
        <v>8757284</v>
      </c>
      <c r="E98" s="361">
        <f t="shared" ref="E98:E106" si="10">D98-C98</f>
        <v>-116864</v>
      </c>
      <c r="F98" s="362">
        <f t="shared" ref="F98:F106" si="11">IF(C98=0,0,E98/C98)</f>
        <v>-1.3169038875619384E-2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2589004</v>
      </c>
      <c r="D99" s="361">
        <v>312777</v>
      </c>
      <c r="E99" s="361">
        <f t="shared" si="10"/>
        <v>-2276227</v>
      </c>
      <c r="F99" s="362">
        <f t="shared" si="11"/>
        <v>-0.87919022141333114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0.29174676825313256</v>
      </c>
      <c r="D100" s="366">
        <f>IF(LN_IC14=0,0,LN_IC15/LN_IC14)</f>
        <v>3.5716210642477736E-2</v>
      </c>
      <c r="E100" s="367">
        <f t="shared" si="10"/>
        <v>-0.25603055761065485</v>
      </c>
      <c r="F100" s="362">
        <f t="shared" si="11"/>
        <v>-0.87757804188772115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2.5363158126392964</v>
      </c>
      <c r="D101" s="366">
        <f>IF(LN_IC1=0,0,LN_IC14/LN_IC1)</f>
        <v>3.3730836117824921</v>
      </c>
      <c r="E101" s="367">
        <f t="shared" si="10"/>
        <v>0.83676779914319566</v>
      </c>
      <c r="F101" s="362">
        <f t="shared" si="11"/>
        <v>0.32991467189271395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469.21842533826981</v>
      </c>
      <c r="D102" s="376">
        <f>LN_IC17*LN_IC4</f>
        <v>728.58606014501834</v>
      </c>
      <c r="E102" s="376">
        <f t="shared" si="10"/>
        <v>259.36763480674853</v>
      </c>
      <c r="F102" s="362">
        <f t="shared" si="11"/>
        <v>0.5527652385341959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5517.6946602928701</v>
      </c>
      <c r="D103" s="378">
        <f>IF(LN_IC18=0,0,LN_IC15/LN_IC18)</f>
        <v>429.29314340401271</v>
      </c>
      <c r="E103" s="378">
        <f t="shared" si="10"/>
        <v>-5088.4015168888573</v>
      </c>
      <c r="F103" s="362">
        <f t="shared" si="11"/>
        <v>-0.92219700983214126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137.30921334723007</v>
      </c>
      <c r="D104" s="378">
        <f>LN_IB18-LN_IC19</f>
        <v>4897.1317376512134</v>
      </c>
      <c r="E104" s="378">
        <f t="shared" si="10"/>
        <v>4759.8225243039833</v>
      </c>
      <c r="F104" s="362">
        <f t="shared" si="11"/>
        <v>34.664990121728074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1494.2387392145502</v>
      </c>
      <c r="D105" s="378">
        <f>LN_IA16-LN_IC19</f>
        <v>5593.9957660332766</v>
      </c>
      <c r="E105" s="378">
        <f t="shared" si="10"/>
        <v>4099.7570268187264</v>
      </c>
      <c r="F105" s="362">
        <f t="shared" si="11"/>
        <v>2.7437095018522761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701124.3482936928</v>
      </c>
      <c r="D106" s="361">
        <f>LN_IC21*LN_IC18</f>
        <v>4075707.3356420989</v>
      </c>
      <c r="E106" s="361">
        <f t="shared" si="10"/>
        <v>3374582.9873484061</v>
      </c>
      <c r="F106" s="362">
        <f t="shared" si="11"/>
        <v>4.8131019776463857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12372982</v>
      </c>
      <c r="D109" s="361">
        <f>LN_IC1+LN_IC14</f>
        <v>11353509</v>
      </c>
      <c r="E109" s="361">
        <f>D109-C109</f>
        <v>-1019473</v>
      </c>
      <c r="F109" s="362">
        <f>IF(C109=0,0,E109/C109)</f>
        <v>-8.2395092791697266E-2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3423922</v>
      </c>
      <c r="D110" s="361">
        <f>LN_IC2+LN_IC15</f>
        <v>350457</v>
      </c>
      <c r="E110" s="361">
        <f>D110-C110</f>
        <v>-3073465</v>
      </c>
      <c r="F110" s="362">
        <f>IF(C110=0,0,E110/C110)</f>
        <v>-0.89764457251070551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8949060</v>
      </c>
      <c r="D111" s="361">
        <f>LN_IC23-LN_IC24</f>
        <v>11003052</v>
      </c>
      <c r="E111" s="361">
        <f>D111-C111</f>
        <v>2053992</v>
      </c>
      <c r="F111" s="362">
        <f>IF(C111=0,0,E111/C111)</f>
        <v>0.22952041890433186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1193493.0781962285</v>
      </c>
      <c r="D113" s="361">
        <f>LN_IC10+LN_IC22</f>
        <v>5415805.3018099573</v>
      </c>
      <c r="E113" s="361">
        <f>D113-C113</f>
        <v>4222312.2236137288</v>
      </c>
      <c r="F113" s="362">
        <f>IF(C113=0,0,E113/C113)</f>
        <v>3.5377768842992117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16153216</v>
      </c>
      <c r="D118" s="361">
        <v>24140325</v>
      </c>
      <c r="E118" s="361">
        <f t="shared" ref="E118:E130" si="12">D118-C118</f>
        <v>7987109</v>
      </c>
      <c r="F118" s="362">
        <f t="shared" ref="F118:F130" si="13">IF(C118=0,0,E118/C118)</f>
        <v>0.49445936957693132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5589437</v>
      </c>
      <c r="D119" s="361">
        <v>8706248</v>
      </c>
      <c r="E119" s="361">
        <f t="shared" si="12"/>
        <v>3116811</v>
      </c>
      <c r="F119" s="362">
        <f t="shared" si="13"/>
        <v>0.55762521341594873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0.34602626498648936</v>
      </c>
      <c r="D120" s="366">
        <f>IF(LN_ID1=0,0,LN_1D2/LN_ID1)</f>
        <v>0.36065164822760259</v>
      </c>
      <c r="E120" s="367">
        <f t="shared" si="12"/>
        <v>1.4625383241113232E-2</v>
      </c>
      <c r="F120" s="362">
        <f t="shared" si="13"/>
        <v>4.2266685280911501E-2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1295</v>
      </c>
      <c r="D121" s="369">
        <v>1854</v>
      </c>
      <c r="E121" s="369">
        <f t="shared" si="12"/>
        <v>559</v>
      </c>
      <c r="F121" s="362">
        <f t="shared" si="13"/>
        <v>0.43166023166023165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0.91630999999999996</v>
      </c>
      <c r="D122" s="372">
        <v>0.92749999999999999</v>
      </c>
      <c r="E122" s="373">
        <f t="shared" si="12"/>
        <v>1.1190000000000033E-2</v>
      </c>
      <c r="F122" s="362">
        <f t="shared" si="13"/>
        <v>1.2212024314915295E-2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1186.6214499999999</v>
      </c>
      <c r="D123" s="376">
        <f>LN_ID4*LN_ID5</f>
        <v>1719.585</v>
      </c>
      <c r="E123" s="376">
        <f t="shared" si="12"/>
        <v>532.96355000000017</v>
      </c>
      <c r="F123" s="362">
        <f t="shared" si="13"/>
        <v>0.44914370121996383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4710.3792030727245</v>
      </c>
      <c r="D124" s="378">
        <f>IF(LN_ID6=0,0,LN_1D2/LN_ID6)</f>
        <v>5062.9936874303976</v>
      </c>
      <c r="E124" s="378">
        <f t="shared" si="12"/>
        <v>352.61448435767306</v>
      </c>
      <c r="F124" s="362">
        <f t="shared" si="13"/>
        <v>7.4859044071791891E-2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1963.2207706789231</v>
      </c>
      <c r="D125" s="378">
        <f>LN_IB7-LN_ID7</f>
        <v>1944.2640423305002</v>
      </c>
      <c r="E125" s="378">
        <f t="shared" si="12"/>
        <v>-18.956728348422985</v>
      </c>
      <c r="F125" s="362">
        <f t="shared" si="13"/>
        <v>-9.655933062417299E-3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1825.9972300951276</v>
      </c>
      <c r="D126" s="378">
        <f>LN_IA7-LN_ID7</f>
        <v>1123.2168597731397</v>
      </c>
      <c r="E126" s="378">
        <f t="shared" si="12"/>
        <v>-702.7803703219879</v>
      </c>
      <c r="F126" s="362">
        <f t="shared" si="13"/>
        <v>-0.3848748282522727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2166767.4808714637</v>
      </c>
      <c r="D127" s="391">
        <f>LN_ID9*LN_ID6</f>
        <v>1931466.8638129944</v>
      </c>
      <c r="E127" s="391">
        <f t="shared" si="12"/>
        <v>-235300.61705846922</v>
      </c>
      <c r="F127" s="362">
        <f t="shared" si="13"/>
        <v>-0.10859523189993253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6138</v>
      </c>
      <c r="D128" s="369">
        <v>8967</v>
      </c>
      <c r="E128" s="369">
        <f t="shared" si="12"/>
        <v>2829</v>
      </c>
      <c r="F128" s="362">
        <f t="shared" si="13"/>
        <v>0.46089931573802539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910.62838057999352</v>
      </c>
      <c r="D129" s="378">
        <f>IF(LN_ID11=0,0,LN_1D2/LN_ID11)</f>
        <v>970.92093230734918</v>
      </c>
      <c r="E129" s="378">
        <f t="shared" si="12"/>
        <v>60.292551727355658</v>
      </c>
      <c r="F129" s="362">
        <f t="shared" si="13"/>
        <v>6.6209831598872837E-2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4.7397683397683394</v>
      </c>
      <c r="D130" s="379">
        <f>IF(LN_ID4=0,0,LN_ID11/LN_ID4)</f>
        <v>4.8365695792880263</v>
      </c>
      <c r="E130" s="379">
        <f t="shared" si="12"/>
        <v>9.6801239519686888E-2</v>
      </c>
      <c r="F130" s="362">
        <f t="shared" si="13"/>
        <v>2.0423200582925145E-2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31898877</v>
      </c>
      <c r="D133" s="361">
        <v>47679210</v>
      </c>
      <c r="E133" s="361">
        <f t="shared" ref="E133:E141" si="14">D133-C133</f>
        <v>15780333</v>
      </c>
      <c r="F133" s="362">
        <f t="shared" ref="F133:F141" si="15">IF(C133=0,0,E133/C133)</f>
        <v>0.4946987005216516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7248919</v>
      </c>
      <c r="D134" s="361">
        <v>9817745</v>
      </c>
      <c r="E134" s="361">
        <f t="shared" si="14"/>
        <v>2568826</v>
      </c>
      <c r="F134" s="362">
        <f t="shared" si="15"/>
        <v>0.35437366592177399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0.22724684006900933</v>
      </c>
      <c r="D135" s="366">
        <f>IF(LN_ID14=0,0,LN_ID15/LN_ID14)</f>
        <v>0.20591249309709619</v>
      </c>
      <c r="E135" s="367">
        <f t="shared" si="14"/>
        <v>-2.1334346971913137E-2</v>
      </c>
      <c r="F135" s="362">
        <f t="shared" si="15"/>
        <v>-9.3881820162755245E-2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1.9747694205290141</v>
      </c>
      <c r="D136" s="366">
        <f>IF(LN_ID1=0,0,LN_ID14/LN_ID1)</f>
        <v>1.9750856709675615</v>
      </c>
      <c r="E136" s="367">
        <f t="shared" si="14"/>
        <v>3.1625043854743851E-4</v>
      </c>
      <c r="F136" s="362">
        <f t="shared" si="15"/>
        <v>1.6014550117082494E-4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2557.326399585073</v>
      </c>
      <c r="D137" s="376">
        <f>LN_ID17*LN_ID4</f>
        <v>3661.8088339738588</v>
      </c>
      <c r="E137" s="376">
        <f t="shared" si="14"/>
        <v>1104.4824343887858</v>
      </c>
      <c r="F137" s="362">
        <f t="shared" si="15"/>
        <v>0.43188950560553724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2834.5693381869987</v>
      </c>
      <c r="D138" s="378">
        <f>IF(LN_ID18=0,0,LN_ID15/LN_ID18)</f>
        <v>2681.1189346947999</v>
      </c>
      <c r="E138" s="378">
        <f t="shared" si="14"/>
        <v>-153.4504034921988</v>
      </c>
      <c r="F138" s="362">
        <f t="shared" si="15"/>
        <v>-5.4135350095315102E-2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2820.4345354531015</v>
      </c>
      <c r="D139" s="378">
        <f>LN_IB18-LN_ID19</f>
        <v>2645.3059463604263</v>
      </c>
      <c r="E139" s="378">
        <f t="shared" si="14"/>
        <v>-175.12858909267516</v>
      </c>
      <c r="F139" s="362">
        <f t="shared" si="15"/>
        <v>-6.2092768646566307E-2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4177.3640613204216</v>
      </c>
      <c r="D140" s="378">
        <f>LN_IA16-LN_ID19</f>
        <v>3342.1699747424896</v>
      </c>
      <c r="E140" s="378">
        <f t="shared" si="14"/>
        <v>-835.19408657793201</v>
      </c>
      <c r="F140" s="362">
        <f t="shared" si="15"/>
        <v>-0.19993327713791262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10682883.394692631</v>
      </c>
      <c r="D141" s="353">
        <f>LN_ID21*LN_ID18</f>
        <v>12238387.538154237</v>
      </c>
      <c r="E141" s="353">
        <f t="shared" si="14"/>
        <v>1555504.1434616055</v>
      </c>
      <c r="F141" s="362">
        <f t="shared" si="15"/>
        <v>0.14560714425043675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48052093</v>
      </c>
      <c r="D144" s="361">
        <f>LN_ID1+LN_ID14</f>
        <v>71819535</v>
      </c>
      <c r="E144" s="361">
        <f>D144-C144</f>
        <v>23767442</v>
      </c>
      <c r="F144" s="362">
        <f>IF(C144=0,0,E144/C144)</f>
        <v>0.49461824690966116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12838356</v>
      </c>
      <c r="D145" s="361">
        <f>LN_1D2+LN_ID15</f>
        <v>18523993</v>
      </c>
      <c r="E145" s="361">
        <f>D145-C145</f>
        <v>5685637</v>
      </c>
      <c r="F145" s="362">
        <f>IF(C145=0,0,E145/C145)</f>
        <v>0.44286332299867676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35213737</v>
      </c>
      <c r="D146" s="361">
        <f>LN_ID23-LN_ID24</f>
        <v>53295542</v>
      </c>
      <c r="E146" s="361">
        <f>D146-C146</f>
        <v>18081805</v>
      </c>
      <c r="F146" s="362">
        <f>IF(C146=0,0,E146/C146)</f>
        <v>0.51348725072831658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12849650.875564095</v>
      </c>
      <c r="D148" s="361">
        <f>LN_ID10+LN_ID22</f>
        <v>14169854.401967231</v>
      </c>
      <c r="E148" s="361">
        <f>D148-C148</f>
        <v>1320203.5264031366</v>
      </c>
      <c r="F148" s="415">
        <f>IF(C148=0,0,E148/C148)</f>
        <v>0.10274236546875676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5261546</v>
      </c>
      <c r="D153" s="361">
        <v>0</v>
      </c>
      <c r="E153" s="361">
        <f t="shared" ref="E153:E165" si="16">D153-C153</f>
        <v>-5261546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1523482</v>
      </c>
      <c r="D154" s="361">
        <v>0</v>
      </c>
      <c r="E154" s="361">
        <f t="shared" si="16"/>
        <v>-1523482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0.28955025766191156</v>
      </c>
      <c r="D155" s="366">
        <f>IF(LN_IE1=0,0,LN_IE2/LN_IE1)</f>
        <v>0</v>
      </c>
      <c r="E155" s="367">
        <f t="shared" si="16"/>
        <v>-0.28955025766191156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356</v>
      </c>
      <c r="D156" s="419">
        <v>0</v>
      </c>
      <c r="E156" s="419">
        <f t="shared" si="16"/>
        <v>-356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0.98724999999999996</v>
      </c>
      <c r="D157" s="372">
        <v>0</v>
      </c>
      <c r="E157" s="373">
        <f t="shared" si="16"/>
        <v>-0.98724999999999996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351.46100000000001</v>
      </c>
      <c r="D158" s="376">
        <f>LN_IE4*LN_IE5</f>
        <v>0</v>
      </c>
      <c r="E158" s="376">
        <f t="shared" si="16"/>
        <v>-351.46100000000001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4334.7113904529942</v>
      </c>
      <c r="D159" s="378">
        <f>IF(LN_IE6=0,0,LN_IE2/LN_IE6)</f>
        <v>0</v>
      </c>
      <c r="E159" s="378">
        <f t="shared" si="16"/>
        <v>-4334.7113904529942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2338.8885832986534</v>
      </c>
      <c r="D160" s="378">
        <f>LN_IB7-LN_IE7</f>
        <v>7007.2577297608977</v>
      </c>
      <c r="E160" s="378">
        <f t="shared" si="16"/>
        <v>4668.3691464622443</v>
      </c>
      <c r="F160" s="362">
        <f t="shared" si="17"/>
        <v>1.9959775680627787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2201.6650427148579</v>
      </c>
      <c r="D161" s="378">
        <f>LN_IA7-LN_IE7</f>
        <v>6186.2105472035373</v>
      </c>
      <c r="E161" s="378">
        <f t="shared" si="16"/>
        <v>3984.5455044886794</v>
      </c>
      <c r="F161" s="362">
        <f t="shared" si="17"/>
        <v>1.8097873323979219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773799.39757760672</v>
      </c>
      <c r="D162" s="391">
        <f>LN_IE9*LN_IE6</f>
        <v>0</v>
      </c>
      <c r="E162" s="391">
        <f t="shared" si="16"/>
        <v>-773799.39757760672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1973</v>
      </c>
      <c r="D163" s="369">
        <v>0</v>
      </c>
      <c r="E163" s="419">
        <f t="shared" si="16"/>
        <v>-1973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772.16523061327928</v>
      </c>
      <c r="D164" s="378">
        <f>IF(LN_IE11=0,0,LN_IE2/LN_IE11)</f>
        <v>0</v>
      </c>
      <c r="E164" s="378">
        <f t="shared" si="16"/>
        <v>-772.16523061327928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5.5421348314606744</v>
      </c>
      <c r="D165" s="379">
        <f>IF(LN_IE4=0,0,LN_IE11/LN_IE4)</f>
        <v>0</v>
      </c>
      <c r="E165" s="379">
        <f t="shared" si="16"/>
        <v>-5.5421348314606744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8892163</v>
      </c>
      <c r="D168" s="424">
        <v>0</v>
      </c>
      <c r="E168" s="424">
        <f t="shared" ref="E168:E176" si="18">D168-C168</f>
        <v>-8892163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1529939</v>
      </c>
      <c r="D169" s="424">
        <v>0</v>
      </c>
      <c r="E169" s="424">
        <f t="shared" si="18"/>
        <v>-1529939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0.17205476327863087</v>
      </c>
      <c r="D170" s="366">
        <f>IF(LN_IE14=0,0,LN_IE15/LN_IE14)</f>
        <v>0</v>
      </c>
      <c r="E170" s="367">
        <f t="shared" si="18"/>
        <v>-0.17205476327863087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1.6900285581462178</v>
      </c>
      <c r="D171" s="366">
        <f>IF(LN_IE1=0,0,LN_IE14/LN_IE1)</f>
        <v>0</v>
      </c>
      <c r="E171" s="367">
        <f t="shared" si="18"/>
        <v>-1.6900285581462178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601.65016670005355</v>
      </c>
      <c r="D172" s="376">
        <f>LN_IE17*LN_IE4</f>
        <v>0</v>
      </c>
      <c r="E172" s="376">
        <f t="shared" si="18"/>
        <v>-601.65016670005355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2542.9046390719864</v>
      </c>
      <c r="D173" s="378">
        <f>IF(LN_IE18=0,0,LN_IE15/LN_IE18)</f>
        <v>0</v>
      </c>
      <c r="E173" s="378">
        <f t="shared" si="18"/>
        <v>-2542.9046390719864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3112.0992345681138</v>
      </c>
      <c r="D174" s="378">
        <f>LN_IB18-LN_IE19</f>
        <v>5326.4248810552263</v>
      </c>
      <c r="E174" s="378">
        <f t="shared" si="18"/>
        <v>2214.3256464871124</v>
      </c>
      <c r="F174" s="362">
        <f t="shared" si="19"/>
        <v>0.7115215420803922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4469.0287604354344</v>
      </c>
      <c r="D175" s="378">
        <f>LN_IA16-LN_IE19</f>
        <v>6023.2889094372895</v>
      </c>
      <c r="E175" s="378">
        <f t="shared" si="18"/>
        <v>1554.2601490018551</v>
      </c>
      <c r="F175" s="362">
        <f t="shared" si="19"/>
        <v>0.34778477211017494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2688791.898703313</v>
      </c>
      <c r="D176" s="353">
        <f>LN_IE21*LN_IE18</f>
        <v>0</v>
      </c>
      <c r="E176" s="353">
        <f t="shared" si="18"/>
        <v>-2688791.898703313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14153709</v>
      </c>
      <c r="D179" s="361">
        <f>LN_IE1+LN_IE14</f>
        <v>0</v>
      </c>
      <c r="E179" s="361">
        <f>D179-C179</f>
        <v>-14153709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3053421</v>
      </c>
      <c r="D180" s="361">
        <f>LN_IE15+LN_IE2</f>
        <v>0</v>
      </c>
      <c r="E180" s="361">
        <f>D180-C180</f>
        <v>-3053421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11100288</v>
      </c>
      <c r="D181" s="361">
        <f>LN_IE23-LN_IE24</f>
        <v>0</v>
      </c>
      <c r="E181" s="361">
        <f>D181-C181</f>
        <v>-11100288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3462591.2962809196</v>
      </c>
      <c r="D183" s="361">
        <f>LN_IE10+LN_IE22</f>
        <v>0</v>
      </c>
      <c r="E183" s="353">
        <f>D183-C183</f>
        <v>-3462591.2962809196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21414762</v>
      </c>
      <c r="D188" s="361">
        <f>LN_ID1+LN_IE1</f>
        <v>24140325</v>
      </c>
      <c r="E188" s="361">
        <f t="shared" ref="E188:E200" si="20">D188-C188</f>
        <v>2725563</v>
      </c>
      <c r="F188" s="362">
        <f t="shared" ref="F188:F200" si="21">IF(C188=0,0,E188/C188)</f>
        <v>0.12727496107591577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7112919</v>
      </c>
      <c r="D189" s="361">
        <f>LN_1D2+LN_IE2</f>
        <v>8706248</v>
      </c>
      <c r="E189" s="361">
        <f t="shared" si="20"/>
        <v>1593329</v>
      </c>
      <c r="F189" s="362">
        <f t="shared" si="21"/>
        <v>0.2240049408688613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0.33215027092059207</v>
      </c>
      <c r="D190" s="366">
        <f>IF(LN_IF1=0,0,LN_IF2/LN_IF1)</f>
        <v>0.36065164822760259</v>
      </c>
      <c r="E190" s="367">
        <f t="shared" si="20"/>
        <v>2.8501377307010523E-2</v>
      </c>
      <c r="F190" s="362">
        <f t="shared" si="21"/>
        <v>8.5808683003677014E-2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1651</v>
      </c>
      <c r="D191" s="369">
        <f>LN_ID4+LN_IE4</f>
        <v>1854</v>
      </c>
      <c r="E191" s="369">
        <f t="shared" si="20"/>
        <v>203</v>
      </c>
      <c r="F191" s="362">
        <f t="shared" si="21"/>
        <v>0.12295578437310721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0.93160657177468198</v>
      </c>
      <c r="D192" s="372">
        <f>IF((LN_ID4+LN_IE4)=0,0,(LN_ID6+LN_IE6)/(LN_ID4+LN_IE4))</f>
        <v>0.92749999999999999</v>
      </c>
      <c r="E192" s="373">
        <f t="shared" si="20"/>
        <v>-4.1065717746819885E-3</v>
      </c>
      <c r="F192" s="362">
        <f t="shared" si="21"/>
        <v>-4.4080536774865117E-3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1538.0824499999999</v>
      </c>
      <c r="D193" s="376">
        <f>LN_IF4*LN_IF5</f>
        <v>1719.585</v>
      </c>
      <c r="E193" s="376">
        <f t="shared" si="20"/>
        <v>181.50255000000016</v>
      </c>
      <c r="F193" s="362">
        <f t="shared" si="21"/>
        <v>0.11800573499814666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4624.5368705689352</v>
      </c>
      <c r="D194" s="378">
        <f>IF(LN_IF6=0,0,LN_IF2/LN_IF6)</f>
        <v>5062.9936874303976</v>
      </c>
      <c r="E194" s="378">
        <f t="shared" si="20"/>
        <v>438.45681686146236</v>
      </c>
      <c r="F194" s="362">
        <f t="shared" si="21"/>
        <v>9.4810967915911773E-2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2049.0631031827124</v>
      </c>
      <c r="D195" s="378">
        <f>LN_IB7-LN_IF7</f>
        <v>1944.2640423305002</v>
      </c>
      <c r="E195" s="378">
        <f t="shared" si="20"/>
        <v>-104.79906085221228</v>
      </c>
      <c r="F195" s="362">
        <f t="shared" si="21"/>
        <v>-5.1144867471105637E-2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1911.8395625989169</v>
      </c>
      <c r="D196" s="378">
        <f>LN_IA7-LN_IF7</f>
        <v>1123.2168597731397</v>
      </c>
      <c r="E196" s="378">
        <f t="shared" si="20"/>
        <v>-788.6227028257772</v>
      </c>
      <c r="F196" s="362">
        <f t="shared" si="21"/>
        <v>-0.41249418531424209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2940566.8784490703</v>
      </c>
      <c r="D197" s="391">
        <f>LN_IF9*LN_IF6</f>
        <v>1931466.8638129944</v>
      </c>
      <c r="E197" s="391">
        <f t="shared" si="20"/>
        <v>-1009100.0146360758</v>
      </c>
      <c r="F197" s="362">
        <f t="shared" si="21"/>
        <v>-0.34316512983656433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8111</v>
      </c>
      <c r="D198" s="369">
        <f>LN_ID11+LN_IE11</f>
        <v>8967</v>
      </c>
      <c r="E198" s="369">
        <f t="shared" si="20"/>
        <v>856</v>
      </c>
      <c r="F198" s="362">
        <f t="shared" si="21"/>
        <v>0.10553569226975712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876.94723215386512</v>
      </c>
      <c r="D199" s="432">
        <f>IF(LN_IF11=0,0,LN_IF2/LN_IF11)</f>
        <v>970.92093230734918</v>
      </c>
      <c r="E199" s="432">
        <f t="shared" si="20"/>
        <v>93.97370015348406</v>
      </c>
      <c r="F199" s="362">
        <f t="shared" si="21"/>
        <v>0.10716003963280184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4.912780133252574</v>
      </c>
      <c r="D200" s="379">
        <f>IF(LN_IF4=0,0,LN_IF11/LN_IF4)</f>
        <v>4.8365695792880263</v>
      </c>
      <c r="E200" s="379">
        <f t="shared" si="20"/>
        <v>-7.6210553964547678E-2</v>
      </c>
      <c r="F200" s="362">
        <f t="shared" si="21"/>
        <v>-1.5512714165388759E-2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40791040</v>
      </c>
      <c r="D203" s="361">
        <f>LN_ID14+LN_IE14</f>
        <v>47679210</v>
      </c>
      <c r="E203" s="361">
        <f t="shared" ref="E203:E211" si="22">D203-C203</f>
        <v>6888170</v>
      </c>
      <c r="F203" s="362">
        <f t="shared" ref="F203:F211" si="23">IF(C203=0,0,E203/C203)</f>
        <v>0.16886478010857287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8778858</v>
      </c>
      <c r="D204" s="361">
        <f>LN_ID15+LN_IE15</f>
        <v>9817745</v>
      </c>
      <c r="E204" s="361">
        <f t="shared" si="22"/>
        <v>1038887</v>
      </c>
      <c r="F204" s="362">
        <f t="shared" si="23"/>
        <v>0.11833965192283552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0.21521535121438434</v>
      </c>
      <c r="D205" s="366">
        <f>IF(LN_IF14=0,0,LN_IF15/LN_IF14)</f>
        <v>0.20591249309709619</v>
      </c>
      <c r="E205" s="367">
        <f t="shared" si="22"/>
        <v>-9.3028581172881486E-3</v>
      </c>
      <c r="F205" s="362">
        <f t="shared" si="23"/>
        <v>-4.322581109941926E-2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1.9048094020377158</v>
      </c>
      <c r="D206" s="366">
        <f>IF(LN_IF1=0,0,LN_IF14/LN_IF1)</f>
        <v>1.9750856709675615</v>
      </c>
      <c r="E206" s="367">
        <f t="shared" si="22"/>
        <v>7.0276268929845731E-2</v>
      </c>
      <c r="F206" s="362">
        <f t="shared" si="23"/>
        <v>3.6894121193787682E-2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3158.9765662851264</v>
      </c>
      <c r="D207" s="376">
        <f>LN_ID18+LN_IE18</f>
        <v>3661.8088339738588</v>
      </c>
      <c r="E207" s="376">
        <f t="shared" si="22"/>
        <v>502.83226768873237</v>
      </c>
      <c r="F207" s="362">
        <f t="shared" si="23"/>
        <v>0.15917568780196745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2779.0196653227176</v>
      </c>
      <c r="D208" s="378">
        <f>IF(LN_IF18=0,0,LN_IF15/LN_IF18)</f>
        <v>2681.1189346947999</v>
      </c>
      <c r="E208" s="378">
        <f t="shared" si="22"/>
        <v>-97.90073062791771</v>
      </c>
      <c r="F208" s="362">
        <f t="shared" si="23"/>
        <v>-3.5228513079467123E-2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2875.9842083173826</v>
      </c>
      <c r="D209" s="378">
        <f>LN_IB18-LN_IF19</f>
        <v>2645.3059463604263</v>
      </c>
      <c r="E209" s="378">
        <f t="shared" si="22"/>
        <v>-230.67826195695625</v>
      </c>
      <c r="F209" s="362">
        <f t="shared" si="23"/>
        <v>-8.0208459173674113E-2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4232.9137341847027</v>
      </c>
      <c r="D210" s="378">
        <f>LN_IA16-LN_IF19</f>
        <v>3342.1699747424896</v>
      </c>
      <c r="E210" s="378">
        <f t="shared" si="22"/>
        <v>-890.7437594422131</v>
      </c>
      <c r="F210" s="362">
        <f t="shared" si="23"/>
        <v>-0.21043276933537092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13371675.293395944</v>
      </c>
      <c r="D211" s="353">
        <f>LN_IF21*LN_IF18</f>
        <v>12238387.538154237</v>
      </c>
      <c r="E211" s="353">
        <f t="shared" si="22"/>
        <v>-1133287.755241707</v>
      </c>
      <c r="F211" s="362">
        <f t="shared" si="23"/>
        <v>-8.4752862328433862E-2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62205802</v>
      </c>
      <c r="D214" s="361">
        <f>LN_IF1+LN_IF14</f>
        <v>71819535</v>
      </c>
      <c r="E214" s="361">
        <f>D214-C214</f>
        <v>9613733</v>
      </c>
      <c r="F214" s="362">
        <f>IF(C214=0,0,E214/C214)</f>
        <v>0.15454720767043562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15891777</v>
      </c>
      <c r="D215" s="361">
        <f>LN_IF2+LN_IF15</f>
        <v>18523993</v>
      </c>
      <c r="E215" s="361">
        <f>D215-C215</f>
        <v>2632216</v>
      </c>
      <c r="F215" s="362">
        <f>IF(C215=0,0,E215/C215)</f>
        <v>0.1656338369208176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46314025</v>
      </c>
      <c r="D216" s="361">
        <f>LN_IF23-LN_IF24</f>
        <v>53295542</v>
      </c>
      <c r="E216" s="361">
        <f>D216-C216</f>
        <v>6981517</v>
      </c>
      <c r="F216" s="362">
        <f>IF(C216=0,0,E216/C216)</f>
        <v>0.15074304165962688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431607</v>
      </c>
      <c r="D221" s="361">
        <v>493077</v>
      </c>
      <c r="E221" s="361">
        <f t="shared" ref="E221:E230" si="24">D221-C221</f>
        <v>61470</v>
      </c>
      <c r="F221" s="362">
        <f t="shared" ref="F221:F230" si="25">IF(C221=0,0,E221/C221)</f>
        <v>0.14242123042490043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262414</v>
      </c>
      <c r="D222" s="361">
        <v>240067</v>
      </c>
      <c r="E222" s="361">
        <f t="shared" si="24"/>
        <v>-22347</v>
      </c>
      <c r="F222" s="362">
        <f t="shared" si="25"/>
        <v>-8.5159328389491418E-2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0.60799291948462375</v>
      </c>
      <c r="D223" s="366">
        <f>IF(LN_IG1=0,0,LN_IG2/LN_IG1)</f>
        <v>0.48687527505845946</v>
      </c>
      <c r="E223" s="367">
        <f t="shared" si="24"/>
        <v>-0.12111764442616429</v>
      </c>
      <c r="F223" s="362">
        <f t="shared" si="25"/>
        <v>-0.19920897192163334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34</v>
      </c>
      <c r="D224" s="369">
        <v>47</v>
      </c>
      <c r="E224" s="369">
        <f t="shared" si="24"/>
        <v>13</v>
      </c>
      <c r="F224" s="362">
        <f t="shared" si="25"/>
        <v>0.38235294117647056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0.89983000000000002</v>
      </c>
      <c r="D225" s="372">
        <v>0.84570000000000001</v>
      </c>
      <c r="E225" s="373">
        <f t="shared" si="24"/>
        <v>-5.4130000000000011E-2</v>
      </c>
      <c r="F225" s="362">
        <f t="shared" si="25"/>
        <v>-6.0155807208028197E-2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30.59422</v>
      </c>
      <c r="D226" s="376">
        <f>LN_IG3*LN_IG4</f>
        <v>39.747900000000001</v>
      </c>
      <c r="E226" s="376">
        <f t="shared" si="24"/>
        <v>9.1536800000000014</v>
      </c>
      <c r="F226" s="362">
        <f t="shared" si="25"/>
        <v>0.29919638415360816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8577.2410605663426</v>
      </c>
      <c r="D227" s="378">
        <f>IF(LN_IG5=0,0,LN_IG2/LN_IG5)</f>
        <v>6039.7404642761003</v>
      </c>
      <c r="E227" s="378">
        <f t="shared" si="24"/>
        <v>-2537.5005962902424</v>
      </c>
      <c r="F227" s="362">
        <f t="shared" si="25"/>
        <v>-0.29584111934971019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127</v>
      </c>
      <c r="D228" s="369">
        <v>190</v>
      </c>
      <c r="E228" s="369">
        <f t="shared" si="24"/>
        <v>63</v>
      </c>
      <c r="F228" s="362">
        <f t="shared" si="25"/>
        <v>0.49606299212598426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2066.251968503937</v>
      </c>
      <c r="D229" s="378">
        <f>IF(LN_IG6=0,0,LN_IG2/LN_IG6)</f>
        <v>1263.5105263157895</v>
      </c>
      <c r="E229" s="378">
        <f t="shared" si="24"/>
        <v>-802.7414421881474</v>
      </c>
      <c r="F229" s="362">
        <f t="shared" si="25"/>
        <v>-0.38850123529192315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3.7352941176470589</v>
      </c>
      <c r="D230" s="379">
        <f>IF(LN_IG3=0,0,LN_IG6/LN_IG3)</f>
        <v>4.042553191489362</v>
      </c>
      <c r="E230" s="379">
        <f t="shared" si="24"/>
        <v>0.30725907384230311</v>
      </c>
      <c r="F230" s="362">
        <f t="shared" si="25"/>
        <v>8.2258334729435473E-2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1049235</v>
      </c>
      <c r="D233" s="361">
        <v>1306300</v>
      </c>
      <c r="E233" s="361">
        <f>D233-C233</f>
        <v>257065</v>
      </c>
      <c r="F233" s="362">
        <f>IF(C233=0,0,E233/C233)</f>
        <v>0.24500231120768942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539270</v>
      </c>
      <c r="D234" s="361">
        <v>1014912</v>
      </c>
      <c r="E234" s="361">
        <f>D234-C234</f>
        <v>475642</v>
      </c>
      <c r="F234" s="362">
        <f>IF(C234=0,0,E234/C234)</f>
        <v>0.88201086654180649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1480842</v>
      </c>
      <c r="D237" s="361">
        <f>LN_IG1+LN_IG9</f>
        <v>1799377</v>
      </c>
      <c r="E237" s="361">
        <f>D237-C237</f>
        <v>318535</v>
      </c>
      <c r="F237" s="362">
        <f>IF(C237=0,0,E237/C237)</f>
        <v>0.21510397463064931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801684</v>
      </c>
      <c r="D238" s="361">
        <f>LN_IG2+LN_IG10</f>
        <v>1254979</v>
      </c>
      <c r="E238" s="361">
        <f>D238-C238</f>
        <v>453295</v>
      </c>
      <c r="F238" s="362">
        <f>IF(C238=0,0,E238/C238)</f>
        <v>0.5654285229591709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679158</v>
      </c>
      <c r="D239" s="361">
        <f>LN_IG13-LN_IG14</f>
        <v>544398</v>
      </c>
      <c r="E239" s="361">
        <f>D239-C239</f>
        <v>-134760</v>
      </c>
      <c r="F239" s="362">
        <f>IF(C239=0,0,E239/C239)</f>
        <v>-0.19842216391472972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10448262</v>
      </c>
      <c r="D243" s="361">
        <v>13148358</v>
      </c>
      <c r="E243" s="353">
        <f>D243-C243</f>
        <v>2700096</v>
      </c>
      <c r="F243" s="415">
        <f>IF(C243=0,0,E243/C243)</f>
        <v>0.25842537256435566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170234748</v>
      </c>
      <c r="D244" s="361">
        <v>173322666</v>
      </c>
      <c r="E244" s="353">
        <f>D244-C244</f>
        <v>3087918</v>
      </c>
      <c r="F244" s="415">
        <f>IF(C244=0,0,E244/C244)</f>
        <v>1.813917567522701E-2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649453</v>
      </c>
      <c r="D245" s="400">
        <v>0</v>
      </c>
      <c r="E245" s="400">
        <f>D245-C245</f>
        <v>-649453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2236613</v>
      </c>
      <c r="D248" s="353">
        <v>4838371</v>
      </c>
      <c r="E248" s="353">
        <f>D248-C248</f>
        <v>2601758</v>
      </c>
      <c r="F248" s="362">
        <f>IF(C248=0,0,E248/C248)</f>
        <v>1.1632580155798076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6712599</v>
      </c>
      <c r="D249" s="353">
        <v>6164670</v>
      </c>
      <c r="E249" s="353">
        <f>D249-C249</f>
        <v>-547929</v>
      </c>
      <c r="F249" s="362">
        <f>IF(C249=0,0,E249/C249)</f>
        <v>-8.162695254103515E-2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8949212</v>
      </c>
      <c r="D250" s="353">
        <f>LN_IH4+LN_IH5</f>
        <v>11003041</v>
      </c>
      <c r="E250" s="353">
        <f>D250-C250</f>
        <v>2053829</v>
      </c>
      <c r="F250" s="362">
        <f>IF(C250=0,0,E250/C250)</f>
        <v>0.22949830666655344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3216669.3467924134</v>
      </c>
      <c r="D251" s="353">
        <f>LN_IH6*LN_III10</f>
        <v>3887793.0208011824</v>
      </c>
      <c r="E251" s="353">
        <f>D251-C251</f>
        <v>671123.67400876898</v>
      </c>
      <c r="F251" s="362">
        <f>IF(C251=0,0,E251/C251)</f>
        <v>0.20863931030959015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62205802</v>
      </c>
      <c r="D254" s="353">
        <f>LN_IF23</f>
        <v>71819535</v>
      </c>
      <c r="E254" s="353">
        <f>D254-C254</f>
        <v>9613733</v>
      </c>
      <c r="F254" s="362">
        <f>IF(C254=0,0,E254/C254)</f>
        <v>0.15454720767043562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15891777</v>
      </c>
      <c r="D255" s="353">
        <f>LN_IF24</f>
        <v>18523993</v>
      </c>
      <c r="E255" s="353">
        <f>D255-C255</f>
        <v>2632216</v>
      </c>
      <c r="F255" s="362">
        <f>IF(C255=0,0,E255/C255)</f>
        <v>0.1656338369208176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22359007.305451944</v>
      </c>
      <c r="D256" s="353">
        <f>LN_IH8*LN_III10</f>
        <v>25376574.251626093</v>
      </c>
      <c r="E256" s="353">
        <f>D256-C256</f>
        <v>3017566.9461741485</v>
      </c>
      <c r="F256" s="362">
        <f>IF(C256=0,0,E256/C256)</f>
        <v>0.13495979069868433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6467230.3054519445</v>
      </c>
      <c r="D257" s="353">
        <f>LN_IH10-LN_IH9</f>
        <v>6852581.2516260929</v>
      </c>
      <c r="E257" s="353">
        <f>D257-C257</f>
        <v>385350.94617414847</v>
      </c>
      <c r="F257" s="362">
        <f>IF(C257=0,0,E257/C257)</f>
        <v>5.9585159020747028E-2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160519223</v>
      </c>
      <c r="D261" s="361">
        <f>LN_IA1+LN_IB1+LN_IF1+LN_IG1</f>
        <v>150353329</v>
      </c>
      <c r="E261" s="361">
        <f t="shared" ref="E261:E274" si="26">D261-C261</f>
        <v>-10165894</v>
      </c>
      <c r="F261" s="415">
        <f t="shared" ref="F261:F274" si="27">IF(C261=0,0,E261/C261)</f>
        <v>-6.3331318268342235E-2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67977846</v>
      </c>
      <c r="D262" s="361">
        <f>+LN_IA2+LN_IB2+LN_IF2+LN_IG2</f>
        <v>65437723</v>
      </c>
      <c r="E262" s="361">
        <f t="shared" si="26"/>
        <v>-2540123</v>
      </c>
      <c r="F262" s="415">
        <f t="shared" si="27"/>
        <v>-3.7366923924009005E-2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0.42348726046350227</v>
      </c>
      <c r="D263" s="366">
        <f>IF(LN_IIA1=0,0,LN_IIA2/LN_IIA1)</f>
        <v>0.43522629951213121</v>
      </c>
      <c r="E263" s="367">
        <f t="shared" si="26"/>
        <v>1.1739039048628941E-2</v>
      </c>
      <c r="F263" s="371">
        <f t="shared" si="27"/>
        <v>2.7719934327612803E-2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9109</v>
      </c>
      <c r="D264" s="369">
        <f>LN_IA4+LN_IB4+LN_IF4+LN_IG3</f>
        <v>9281</v>
      </c>
      <c r="E264" s="369">
        <f t="shared" si="26"/>
        <v>172</v>
      </c>
      <c r="F264" s="415">
        <f t="shared" si="27"/>
        <v>1.8882423976287189E-2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1.1815600955099352</v>
      </c>
      <c r="D265" s="439">
        <f>IF(LN_IIA4=0,0,LN_IIA6/LN_IIA4)</f>
        <v>1.1207939984915418</v>
      </c>
      <c r="E265" s="439">
        <f t="shared" si="26"/>
        <v>-6.0766097018393417E-2</v>
      </c>
      <c r="F265" s="415">
        <f t="shared" si="27"/>
        <v>-5.1428697744034857E-2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10762.830910000001</v>
      </c>
      <c r="D266" s="376">
        <f>LN_IA6+LN_IB6+LN_IF6+LN_IG5</f>
        <v>10402.089099999999</v>
      </c>
      <c r="E266" s="376">
        <f t="shared" si="26"/>
        <v>-360.74181000000135</v>
      </c>
      <c r="F266" s="415">
        <f t="shared" si="27"/>
        <v>-3.351737224309894E-2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258676150</v>
      </c>
      <c r="D267" s="361">
        <f>LN_IA11+LN_IB13+LN_IF14+LN_IG9</f>
        <v>270967534</v>
      </c>
      <c r="E267" s="361">
        <f t="shared" si="26"/>
        <v>12291384</v>
      </c>
      <c r="F267" s="415">
        <f t="shared" si="27"/>
        <v>4.7516495046025696E-2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1.6114964000292975</v>
      </c>
      <c r="D268" s="366">
        <f>IF(LN_IIA1=0,0,LN_IIA7/LN_IIA1)</f>
        <v>1.8022050845312509</v>
      </c>
      <c r="E268" s="367">
        <f t="shared" si="26"/>
        <v>0.19070868450195344</v>
      </c>
      <c r="F268" s="371">
        <f t="shared" si="27"/>
        <v>0.11834260659749925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90970838</v>
      </c>
      <c r="D269" s="361">
        <f>LN_IA12+LN_IB14+LN_IF15+LN_IG10</f>
        <v>94434009</v>
      </c>
      <c r="E269" s="361">
        <f t="shared" si="26"/>
        <v>3463171</v>
      </c>
      <c r="F269" s="415">
        <f t="shared" si="27"/>
        <v>3.8069023833769672E-2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0.35167849065327439</v>
      </c>
      <c r="D270" s="366">
        <f>IF(LN_IIA7=0,0,LN_IIA9/LN_IIA7)</f>
        <v>0.34850672922314008</v>
      </c>
      <c r="E270" s="367">
        <f t="shared" si="26"/>
        <v>-3.1717614301343122E-3</v>
      </c>
      <c r="F270" s="371">
        <f t="shared" si="27"/>
        <v>-9.018923574889327E-3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419195373</v>
      </c>
      <c r="D271" s="353">
        <f>LN_IIA1+LN_IIA7</f>
        <v>421320863</v>
      </c>
      <c r="E271" s="353">
        <f t="shared" si="26"/>
        <v>2125490</v>
      </c>
      <c r="F271" s="415">
        <f t="shared" si="27"/>
        <v>5.07040424799727E-3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158948684</v>
      </c>
      <c r="D272" s="353">
        <f>LN_IIA2+LN_IIA9</f>
        <v>159871732</v>
      </c>
      <c r="E272" s="353">
        <f t="shared" si="26"/>
        <v>923048</v>
      </c>
      <c r="F272" s="415">
        <f t="shared" si="27"/>
        <v>5.8072075639204407E-3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0.37917566423138932</v>
      </c>
      <c r="D273" s="366">
        <f>IF(LN_IIA11=0,0,LN_IIA12/LN_IIA11)</f>
        <v>0.37945363270558002</v>
      </c>
      <c r="E273" s="367">
        <f t="shared" si="26"/>
        <v>2.7796847419070403E-4</v>
      </c>
      <c r="F273" s="371">
        <f t="shared" si="27"/>
        <v>7.3308627217456574E-4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44935</v>
      </c>
      <c r="D274" s="421">
        <f>LN_IA8+LN_IB10+LN_IF11+LN_IG6</f>
        <v>43475</v>
      </c>
      <c r="E274" s="442">
        <f t="shared" si="26"/>
        <v>-1460</v>
      </c>
      <c r="F274" s="371">
        <f t="shared" si="27"/>
        <v>-3.2491376432624904E-2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113209573</v>
      </c>
      <c r="D277" s="361">
        <f>LN_IA1+LN_IF1+LN_IG1</f>
        <v>106073171</v>
      </c>
      <c r="E277" s="361">
        <f t="shared" ref="E277:E291" si="28">D277-C277</f>
        <v>-7136402</v>
      </c>
      <c r="F277" s="415">
        <f t="shared" ref="F277:F291" si="29">IF(C277=0,0,E277/C277)</f>
        <v>-6.3037089628453946E-2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43366607</v>
      </c>
      <c r="D278" s="361">
        <f>LN_IA2+LN_IF2+LN_IG2</f>
        <v>39616494</v>
      </c>
      <c r="E278" s="361">
        <f t="shared" si="28"/>
        <v>-3750113</v>
      </c>
      <c r="F278" s="415">
        <f t="shared" si="29"/>
        <v>-8.6474669323334433E-2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0.38306484028519389</v>
      </c>
      <c r="D279" s="366">
        <f>IF(D277=0,0,LN_IIB2/D277)</f>
        <v>0.37348269714685911</v>
      </c>
      <c r="E279" s="367">
        <f t="shared" si="28"/>
        <v>-9.5821431383347755E-3</v>
      </c>
      <c r="F279" s="371">
        <f t="shared" si="29"/>
        <v>-2.5014415656630918E-2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5459</v>
      </c>
      <c r="D280" s="369">
        <f>LN_IA4+LN_IF4+LN_IG3</f>
        <v>5527</v>
      </c>
      <c r="E280" s="369">
        <f t="shared" si="28"/>
        <v>68</v>
      </c>
      <c r="F280" s="415">
        <f t="shared" si="29"/>
        <v>1.2456493863344935E-2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1.2960213244183916</v>
      </c>
      <c r="D281" s="439">
        <f>IF(LN_IIB4=0,0,LN_IIB6/LN_IIB4)</f>
        <v>1.2153361136240275</v>
      </c>
      <c r="E281" s="439">
        <f t="shared" si="28"/>
        <v>-8.0685210794364082E-2</v>
      </c>
      <c r="F281" s="415">
        <f t="shared" si="29"/>
        <v>-6.2256082731179399E-2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7074.9804099999992</v>
      </c>
      <c r="D282" s="376">
        <f>LN_IA6+LN_IF6+LN_IG5</f>
        <v>6717.1626999999999</v>
      </c>
      <c r="E282" s="376">
        <f t="shared" si="28"/>
        <v>-357.81770999999935</v>
      </c>
      <c r="F282" s="415">
        <f t="shared" si="29"/>
        <v>-5.0575081380331253E-2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130154578</v>
      </c>
      <c r="D283" s="361">
        <f>LN_IA11+LN_IF14+LN_IG9</f>
        <v>139712495</v>
      </c>
      <c r="E283" s="361">
        <f t="shared" si="28"/>
        <v>9557917</v>
      </c>
      <c r="F283" s="415">
        <f t="shared" si="29"/>
        <v>7.34351195852673E-2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1.1496781990335747</v>
      </c>
      <c r="D284" s="366">
        <f>IF(D277=0,0,LN_IIB7/D277)</f>
        <v>1.3171331985540433</v>
      </c>
      <c r="E284" s="367">
        <f t="shared" si="28"/>
        <v>0.16745499952046861</v>
      </c>
      <c r="F284" s="371">
        <f t="shared" si="29"/>
        <v>0.14565380091684102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34898061</v>
      </c>
      <c r="D285" s="361">
        <f>LN_IA12+LN_IF15+LN_IG10</f>
        <v>35163740</v>
      </c>
      <c r="E285" s="361">
        <f t="shared" si="28"/>
        <v>265679</v>
      </c>
      <c r="F285" s="415">
        <f t="shared" si="29"/>
        <v>7.6130017653416333E-3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0.26812780261943608</v>
      </c>
      <c r="D286" s="366">
        <f>IF(LN_IIB7=0,0,LN_IIB9/LN_IIB7)</f>
        <v>0.25168643649231232</v>
      </c>
      <c r="E286" s="367">
        <f t="shared" si="28"/>
        <v>-1.6441366127123769E-2</v>
      </c>
      <c r="F286" s="371">
        <f t="shared" si="29"/>
        <v>-6.1319139479390807E-2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243364151</v>
      </c>
      <c r="D287" s="353">
        <f>D277+LN_IIB7</f>
        <v>245785666</v>
      </c>
      <c r="E287" s="353">
        <f t="shared" si="28"/>
        <v>2421515</v>
      </c>
      <c r="F287" s="415">
        <f t="shared" si="29"/>
        <v>9.9501713380949035E-3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78264668</v>
      </c>
      <c r="D288" s="353">
        <f>LN_IIB2+LN_IIB9</f>
        <v>74780234</v>
      </c>
      <c r="E288" s="353">
        <f t="shared" si="28"/>
        <v>-3484434</v>
      </c>
      <c r="F288" s="415">
        <f t="shared" si="29"/>
        <v>-4.4521162473978679E-2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0.32159489258547369</v>
      </c>
      <c r="D289" s="366">
        <f>IF(LN_IIB11=0,0,LN_IIB12/LN_IIB11)</f>
        <v>0.30424977671399273</v>
      </c>
      <c r="E289" s="367">
        <f t="shared" si="28"/>
        <v>-1.7345115871480965E-2</v>
      </c>
      <c r="F289" s="371">
        <f t="shared" si="29"/>
        <v>-5.3934674559145773E-2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30983</v>
      </c>
      <c r="D290" s="421">
        <f>LN_IA8+LN_IF11+LN_IG6</f>
        <v>30078</v>
      </c>
      <c r="E290" s="442">
        <f t="shared" si="28"/>
        <v>-905</v>
      </c>
      <c r="F290" s="371">
        <f t="shared" si="29"/>
        <v>-2.9209566536487753E-2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165099483</v>
      </c>
      <c r="D291" s="429">
        <f>LN_IIB11-LN_IIB12</f>
        <v>171005432</v>
      </c>
      <c r="E291" s="353">
        <f t="shared" si="28"/>
        <v>5905949</v>
      </c>
      <c r="F291" s="415">
        <f t="shared" si="29"/>
        <v>3.5772062351037165E-2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6.0267620561738209</v>
      </c>
      <c r="D294" s="379">
        <f>IF(LN_IA4=0,0,LN_IA8/LN_IA4)</f>
        <v>5.7697186982901272</v>
      </c>
      <c r="E294" s="379">
        <f t="shared" ref="E294:E300" si="30">D294-C294</f>
        <v>-0.2570433578836937</v>
      </c>
      <c r="F294" s="415">
        <f t="shared" ref="F294:F300" si="31">IF(C294=0,0,E294/C294)</f>
        <v>-4.2650324583559468E-2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3.8224657534246576</v>
      </c>
      <c r="D295" s="379">
        <f>IF(LN_IB4=0,0,(LN_IB10)/(LN_IB4))</f>
        <v>3.5687266915290357</v>
      </c>
      <c r="E295" s="379">
        <f t="shared" si="30"/>
        <v>-0.2537390618956219</v>
      </c>
      <c r="F295" s="415">
        <f t="shared" si="31"/>
        <v>-6.6380990246489385E-2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5.5081081081081082</v>
      </c>
      <c r="D296" s="379">
        <f>IF(LN_IC4=0,0,LN_IC11/LN_IC4)</f>
        <v>5.7685185185185182</v>
      </c>
      <c r="E296" s="379">
        <f t="shared" si="30"/>
        <v>0.26041041041040991</v>
      </c>
      <c r="F296" s="415">
        <f t="shared" si="31"/>
        <v>4.7277650565187276E-2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4.7397683397683394</v>
      </c>
      <c r="D297" s="379">
        <f>IF(LN_ID4=0,0,LN_ID11/LN_ID4)</f>
        <v>4.8365695792880263</v>
      </c>
      <c r="E297" s="379">
        <f t="shared" si="30"/>
        <v>9.6801239519686888E-2</v>
      </c>
      <c r="F297" s="415">
        <f t="shared" si="31"/>
        <v>2.0423200582925145E-2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5.5421348314606744</v>
      </c>
      <c r="D298" s="379">
        <f>IF(LN_IE4=0,0,LN_IE11/LN_IE4)</f>
        <v>0</v>
      </c>
      <c r="E298" s="379">
        <f t="shared" si="30"/>
        <v>-5.5421348314606744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3.7352941176470589</v>
      </c>
      <c r="D299" s="379">
        <f>IF(LN_IG3=0,0,LN_IG6/LN_IG3)</f>
        <v>4.042553191489362</v>
      </c>
      <c r="E299" s="379">
        <f t="shared" si="30"/>
        <v>0.30725907384230311</v>
      </c>
      <c r="F299" s="415">
        <f t="shared" si="31"/>
        <v>8.2258334729435473E-2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4.9330332638050276</v>
      </c>
      <c r="D300" s="379">
        <f>IF(LN_IIA4=0,0,LN_IIA14/LN_IIA4)</f>
        <v>4.6843012606400176</v>
      </c>
      <c r="E300" s="379">
        <f t="shared" si="30"/>
        <v>-0.24873200316500998</v>
      </c>
      <c r="F300" s="415">
        <f t="shared" si="31"/>
        <v>-5.0421716186270747E-2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419195373</v>
      </c>
      <c r="D304" s="353">
        <f>LN_IIA11</f>
        <v>421320863</v>
      </c>
      <c r="E304" s="353">
        <f t="shared" ref="E304:E316" si="32">D304-C304</f>
        <v>2125490</v>
      </c>
      <c r="F304" s="362">
        <f>IF(C304=0,0,E304/C304)</f>
        <v>5.07040424799727E-3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165099483</v>
      </c>
      <c r="D305" s="353">
        <f>LN_IIB14</f>
        <v>171005432</v>
      </c>
      <c r="E305" s="353">
        <f t="shared" si="32"/>
        <v>5905949</v>
      </c>
      <c r="F305" s="362">
        <f>IF(C305=0,0,E305/C305)</f>
        <v>3.5772062351037165E-2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8949212</v>
      </c>
      <c r="D306" s="353">
        <f>LN_IH6</f>
        <v>11003041</v>
      </c>
      <c r="E306" s="353">
        <f t="shared" si="32"/>
        <v>2053829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95122205</v>
      </c>
      <c r="D307" s="353">
        <f>LN_IB32-LN_IB33</f>
        <v>90443699</v>
      </c>
      <c r="E307" s="353">
        <f t="shared" si="32"/>
        <v>-4678506</v>
      </c>
      <c r="F307" s="362">
        <f t="shared" ref="F307:F316" si="33">IF(C307=0,0,E307/C307)</f>
        <v>-4.9184162625330229E-2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269170900</v>
      </c>
      <c r="D309" s="353">
        <f>LN_III2+LN_III3+LN_III4+LN_III5</f>
        <v>272452172</v>
      </c>
      <c r="E309" s="353">
        <f t="shared" si="32"/>
        <v>3281272</v>
      </c>
      <c r="F309" s="362">
        <f t="shared" si="33"/>
        <v>1.219029248704076E-2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150024473</v>
      </c>
      <c r="D310" s="353">
        <f>LN_III1-LN_III6</f>
        <v>148868691</v>
      </c>
      <c r="E310" s="353">
        <f t="shared" si="32"/>
        <v>-1155782</v>
      </c>
      <c r="F310" s="362">
        <f t="shared" si="33"/>
        <v>-7.7039564071656498E-3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649453</v>
      </c>
      <c r="D311" s="353">
        <f>LN_IH3</f>
        <v>0</v>
      </c>
      <c r="E311" s="353">
        <f t="shared" si="32"/>
        <v>-649453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150673926</v>
      </c>
      <c r="D312" s="353">
        <f>LN_III7+LN_III8</f>
        <v>148868691</v>
      </c>
      <c r="E312" s="353">
        <f t="shared" si="32"/>
        <v>-1805235</v>
      </c>
      <c r="F312" s="362">
        <f t="shared" si="33"/>
        <v>-1.1981070965125048E-2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0.35943604272559565</v>
      </c>
      <c r="D313" s="448">
        <f>IF(LN_III1=0,0,LN_III9/LN_III1)</f>
        <v>0.3533380472544983</v>
      </c>
      <c r="E313" s="448">
        <f t="shared" si="32"/>
        <v>-6.0979954710973505E-3</v>
      </c>
      <c r="F313" s="362">
        <f t="shared" si="33"/>
        <v>-1.6965453505598336E-2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3216669.3467924134</v>
      </c>
      <c r="D314" s="353">
        <f>D313*LN_III5</f>
        <v>3887793.0208011824</v>
      </c>
      <c r="E314" s="353">
        <f t="shared" si="32"/>
        <v>671123.67400876898</v>
      </c>
      <c r="F314" s="362">
        <f t="shared" si="33"/>
        <v>0.20863931030959015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6467230.3054519445</v>
      </c>
      <c r="D315" s="353">
        <f>D313*LN_IH8-LN_IH9</f>
        <v>6852581.2516260929</v>
      </c>
      <c r="E315" s="353">
        <f t="shared" si="32"/>
        <v>385350.94617414847</v>
      </c>
      <c r="F315" s="362">
        <f t="shared" si="33"/>
        <v>5.9585159020747028E-2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9683899.6522443574</v>
      </c>
      <c r="D318" s="353">
        <f>D314+D315+D316</f>
        <v>10740374.272427276</v>
      </c>
      <c r="E318" s="353">
        <f>D318-C318</f>
        <v>1056474.6201829184</v>
      </c>
      <c r="F318" s="362">
        <f>IF(C318=0,0,E318/C318)</f>
        <v>0.10909599005789657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10682883.394692631</v>
      </c>
      <c r="D322" s="353">
        <f>LN_ID22</f>
        <v>12238387.538154237</v>
      </c>
      <c r="E322" s="353">
        <f>LN_IV2-C322</f>
        <v>1555504.1434616055</v>
      </c>
      <c r="F322" s="362">
        <f>IF(C322=0,0,E322/C322)</f>
        <v>0.14560714425043675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3462591.2962809196</v>
      </c>
      <c r="D323" s="353">
        <f>LN_IE10+LN_IE22</f>
        <v>0</v>
      </c>
      <c r="E323" s="353">
        <f>LN_IV3-C323</f>
        <v>-3462591.2962809196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1193493.0781962285</v>
      </c>
      <c r="D324" s="353">
        <f>LN_IC10+LN_IC22</f>
        <v>5415805.3018099573</v>
      </c>
      <c r="E324" s="353">
        <f>LN_IV1-C324</f>
        <v>4222312.2236137288</v>
      </c>
      <c r="F324" s="362">
        <f>IF(C324=0,0,E324/C324)</f>
        <v>3.5377768842992117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15338967.769169781</v>
      </c>
      <c r="D325" s="429">
        <f>LN_IV1+LN_IV2+LN_IV3</f>
        <v>17654192.839964196</v>
      </c>
      <c r="E325" s="353">
        <f>LN_IV4-C325</f>
        <v>2315225.0707944147</v>
      </c>
      <c r="F325" s="362">
        <f>IF(C325=0,0,E325/C325)</f>
        <v>0.15093747543089894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6712600</v>
      </c>
      <c r="D330" s="429">
        <v>6730528</v>
      </c>
      <c r="E330" s="431">
        <f t="shared" si="34"/>
        <v>17928</v>
      </c>
      <c r="F330" s="463">
        <f t="shared" si="35"/>
        <v>2.6707982003992491E-3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166310748</v>
      </c>
      <c r="D331" s="429">
        <v>166602260</v>
      </c>
      <c r="E331" s="431">
        <f t="shared" si="34"/>
        <v>291512</v>
      </c>
      <c r="F331" s="462">
        <f t="shared" si="35"/>
        <v>1.7528151578032707E-3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419195385</v>
      </c>
      <c r="D333" s="429">
        <v>421320863</v>
      </c>
      <c r="E333" s="431">
        <f t="shared" si="34"/>
        <v>2125478</v>
      </c>
      <c r="F333" s="462">
        <f t="shared" si="35"/>
        <v>5.0703754765811654E-3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8949213</v>
      </c>
      <c r="D335" s="429">
        <v>11003044</v>
      </c>
      <c r="E335" s="429">
        <f t="shared" si="34"/>
        <v>2053831</v>
      </c>
      <c r="F335" s="462">
        <f t="shared" si="35"/>
        <v>0.22949850450536824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FILING&amp;RMANCHESTER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10" t="s">
        <v>0</v>
      </c>
      <c r="B2" s="710"/>
      <c r="C2" s="710"/>
      <c r="D2" s="710"/>
      <c r="E2" s="710"/>
    </row>
    <row r="3" spans="1:5" s="338" customFormat="1" ht="15.75" customHeight="1" x14ac:dyDescent="0.25">
      <c r="A3" s="711" t="s">
        <v>595</v>
      </c>
      <c r="B3" s="711"/>
      <c r="C3" s="711"/>
      <c r="D3" s="711"/>
      <c r="E3" s="711"/>
    </row>
    <row r="4" spans="1:5" s="338" customFormat="1" ht="15.75" customHeight="1" x14ac:dyDescent="0.25">
      <c r="A4" s="711" t="s">
        <v>2</v>
      </c>
      <c r="B4" s="711"/>
      <c r="C4" s="711"/>
      <c r="D4" s="711"/>
      <c r="E4" s="711"/>
    </row>
    <row r="5" spans="1:5" s="338" customFormat="1" ht="15.75" customHeight="1" x14ac:dyDescent="0.25">
      <c r="A5" s="711" t="s">
        <v>743</v>
      </c>
      <c r="B5" s="711"/>
      <c r="C5" s="711"/>
      <c r="D5" s="711"/>
      <c r="E5" s="711"/>
    </row>
    <row r="6" spans="1:5" s="338" customFormat="1" ht="15.75" customHeight="1" x14ac:dyDescent="0.25">
      <c r="A6" s="711" t="s">
        <v>744</v>
      </c>
      <c r="B6" s="711"/>
      <c r="C6" s="711"/>
      <c r="D6" s="711"/>
      <c r="E6" s="711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47309650</v>
      </c>
      <c r="D14" s="513">
        <v>44280158</v>
      </c>
      <c r="E14" s="514">
        <f t="shared" ref="E14:E22" si="0">D14-C14</f>
        <v>-3029492</v>
      </c>
    </row>
    <row r="15" spans="1:5" s="506" customFormat="1" x14ac:dyDescent="0.2">
      <c r="A15" s="512">
        <v>2</v>
      </c>
      <c r="B15" s="511" t="s">
        <v>604</v>
      </c>
      <c r="C15" s="513">
        <v>91363204</v>
      </c>
      <c r="D15" s="515">
        <v>81439769</v>
      </c>
      <c r="E15" s="514">
        <f t="shared" si="0"/>
        <v>-9923435</v>
      </c>
    </row>
    <row r="16" spans="1:5" s="506" customFormat="1" x14ac:dyDescent="0.2">
      <c r="A16" s="512">
        <v>3</v>
      </c>
      <c r="B16" s="511" t="s">
        <v>750</v>
      </c>
      <c r="C16" s="513">
        <v>21414762</v>
      </c>
      <c r="D16" s="515">
        <v>24140325</v>
      </c>
      <c r="E16" s="514">
        <f t="shared" si="0"/>
        <v>2725563</v>
      </c>
    </row>
    <row r="17" spans="1:5" s="506" customFormat="1" x14ac:dyDescent="0.2">
      <c r="A17" s="512">
        <v>4</v>
      </c>
      <c r="B17" s="511" t="s">
        <v>114</v>
      </c>
      <c r="C17" s="513">
        <v>16153216</v>
      </c>
      <c r="D17" s="515">
        <v>24140325</v>
      </c>
      <c r="E17" s="514">
        <f t="shared" si="0"/>
        <v>7987109</v>
      </c>
    </row>
    <row r="18" spans="1:5" s="506" customFormat="1" x14ac:dyDescent="0.2">
      <c r="A18" s="512">
        <v>5</v>
      </c>
      <c r="B18" s="511" t="s">
        <v>717</v>
      </c>
      <c r="C18" s="513">
        <v>5261546</v>
      </c>
      <c r="D18" s="515">
        <v>0</v>
      </c>
      <c r="E18" s="514">
        <f t="shared" si="0"/>
        <v>-5261546</v>
      </c>
    </row>
    <row r="19" spans="1:5" s="506" customFormat="1" x14ac:dyDescent="0.2">
      <c r="A19" s="512">
        <v>6</v>
      </c>
      <c r="B19" s="511" t="s">
        <v>416</v>
      </c>
      <c r="C19" s="513">
        <v>431607</v>
      </c>
      <c r="D19" s="515">
        <v>493077</v>
      </c>
      <c r="E19" s="514">
        <f t="shared" si="0"/>
        <v>61470</v>
      </c>
    </row>
    <row r="20" spans="1:5" s="506" customFormat="1" x14ac:dyDescent="0.2">
      <c r="A20" s="512">
        <v>7</v>
      </c>
      <c r="B20" s="511" t="s">
        <v>732</v>
      </c>
      <c r="C20" s="513">
        <v>3498834</v>
      </c>
      <c r="D20" s="515">
        <v>2596225</v>
      </c>
      <c r="E20" s="514">
        <f t="shared" si="0"/>
        <v>-902609</v>
      </c>
    </row>
    <row r="21" spans="1:5" s="506" customFormat="1" x14ac:dyDescent="0.2">
      <c r="A21" s="512"/>
      <c r="B21" s="516" t="s">
        <v>751</v>
      </c>
      <c r="C21" s="517">
        <f>SUM(C15+C16+C19)</f>
        <v>113209573</v>
      </c>
      <c r="D21" s="517">
        <f>SUM(D15+D16+D19)</f>
        <v>106073171</v>
      </c>
      <c r="E21" s="517">
        <f t="shared" si="0"/>
        <v>-7136402</v>
      </c>
    </row>
    <row r="22" spans="1:5" s="506" customFormat="1" x14ac:dyDescent="0.2">
      <c r="A22" s="512"/>
      <c r="B22" s="516" t="s">
        <v>691</v>
      </c>
      <c r="C22" s="517">
        <f>SUM(C14+C21)</f>
        <v>160519223</v>
      </c>
      <c r="D22" s="517">
        <f>SUM(D14+D21)</f>
        <v>150353329</v>
      </c>
      <c r="E22" s="517">
        <f t="shared" si="0"/>
        <v>-10165894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128521572</v>
      </c>
      <c r="D25" s="513">
        <v>131255039</v>
      </c>
      <c r="E25" s="514">
        <f t="shared" ref="E25:E33" si="1">D25-C25</f>
        <v>2733467</v>
      </c>
    </row>
    <row r="26" spans="1:5" s="506" customFormat="1" x14ac:dyDescent="0.2">
      <c r="A26" s="512">
        <v>2</v>
      </c>
      <c r="B26" s="511" t="s">
        <v>604</v>
      </c>
      <c r="C26" s="513">
        <v>88314303</v>
      </c>
      <c r="D26" s="515">
        <v>90726985</v>
      </c>
      <c r="E26" s="514">
        <f t="shared" si="1"/>
        <v>2412682</v>
      </c>
    </row>
    <row r="27" spans="1:5" s="506" customFormat="1" x14ac:dyDescent="0.2">
      <c r="A27" s="512">
        <v>3</v>
      </c>
      <c r="B27" s="511" t="s">
        <v>750</v>
      </c>
      <c r="C27" s="513">
        <v>40791040</v>
      </c>
      <c r="D27" s="515">
        <v>47679210</v>
      </c>
      <c r="E27" s="514">
        <f t="shared" si="1"/>
        <v>6888170</v>
      </c>
    </row>
    <row r="28" spans="1:5" s="506" customFormat="1" x14ac:dyDescent="0.2">
      <c r="A28" s="512">
        <v>4</v>
      </c>
      <c r="B28" s="511" t="s">
        <v>114</v>
      </c>
      <c r="C28" s="513">
        <v>31898877</v>
      </c>
      <c r="D28" s="515">
        <v>47679210</v>
      </c>
      <c r="E28" s="514">
        <f t="shared" si="1"/>
        <v>15780333</v>
      </c>
    </row>
    <row r="29" spans="1:5" s="506" customFormat="1" x14ac:dyDescent="0.2">
      <c r="A29" s="512">
        <v>5</v>
      </c>
      <c r="B29" s="511" t="s">
        <v>717</v>
      </c>
      <c r="C29" s="513">
        <v>8892163</v>
      </c>
      <c r="D29" s="515">
        <v>0</v>
      </c>
      <c r="E29" s="514">
        <f t="shared" si="1"/>
        <v>-8892163</v>
      </c>
    </row>
    <row r="30" spans="1:5" s="506" customFormat="1" x14ac:dyDescent="0.2">
      <c r="A30" s="512">
        <v>6</v>
      </c>
      <c r="B30" s="511" t="s">
        <v>416</v>
      </c>
      <c r="C30" s="513">
        <v>1049235</v>
      </c>
      <c r="D30" s="515">
        <v>1306300</v>
      </c>
      <c r="E30" s="514">
        <f t="shared" si="1"/>
        <v>257065</v>
      </c>
    </row>
    <row r="31" spans="1:5" s="506" customFormat="1" x14ac:dyDescent="0.2">
      <c r="A31" s="512">
        <v>7</v>
      </c>
      <c r="B31" s="511" t="s">
        <v>732</v>
      </c>
      <c r="C31" s="514">
        <v>8874148</v>
      </c>
      <c r="D31" s="518">
        <v>8757284</v>
      </c>
      <c r="E31" s="514">
        <f t="shared" si="1"/>
        <v>-116864</v>
      </c>
    </row>
    <row r="32" spans="1:5" s="506" customFormat="1" x14ac:dyDescent="0.2">
      <c r="A32" s="512"/>
      <c r="B32" s="516" t="s">
        <v>753</v>
      </c>
      <c r="C32" s="517">
        <f>SUM(C26+C27+C30)</f>
        <v>130154578</v>
      </c>
      <c r="D32" s="517">
        <f>SUM(D26+D27+D30)</f>
        <v>139712495</v>
      </c>
      <c r="E32" s="517">
        <f t="shared" si="1"/>
        <v>9557917</v>
      </c>
    </row>
    <row r="33" spans="1:5" s="506" customFormat="1" x14ac:dyDescent="0.2">
      <c r="A33" s="512"/>
      <c r="B33" s="516" t="s">
        <v>697</v>
      </c>
      <c r="C33" s="517">
        <f>SUM(C25+C32)</f>
        <v>258676150</v>
      </c>
      <c r="D33" s="517">
        <f>SUM(D25+D32)</f>
        <v>270967534</v>
      </c>
      <c r="E33" s="517">
        <f t="shared" si="1"/>
        <v>12291384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175831222</v>
      </c>
      <c r="D36" s="514">
        <f t="shared" si="2"/>
        <v>175535197</v>
      </c>
      <c r="E36" s="514">
        <f t="shared" ref="E36:E44" si="3">D36-C36</f>
        <v>-296025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179677507</v>
      </c>
      <c r="D37" s="514">
        <f t="shared" si="2"/>
        <v>172166754</v>
      </c>
      <c r="E37" s="514">
        <f t="shared" si="3"/>
        <v>-7510753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62205802</v>
      </c>
      <c r="D38" s="514">
        <f t="shared" si="2"/>
        <v>71819535</v>
      </c>
      <c r="E38" s="514">
        <f t="shared" si="3"/>
        <v>9613733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48052093</v>
      </c>
      <c r="D39" s="514">
        <f t="shared" si="2"/>
        <v>71819535</v>
      </c>
      <c r="E39" s="514">
        <f t="shared" si="3"/>
        <v>23767442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14153709</v>
      </c>
      <c r="D40" s="514">
        <f t="shared" si="2"/>
        <v>0</v>
      </c>
      <c r="E40" s="514">
        <f t="shared" si="3"/>
        <v>-14153709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1480842</v>
      </c>
      <c r="D41" s="514">
        <f t="shared" si="2"/>
        <v>1799377</v>
      </c>
      <c r="E41" s="514">
        <f t="shared" si="3"/>
        <v>318535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12372982</v>
      </c>
      <c r="D42" s="514">
        <f t="shared" si="2"/>
        <v>11353509</v>
      </c>
      <c r="E42" s="514">
        <f t="shared" si="3"/>
        <v>-1019473</v>
      </c>
    </row>
    <row r="43" spans="1:5" s="506" customFormat="1" x14ac:dyDescent="0.2">
      <c r="A43" s="512"/>
      <c r="B43" s="516" t="s">
        <v>761</v>
      </c>
      <c r="C43" s="517">
        <f>SUM(C37+C38+C41)</f>
        <v>243364151</v>
      </c>
      <c r="D43" s="517">
        <f>SUM(D37+D38+D41)</f>
        <v>245785666</v>
      </c>
      <c r="E43" s="517">
        <f t="shared" si="3"/>
        <v>2421515</v>
      </c>
    </row>
    <row r="44" spans="1:5" s="506" customFormat="1" x14ac:dyDescent="0.2">
      <c r="A44" s="512"/>
      <c r="B44" s="516" t="s">
        <v>699</v>
      </c>
      <c r="C44" s="517">
        <f>SUM(C36+C43)</f>
        <v>419195373</v>
      </c>
      <c r="D44" s="517">
        <f>SUM(D36+D43)</f>
        <v>421320863</v>
      </c>
      <c r="E44" s="517">
        <f t="shared" si="3"/>
        <v>2125490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24611239</v>
      </c>
      <c r="D47" s="513">
        <v>25821229</v>
      </c>
      <c r="E47" s="514">
        <f t="shared" ref="E47:E55" si="4">D47-C47</f>
        <v>1209990</v>
      </c>
    </row>
    <row r="48" spans="1:5" s="506" customFormat="1" x14ac:dyDescent="0.2">
      <c r="A48" s="512">
        <v>2</v>
      </c>
      <c r="B48" s="511" t="s">
        <v>604</v>
      </c>
      <c r="C48" s="513">
        <v>35991274</v>
      </c>
      <c r="D48" s="515">
        <v>30670179</v>
      </c>
      <c r="E48" s="514">
        <f t="shared" si="4"/>
        <v>-5321095</v>
      </c>
    </row>
    <row r="49" spans="1:5" s="506" customFormat="1" x14ac:dyDescent="0.2">
      <c r="A49" s="512">
        <v>3</v>
      </c>
      <c r="B49" s="511" t="s">
        <v>750</v>
      </c>
      <c r="C49" s="513">
        <v>7112919</v>
      </c>
      <c r="D49" s="515">
        <v>8706248</v>
      </c>
      <c r="E49" s="514">
        <f t="shared" si="4"/>
        <v>1593329</v>
      </c>
    </row>
    <row r="50" spans="1:5" s="506" customFormat="1" x14ac:dyDescent="0.2">
      <c r="A50" s="512">
        <v>4</v>
      </c>
      <c r="B50" s="511" t="s">
        <v>114</v>
      </c>
      <c r="C50" s="513">
        <v>5589437</v>
      </c>
      <c r="D50" s="515">
        <v>8706248</v>
      </c>
      <c r="E50" s="514">
        <f t="shared" si="4"/>
        <v>3116811</v>
      </c>
    </row>
    <row r="51" spans="1:5" s="506" customFormat="1" x14ac:dyDescent="0.2">
      <c r="A51" s="512">
        <v>5</v>
      </c>
      <c r="B51" s="511" t="s">
        <v>717</v>
      </c>
      <c r="C51" s="513">
        <v>1523482</v>
      </c>
      <c r="D51" s="515">
        <v>0</v>
      </c>
      <c r="E51" s="514">
        <f t="shared" si="4"/>
        <v>-1523482</v>
      </c>
    </row>
    <row r="52" spans="1:5" s="506" customFormat="1" x14ac:dyDescent="0.2">
      <c r="A52" s="512">
        <v>6</v>
      </c>
      <c r="B52" s="511" t="s">
        <v>416</v>
      </c>
      <c r="C52" s="513">
        <v>262414</v>
      </c>
      <c r="D52" s="515">
        <v>240067</v>
      </c>
      <c r="E52" s="514">
        <f t="shared" si="4"/>
        <v>-22347</v>
      </c>
    </row>
    <row r="53" spans="1:5" s="506" customFormat="1" x14ac:dyDescent="0.2">
      <c r="A53" s="512">
        <v>7</v>
      </c>
      <c r="B53" s="511" t="s">
        <v>732</v>
      </c>
      <c r="C53" s="513">
        <v>834918</v>
      </c>
      <c r="D53" s="515">
        <v>37680</v>
      </c>
      <c r="E53" s="514">
        <f t="shared" si="4"/>
        <v>-797238</v>
      </c>
    </row>
    <row r="54" spans="1:5" s="506" customFormat="1" x14ac:dyDescent="0.2">
      <c r="A54" s="512"/>
      <c r="B54" s="516" t="s">
        <v>763</v>
      </c>
      <c r="C54" s="517">
        <f>SUM(C48+C49+C52)</f>
        <v>43366607</v>
      </c>
      <c r="D54" s="517">
        <f>SUM(D48+D49+D52)</f>
        <v>39616494</v>
      </c>
      <c r="E54" s="517">
        <f t="shared" si="4"/>
        <v>-3750113</v>
      </c>
    </row>
    <row r="55" spans="1:5" s="506" customFormat="1" x14ac:dyDescent="0.2">
      <c r="A55" s="512"/>
      <c r="B55" s="516" t="s">
        <v>692</v>
      </c>
      <c r="C55" s="517">
        <f>SUM(C47+C54)</f>
        <v>67977846</v>
      </c>
      <c r="D55" s="517">
        <f>SUM(D47+D54)</f>
        <v>65437723</v>
      </c>
      <c r="E55" s="517">
        <f t="shared" si="4"/>
        <v>-2540123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56072777</v>
      </c>
      <c r="D58" s="513">
        <v>59270269</v>
      </c>
      <c r="E58" s="514">
        <f t="shared" ref="E58:E66" si="5">D58-C58</f>
        <v>3197492</v>
      </c>
    </row>
    <row r="59" spans="1:5" s="506" customFormat="1" x14ac:dyDescent="0.2">
      <c r="A59" s="512">
        <v>2</v>
      </c>
      <c r="B59" s="511" t="s">
        <v>604</v>
      </c>
      <c r="C59" s="513">
        <v>25579933</v>
      </c>
      <c r="D59" s="515">
        <v>24331083</v>
      </c>
      <c r="E59" s="514">
        <f t="shared" si="5"/>
        <v>-1248850</v>
      </c>
    </row>
    <row r="60" spans="1:5" s="506" customFormat="1" x14ac:dyDescent="0.2">
      <c r="A60" s="512">
        <v>3</v>
      </c>
      <c r="B60" s="511" t="s">
        <v>750</v>
      </c>
      <c r="C60" s="513">
        <f>C61+C62</f>
        <v>8778858</v>
      </c>
      <c r="D60" s="515">
        <f>D61+D62</f>
        <v>9817745</v>
      </c>
      <c r="E60" s="514">
        <f t="shared" si="5"/>
        <v>1038887</v>
      </c>
    </row>
    <row r="61" spans="1:5" s="506" customFormat="1" x14ac:dyDescent="0.2">
      <c r="A61" s="512">
        <v>4</v>
      </c>
      <c r="B61" s="511" t="s">
        <v>114</v>
      </c>
      <c r="C61" s="513">
        <v>7248919</v>
      </c>
      <c r="D61" s="515">
        <v>9817745</v>
      </c>
      <c r="E61" s="514">
        <f t="shared" si="5"/>
        <v>2568826</v>
      </c>
    </row>
    <row r="62" spans="1:5" s="506" customFormat="1" x14ac:dyDescent="0.2">
      <c r="A62" s="512">
        <v>5</v>
      </c>
      <c r="B62" s="511" t="s">
        <v>717</v>
      </c>
      <c r="C62" s="513">
        <v>1529939</v>
      </c>
      <c r="D62" s="515">
        <v>0</v>
      </c>
      <c r="E62" s="514">
        <f t="shared" si="5"/>
        <v>-1529939</v>
      </c>
    </row>
    <row r="63" spans="1:5" s="506" customFormat="1" x14ac:dyDescent="0.2">
      <c r="A63" s="512">
        <v>6</v>
      </c>
      <c r="B63" s="511" t="s">
        <v>416</v>
      </c>
      <c r="C63" s="513">
        <v>539270</v>
      </c>
      <c r="D63" s="515">
        <v>1014912</v>
      </c>
      <c r="E63" s="514">
        <f t="shared" si="5"/>
        <v>475642</v>
      </c>
    </row>
    <row r="64" spans="1:5" s="506" customFormat="1" x14ac:dyDescent="0.2">
      <c r="A64" s="512">
        <v>7</v>
      </c>
      <c r="B64" s="511" t="s">
        <v>732</v>
      </c>
      <c r="C64" s="513">
        <v>2589004</v>
      </c>
      <c r="D64" s="515">
        <v>312777</v>
      </c>
      <c r="E64" s="514">
        <f t="shared" si="5"/>
        <v>-2276227</v>
      </c>
    </row>
    <row r="65" spans="1:5" s="506" customFormat="1" x14ac:dyDescent="0.2">
      <c r="A65" s="512"/>
      <c r="B65" s="516" t="s">
        <v>765</v>
      </c>
      <c r="C65" s="517">
        <f>SUM(C59+C60+C63)</f>
        <v>34898061</v>
      </c>
      <c r="D65" s="517">
        <f>SUM(D59+D60+D63)</f>
        <v>35163740</v>
      </c>
      <c r="E65" s="517">
        <f t="shared" si="5"/>
        <v>265679</v>
      </c>
    </row>
    <row r="66" spans="1:5" s="506" customFormat="1" x14ac:dyDescent="0.2">
      <c r="A66" s="512"/>
      <c r="B66" s="516" t="s">
        <v>698</v>
      </c>
      <c r="C66" s="517">
        <f>SUM(C58+C65)</f>
        <v>90970838</v>
      </c>
      <c r="D66" s="517">
        <f>SUM(D58+D65)</f>
        <v>94434009</v>
      </c>
      <c r="E66" s="517">
        <f t="shared" si="5"/>
        <v>3463171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80684016</v>
      </c>
      <c r="D69" s="514">
        <f t="shared" si="6"/>
        <v>85091498</v>
      </c>
      <c r="E69" s="514">
        <f t="shared" ref="E69:E77" si="7">D69-C69</f>
        <v>4407482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61571207</v>
      </c>
      <c r="D70" s="514">
        <f t="shared" si="6"/>
        <v>55001262</v>
      </c>
      <c r="E70" s="514">
        <f t="shared" si="7"/>
        <v>-6569945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15891777</v>
      </c>
      <c r="D71" s="514">
        <f t="shared" si="6"/>
        <v>18523993</v>
      </c>
      <c r="E71" s="514">
        <f t="shared" si="7"/>
        <v>2632216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12838356</v>
      </c>
      <c r="D72" s="514">
        <f t="shared" si="6"/>
        <v>18523993</v>
      </c>
      <c r="E72" s="514">
        <f t="shared" si="7"/>
        <v>5685637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3053421</v>
      </c>
      <c r="D73" s="514">
        <f t="shared" si="6"/>
        <v>0</v>
      </c>
      <c r="E73" s="514">
        <f t="shared" si="7"/>
        <v>-3053421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801684</v>
      </c>
      <c r="D74" s="514">
        <f t="shared" si="6"/>
        <v>1254979</v>
      </c>
      <c r="E74" s="514">
        <f t="shared" si="7"/>
        <v>453295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3423922</v>
      </c>
      <c r="D75" s="514">
        <f t="shared" si="6"/>
        <v>350457</v>
      </c>
      <c r="E75" s="514">
        <f t="shared" si="7"/>
        <v>-3073465</v>
      </c>
    </row>
    <row r="76" spans="1:5" s="506" customFormat="1" x14ac:dyDescent="0.2">
      <c r="A76" s="512"/>
      <c r="B76" s="516" t="s">
        <v>766</v>
      </c>
      <c r="C76" s="517">
        <f>SUM(C70+C71+C74)</f>
        <v>78264668</v>
      </c>
      <c r="D76" s="517">
        <f>SUM(D70+D71+D74)</f>
        <v>74780234</v>
      </c>
      <c r="E76" s="517">
        <f t="shared" si="7"/>
        <v>-3484434</v>
      </c>
    </row>
    <row r="77" spans="1:5" s="506" customFormat="1" x14ac:dyDescent="0.2">
      <c r="A77" s="512"/>
      <c r="B77" s="516" t="s">
        <v>700</v>
      </c>
      <c r="C77" s="517">
        <f>SUM(C69+C76)</f>
        <v>158948684</v>
      </c>
      <c r="D77" s="517">
        <f>SUM(D69+D76)</f>
        <v>159871732</v>
      </c>
      <c r="E77" s="517">
        <f t="shared" si="7"/>
        <v>923048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0.11285823519812563</v>
      </c>
      <c r="D83" s="523">
        <f t="shared" si="8"/>
        <v>0.10509842233946055</v>
      </c>
      <c r="E83" s="523">
        <f t="shared" ref="E83:E91" si="9">D83-C83</f>
        <v>-7.7598128586650744E-3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0.21794898008094188</v>
      </c>
      <c r="D84" s="523">
        <f t="shared" si="8"/>
        <v>0.1932963120319062</v>
      </c>
      <c r="E84" s="523">
        <f t="shared" si="9"/>
        <v>-2.4652668049035681E-2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5.1085396880084358E-2</v>
      </c>
      <c r="D85" s="523">
        <f t="shared" si="8"/>
        <v>5.7296770988528048E-2</v>
      </c>
      <c r="E85" s="523">
        <f t="shared" si="9"/>
        <v>6.2113741084436902E-3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3.8533860439342205E-2</v>
      </c>
      <c r="D86" s="523">
        <f t="shared" si="8"/>
        <v>5.7296770988528048E-2</v>
      </c>
      <c r="E86" s="523">
        <f t="shared" si="9"/>
        <v>1.8762910549185843E-2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1.2551536440742155E-2</v>
      </c>
      <c r="D87" s="523">
        <f t="shared" si="8"/>
        <v>0</v>
      </c>
      <c r="E87" s="523">
        <f t="shared" si="9"/>
        <v>-1.2551536440742155E-2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1.0296082156422085E-3</v>
      </c>
      <c r="D88" s="523">
        <f t="shared" si="8"/>
        <v>1.1703123279703336E-3</v>
      </c>
      <c r="E88" s="523">
        <f t="shared" si="9"/>
        <v>1.4070411232812506E-4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8.3465472792802042E-3</v>
      </c>
      <c r="D89" s="523">
        <f t="shared" si="8"/>
        <v>6.1621088058959944E-3</v>
      </c>
      <c r="E89" s="523">
        <f t="shared" si="9"/>
        <v>-2.1844384733842098E-3</v>
      </c>
    </row>
    <row r="90" spans="1:5" s="506" customFormat="1" x14ac:dyDescent="0.2">
      <c r="A90" s="512"/>
      <c r="B90" s="516" t="s">
        <v>769</v>
      </c>
      <c r="C90" s="524">
        <f>SUM(C84+C85+C88)</f>
        <v>0.27006398517666841</v>
      </c>
      <c r="D90" s="524">
        <f>SUM(D84+D85+D88)</f>
        <v>0.25176339534840458</v>
      </c>
      <c r="E90" s="525">
        <f t="shared" si="9"/>
        <v>-1.8300589828263825E-2</v>
      </c>
    </row>
    <row r="91" spans="1:5" s="506" customFormat="1" x14ac:dyDescent="0.2">
      <c r="A91" s="512"/>
      <c r="B91" s="516" t="s">
        <v>770</v>
      </c>
      <c r="C91" s="524">
        <f>SUM(C83+C90)</f>
        <v>0.38292222037479406</v>
      </c>
      <c r="D91" s="524">
        <f>SUM(D83+D90)</f>
        <v>0.35686181768786512</v>
      </c>
      <c r="E91" s="525">
        <f t="shared" si="9"/>
        <v>-2.6060402686928941E-2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0.30659110352346375</v>
      </c>
      <c r="D95" s="523">
        <f t="shared" si="10"/>
        <v>0.31153225611806457</v>
      </c>
      <c r="E95" s="523">
        <f t="shared" ref="E95:E103" si="11">D95-C95</f>
        <v>4.9411525946008172E-3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0.21067575810289299</v>
      </c>
      <c r="D96" s="523">
        <f t="shared" si="10"/>
        <v>0.21533940748621319</v>
      </c>
      <c r="E96" s="523">
        <f t="shared" si="11"/>
        <v>4.6636493833202008E-3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9.730794428401289E-2</v>
      </c>
      <c r="D97" s="523">
        <f t="shared" si="10"/>
        <v>0.11316603137215163</v>
      </c>
      <c r="E97" s="523">
        <f t="shared" si="11"/>
        <v>1.5858087088138739E-2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7.6095489250545711E-2</v>
      </c>
      <c r="D98" s="523">
        <f t="shared" si="10"/>
        <v>0.11316603137215163</v>
      </c>
      <c r="E98" s="523">
        <f t="shared" si="11"/>
        <v>3.7070542121605918E-2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2.1212455033467175E-2</v>
      </c>
      <c r="D99" s="523">
        <f t="shared" si="10"/>
        <v>0</v>
      </c>
      <c r="E99" s="523">
        <f t="shared" si="11"/>
        <v>-2.1212455033467175E-2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2.5029737148363038E-3</v>
      </c>
      <c r="D100" s="523">
        <f t="shared" si="10"/>
        <v>3.1004873357054715E-3</v>
      </c>
      <c r="E100" s="523">
        <f t="shared" si="11"/>
        <v>5.9751362086916775E-4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2.1169479845379879E-2</v>
      </c>
      <c r="D101" s="523">
        <f t="shared" si="10"/>
        <v>2.0785308227188361E-2</v>
      </c>
      <c r="E101" s="523">
        <f t="shared" si="11"/>
        <v>-3.8417161819151793E-4</v>
      </c>
    </row>
    <row r="102" spans="1:5" s="506" customFormat="1" x14ac:dyDescent="0.2">
      <c r="A102" s="512"/>
      <c r="B102" s="516" t="s">
        <v>772</v>
      </c>
      <c r="C102" s="524">
        <f>SUM(C96+C97+C100)</f>
        <v>0.31048667610174219</v>
      </c>
      <c r="D102" s="524">
        <f>SUM(D96+D97+D100)</f>
        <v>0.33160592619407026</v>
      </c>
      <c r="E102" s="525">
        <f t="shared" si="11"/>
        <v>2.1119250092328068E-2</v>
      </c>
    </row>
    <row r="103" spans="1:5" s="506" customFormat="1" x14ac:dyDescent="0.2">
      <c r="A103" s="512"/>
      <c r="B103" s="516" t="s">
        <v>773</v>
      </c>
      <c r="C103" s="524">
        <f>SUM(C95+C102)</f>
        <v>0.61707777962520594</v>
      </c>
      <c r="D103" s="524">
        <f>SUM(D95+D102)</f>
        <v>0.64313818231213482</v>
      </c>
      <c r="E103" s="525">
        <f t="shared" si="11"/>
        <v>2.6060402686928885E-2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0.15483763929747288</v>
      </c>
      <c r="D109" s="523">
        <f t="shared" si="12"/>
        <v>0.1615121615120802</v>
      </c>
      <c r="E109" s="523">
        <f t="shared" ref="E109:E117" si="13">D109-C109</f>
        <v>6.6745222146073202E-3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0.22643329340178747</v>
      </c>
      <c r="D110" s="523">
        <f t="shared" si="12"/>
        <v>0.1918424140172573</v>
      </c>
      <c r="E110" s="523">
        <f t="shared" si="13"/>
        <v>-3.4590879384530177E-2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4.474978226306045E-2</v>
      </c>
      <c r="D111" s="523">
        <f t="shared" si="12"/>
        <v>5.4457707382565917E-2</v>
      </c>
      <c r="E111" s="523">
        <f t="shared" si="13"/>
        <v>9.7079251195054672E-3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3.5165041064448198E-2</v>
      </c>
      <c r="D112" s="523">
        <f t="shared" si="12"/>
        <v>5.4457707382565917E-2</v>
      </c>
      <c r="E112" s="523">
        <f t="shared" si="13"/>
        <v>1.929266631811772E-2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9.5847411986122507E-3</v>
      </c>
      <c r="D113" s="523">
        <f t="shared" si="12"/>
        <v>0</v>
      </c>
      <c r="E113" s="523">
        <f t="shared" si="13"/>
        <v>-9.5847411986122507E-3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1.6509353421258902E-3</v>
      </c>
      <c r="D114" s="523">
        <f t="shared" si="12"/>
        <v>1.5016225632684082E-3</v>
      </c>
      <c r="E114" s="523">
        <f t="shared" si="13"/>
        <v>-1.4931277885748195E-4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5.252751888150266E-3</v>
      </c>
      <c r="D115" s="523">
        <f t="shared" si="12"/>
        <v>2.3568894593573302E-4</v>
      </c>
      <c r="E115" s="523">
        <f t="shared" si="13"/>
        <v>-5.017062942214533E-3</v>
      </c>
    </row>
    <row r="116" spans="1:5" s="506" customFormat="1" x14ac:dyDescent="0.2">
      <c r="A116" s="512"/>
      <c r="B116" s="516" t="s">
        <v>769</v>
      </c>
      <c r="C116" s="524">
        <f>SUM(C110+C111+C114)</f>
        <v>0.2728340110069738</v>
      </c>
      <c r="D116" s="524">
        <f>SUM(D110+D111+D114)</f>
        <v>0.24780174396309163</v>
      </c>
      <c r="E116" s="525">
        <f t="shared" si="13"/>
        <v>-2.5032267043882173E-2</v>
      </c>
    </row>
    <row r="117" spans="1:5" s="506" customFormat="1" x14ac:dyDescent="0.2">
      <c r="A117" s="512"/>
      <c r="B117" s="516" t="s">
        <v>770</v>
      </c>
      <c r="C117" s="524">
        <f>SUM(C109+C116)</f>
        <v>0.42767165030444665</v>
      </c>
      <c r="D117" s="524">
        <f>SUM(D109+D116)</f>
        <v>0.40931390547517182</v>
      </c>
      <c r="E117" s="525">
        <f t="shared" si="13"/>
        <v>-1.8357744829274825E-2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0.35277282950011718</v>
      </c>
      <c r="D121" s="523">
        <f t="shared" si="14"/>
        <v>0.37073639134653275</v>
      </c>
      <c r="E121" s="523">
        <f t="shared" ref="E121:E129" si="15">D121-C121</f>
        <v>1.7963561846415566E-2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0.16093202130569387</v>
      </c>
      <c r="D122" s="523">
        <f t="shared" si="14"/>
        <v>0.15219127669174184</v>
      </c>
      <c r="E122" s="523">
        <f t="shared" si="15"/>
        <v>-8.7407446139520228E-3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5.5230768692617803E-2</v>
      </c>
      <c r="D123" s="523">
        <f t="shared" si="14"/>
        <v>6.1410137221757255E-2</v>
      </c>
      <c r="E123" s="523">
        <f t="shared" si="15"/>
        <v>6.1793685291394521E-3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4.5605404320302523E-2</v>
      </c>
      <c r="D124" s="523">
        <f t="shared" si="14"/>
        <v>6.1410137221757255E-2</v>
      </c>
      <c r="E124" s="523">
        <f t="shared" si="15"/>
        <v>1.5804732901454732E-2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9.6253643723152819E-3</v>
      </c>
      <c r="D125" s="523">
        <f t="shared" si="14"/>
        <v>0</v>
      </c>
      <c r="E125" s="523">
        <f t="shared" si="15"/>
        <v>-9.6253643723152819E-3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3.3927301971245008E-3</v>
      </c>
      <c r="D126" s="523">
        <f t="shared" si="14"/>
        <v>6.3482892647963559E-3</v>
      </c>
      <c r="E126" s="523">
        <f t="shared" si="15"/>
        <v>2.9555590676718551E-3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1.628830094623495E-2</v>
      </c>
      <c r="D127" s="523">
        <f t="shared" si="14"/>
        <v>1.9564246667447124E-3</v>
      </c>
      <c r="E127" s="523">
        <f t="shared" si="15"/>
        <v>-1.4331876279490237E-2</v>
      </c>
    </row>
    <row r="128" spans="1:5" s="506" customFormat="1" x14ac:dyDescent="0.2">
      <c r="A128" s="512"/>
      <c r="B128" s="516" t="s">
        <v>772</v>
      </c>
      <c r="C128" s="524">
        <f>SUM(C122+C123+C126)</f>
        <v>0.21955552019543617</v>
      </c>
      <c r="D128" s="524">
        <f>SUM(D122+D123+D126)</f>
        <v>0.21994970317829546</v>
      </c>
      <c r="E128" s="525">
        <f t="shared" si="15"/>
        <v>3.9418298285928688E-4</v>
      </c>
    </row>
    <row r="129" spans="1:5" s="506" customFormat="1" x14ac:dyDescent="0.2">
      <c r="A129" s="512"/>
      <c r="B129" s="516" t="s">
        <v>773</v>
      </c>
      <c r="C129" s="524">
        <f>SUM(C121+C128)</f>
        <v>0.57232834969555335</v>
      </c>
      <c r="D129" s="524">
        <f>SUM(D121+D128)</f>
        <v>0.59068609452482823</v>
      </c>
      <c r="E129" s="525">
        <f t="shared" si="15"/>
        <v>1.835774482927488E-2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3650</v>
      </c>
      <c r="D137" s="530">
        <v>3754</v>
      </c>
      <c r="E137" s="531">
        <f t="shared" ref="E137:E145" si="16">D137-C137</f>
        <v>104</v>
      </c>
    </row>
    <row r="138" spans="1:5" s="506" customFormat="1" x14ac:dyDescent="0.2">
      <c r="A138" s="512">
        <v>2</v>
      </c>
      <c r="B138" s="511" t="s">
        <v>604</v>
      </c>
      <c r="C138" s="530">
        <v>3774</v>
      </c>
      <c r="D138" s="530">
        <v>3626</v>
      </c>
      <c r="E138" s="531">
        <f t="shared" si="16"/>
        <v>-148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1651</v>
      </c>
      <c r="D139" s="530">
        <f>D140+D141</f>
        <v>1854</v>
      </c>
      <c r="E139" s="531">
        <f t="shared" si="16"/>
        <v>203</v>
      </c>
    </row>
    <row r="140" spans="1:5" s="506" customFormat="1" x14ac:dyDescent="0.2">
      <c r="A140" s="512">
        <v>4</v>
      </c>
      <c r="B140" s="511" t="s">
        <v>114</v>
      </c>
      <c r="C140" s="530">
        <v>1295</v>
      </c>
      <c r="D140" s="530">
        <v>1854</v>
      </c>
      <c r="E140" s="531">
        <f t="shared" si="16"/>
        <v>559</v>
      </c>
    </row>
    <row r="141" spans="1:5" s="506" customFormat="1" x14ac:dyDescent="0.2">
      <c r="A141" s="512">
        <v>5</v>
      </c>
      <c r="B141" s="511" t="s">
        <v>717</v>
      </c>
      <c r="C141" s="530">
        <v>356</v>
      </c>
      <c r="D141" s="530">
        <v>0</v>
      </c>
      <c r="E141" s="531">
        <f t="shared" si="16"/>
        <v>-356</v>
      </c>
    </row>
    <row r="142" spans="1:5" s="506" customFormat="1" x14ac:dyDescent="0.2">
      <c r="A142" s="512">
        <v>6</v>
      </c>
      <c r="B142" s="511" t="s">
        <v>416</v>
      </c>
      <c r="C142" s="530">
        <v>34</v>
      </c>
      <c r="D142" s="530">
        <v>47</v>
      </c>
      <c r="E142" s="531">
        <f t="shared" si="16"/>
        <v>13</v>
      </c>
    </row>
    <row r="143" spans="1:5" s="506" customFormat="1" x14ac:dyDescent="0.2">
      <c r="A143" s="512">
        <v>7</v>
      </c>
      <c r="B143" s="511" t="s">
        <v>732</v>
      </c>
      <c r="C143" s="530">
        <v>185</v>
      </c>
      <c r="D143" s="530">
        <v>216</v>
      </c>
      <c r="E143" s="531">
        <f t="shared" si="16"/>
        <v>31</v>
      </c>
    </row>
    <row r="144" spans="1:5" s="506" customFormat="1" x14ac:dyDescent="0.2">
      <c r="A144" s="512"/>
      <c r="B144" s="516" t="s">
        <v>780</v>
      </c>
      <c r="C144" s="532">
        <f>SUM(C138+C139+C142)</f>
        <v>5459</v>
      </c>
      <c r="D144" s="532">
        <f>SUM(D138+D139+D142)</f>
        <v>5527</v>
      </c>
      <c r="E144" s="533">
        <f t="shared" si="16"/>
        <v>68</v>
      </c>
    </row>
    <row r="145" spans="1:5" s="506" customFormat="1" x14ac:dyDescent="0.2">
      <c r="A145" s="512"/>
      <c r="B145" s="516" t="s">
        <v>694</v>
      </c>
      <c r="C145" s="532">
        <f>SUM(C137+C144)</f>
        <v>9109</v>
      </c>
      <c r="D145" s="532">
        <f>SUM(D137+D144)</f>
        <v>9281</v>
      </c>
      <c r="E145" s="533">
        <f t="shared" si="16"/>
        <v>172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13952</v>
      </c>
      <c r="D149" s="534">
        <v>13397</v>
      </c>
      <c r="E149" s="531">
        <f t="shared" ref="E149:E157" si="17">D149-C149</f>
        <v>-555</v>
      </c>
    </row>
    <row r="150" spans="1:5" s="506" customFormat="1" x14ac:dyDescent="0.2">
      <c r="A150" s="512">
        <v>2</v>
      </c>
      <c r="B150" s="511" t="s">
        <v>604</v>
      </c>
      <c r="C150" s="534">
        <v>22745</v>
      </c>
      <c r="D150" s="534">
        <v>20921</v>
      </c>
      <c r="E150" s="531">
        <f t="shared" si="17"/>
        <v>-1824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8111</v>
      </c>
      <c r="D151" s="534">
        <f>D152+D153</f>
        <v>8967</v>
      </c>
      <c r="E151" s="531">
        <f t="shared" si="17"/>
        <v>856</v>
      </c>
    </row>
    <row r="152" spans="1:5" s="506" customFormat="1" x14ac:dyDescent="0.2">
      <c r="A152" s="512">
        <v>4</v>
      </c>
      <c r="B152" s="511" t="s">
        <v>114</v>
      </c>
      <c r="C152" s="534">
        <v>6138</v>
      </c>
      <c r="D152" s="534">
        <v>8967</v>
      </c>
      <c r="E152" s="531">
        <f t="shared" si="17"/>
        <v>2829</v>
      </c>
    </row>
    <row r="153" spans="1:5" s="506" customFormat="1" x14ac:dyDescent="0.2">
      <c r="A153" s="512">
        <v>5</v>
      </c>
      <c r="B153" s="511" t="s">
        <v>717</v>
      </c>
      <c r="C153" s="535">
        <v>1973</v>
      </c>
      <c r="D153" s="534">
        <v>0</v>
      </c>
      <c r="E153" s="531">
        <f t="shared" si="17"/>
        <v>-1973</v>
      </c>
    </row>
    <row r="154" spans="1:5" s="506" customFormat="1" x14ac:dyDescent="0.2">
      <c r="A154" s="512">
        <v>6</v>
      </c>
      <c r="B154" s="511" t="s">
        <v>416</v>
      </c>
      <c r="C154" s="534">
        <v>127</v>
      </c>
      <c r="D154" s="534">
        <v>190</v>
      </c>
      <c r="E154" s="531">
        <f t="shared" si="17"/>
        <v>63</v>
      </c>
    </row>
    <row r="155" spans="1:5" s="506" customFormat="1" x14ac:dyDescent="0.2">
      <c r="A155" s="512">
        <v>7</v>
      </c>
      <c r="B155" s="511" t="s">
        <v>732</v>
      </c>
      <c r="C155" s="534">
        <v>1019</v>
      </c>
      <c r="D155" s="534">
        <v>1246</v>
      </c>
      <c r="E155" s="531">
        <f t="shared" si="17"/>
        <v>227</v>
      </c>
    </row>
    <row r="156" spans="1:5" s="506" customFormat="1" x14ac:dyDescent="0.2">
      <c r="A156" s="512"/>
      <c r="B156" s="516" t="s">
        <v>781</v>
      </c>
      <c r="C156" s="532">
        <f>SUM(C150+C151+C154)</f>
        <v>30983</v>
      </c>
      <c r="D156" s="532">
        <f>SUM(D150+D151+D154)</f>
        <v>30078</v>
      </c>
      <c r="E156" s="533">
        <f t="shared" si="17"/>
        <v>-905</v>
      </c>
    </row>
    <row r="157" spans="1:5" s="506" customFormat="1" x14ac:dyDescent="0.2">
      <c r="A157" s="512"/>
      <c r="B157" s="516" t="s">
        <v>782</v>
      </c>
      <c r="C157" s="532">
        <f>SUM(C149+C156)</f>
        <v>44935</v>
      </c>
      <c r="D157" s="532">
        <f>SUM(D149+D156)</f>
        <v>43475</v>
      </c>
      <c r="E157" s="533">
        <f t="shared" si="17"/>
        <v>-1460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3.8224657534246576</v>
      </c>
      <c r="D161" s="536">
        <f t="shared" si="18"/>
        <v>3.5687266915290357</v>
      </c>
      <c r="E161" s="537">
        <f t="shared" ref="E161:E169" si="19">D161-C161</f>
        <v>-0.2537390618956219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6.0267620561738209</v>
      </c>
      <c r="D162" s="536">
        <f t="shared" si="18"/>
        <v>5.7697186982901272</v>
      </c>
      <c r="E162" s="537">
        <f t="shared" si="19"/>
        <v>-0.2570433578836937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4.912780133252574</v>
      </c>
      <c r="D163" s="536">
        <f t="shared" si="18"/>
        <v>4.8365695792880263</v>
      </c>
      <c r="E163" s="537">
        <f t="shared" si="19"/>
        <v>-7.6210553964547678E-2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4.7397683397683394</v>
      </c>
      <c r="D164" s="536">
        <f t="shared" si="18"/>
        <v>4.8365695792880263</v>
      </c>
      <c r="E164" s="537">
        <f t="shared" si="19"/>
        <v>9.6801239519686888E-2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5.5421348314606744</v>
      </c>
      <c r="D165" s="536">
        <f t="shared" si="18"/>
        <v>0</v>
      </c>
      <c r="E165" s="537">
        <f t="shared" si="19"/>
        <v>-5.5421348314606744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3.7352941176470589</v>
      </c>
      <c r="D166" s="536">
        <f t="shared" si="18"/>
        <v>4.042553191489362</v>
      </c>
      <c r="E166" s="537">
        <f t="shared" si="19"/>
        <v>0.30725907384230311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5.5081081081081082</v>
      </c>
      <c r="D167" s="536">
        <f t="shared" si="18"/>
        <v>5.7685185185185182</v>
      </c>
      <c r="E167" s="537">
        <f t="shared" si="19"/>
        <v>0.26041041041040991</v>
      </c>
    </row>
    <row r="168" spans="1:5" s="506" customFormat="1" x14ac:dyDescent="0.2">
      <c r="A168" s="512"/>
      <c r="B168" s="516" t="s">
        <v>784</v>
      </c>
      <c r="C168" s="538">
        <f t="shared" si="18"/>
        <v>5.6755816083531778</v>
      </c>
      <c r="D168" s="538">
        <f t="shared" si="18"/>
        <v>5.442011941378686</v>
      </c>
      <c r="E168" s="539">
        <f t="shared" si="19"/>
        <v>-0.23356966697449177</v>
      </c>
    </row>
    <row r="169" spans="1:5" s="506" customFormat="1" x14ac:dyDescent="0.2">
      <c r="A169" s="512"/>
      <c r="B169" s="516" t="s">
        <v>718</v>
      </c>
      <c r="C169" s="538">
        <f t="shared" si="18"/>
        <v>4.9330332638050276</v>
      </c>
      <c r="D169" s="538">
        <f t="shared" si="18"/>
        <v>4.6843012606400176</v>
      </c>
      <c r="E169" s="539">
        <f t="shared" si="19"/>
        <v>-0.24873200316500998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1.01037</v>
      </c>
      <c r="D173" s="541">
        <f t="shared" si="20"/>
        <v>0.98160000000000003</v>
      </c>
      <c r="E173" s="542">
        <f t="shared" ref="E173:E181" si="21">D173-C173</f>
        <v>-2.8769999999999962E-2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1.4590099999999999</v>
      </c>
      <c r="D174" s="541">
        <f t="shared" si="20"/>
        <v>1.3673</v>
      </c>
      <c r="E174" s="542">
        <f t="shared" si="21"/>
        <v>-9.1709999999999958E-2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0.93160657177468198</v>
      </c>
      <c r="D175" s="541">
        <f t="shared" si="20"/>
        <v>0.92749999999999999</v>
      </c>
      <c r="E175" s="542">
        <f t="shared" si="21"/>
        <v>-4.1065717746819885E-3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0.91630999999999985</v>
      </c>
      <c r="D176" s="541">
        <f t="shared" si="20"/>
        <v>0.92749999999999999</v>
      </c>
      <c r="E176" s="542">
        <f t="shared" si="21"/>
        <v>1.1190000000000144E-2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0.98725000000000007</v>
      </c>
      <c r="D177" s="541">
        <f t="shared" si="20"/>
        <v>0</v>
      </c>
      <c r="E177" s="542">
        <f t="shared" si="21"/>
        <v>-0.98725000000000007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0.89983000000000002</v>
      </c>
      <c r="D178" s="541">
        <f t="shared" si="20"/>
        <v>0.84570000000000001</v>
      </c>
      <c r="E178" s="542">
        <f t="shared" si="21"/>
        <v>-5.4130000000000011E-2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1.0976300000000001</v>
      </c>
      <c r="D179" s="541">
        <f t="shared" si="20"/>
        <v>1.0310999999999999</v>
      </c>
      <c r="E179" s="542">
        <f t="shared" si="21"/>
        <v>-6.65300000000002E-2</v>
      </c>
    </row>
    <row r="180" spans="1:5" s="506" customFormat="1" x14ac:dyDescent="0.2">
      <c r="A180" s="512"/>
      <c r="B180" s="516" t="s">
        <v>786</v>
      </c>
      <c r="C180" s="543">
        <f t="shared" si="20"/>
        <v>1.2960213244183916</v>
      </c>
      <c r="D180" s="543">
        <f t="shared" si="20"/>
        <v>1.2153361136240275</v>
      </c>
      <c r="E180" s="544">
        <f t="shared" si="21"/>
        <v>-8.0685210794364082E-2</v>
      </c>
    </row>
    <row r="181" spans="1:5" s="506" customFormat="1" x14ac:dyDescent="0.2">
      <c r="A181" s="512"/>
      <c r="B181" s="516" t="s">
        <v>695</v>
      </c>
      <c r="C181" s="543">
        <f t="shared" si="20"/>
        <v>1.181560095509935</v>
      </c>
      <c r="D181" s="543">
        <f t="shared" si="20"/>
        <v>1.120793998491542</v>
      </c>
      <c r="E181" s="544">
        <f t="shared" si="21"/>
        <v>-6.0766097018392973E-2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788</v>
      </c>
      <c r="C185" s="513">
        <v>175831221</v>
      </c>
      <c r="D185" s="513">
        <v>175535197</v>
      </c>
      <c r="E185" s="514">
        <f>D185-C185</f>
        <v>-296024</v>
      </c>
    </row>
    <row r="186" spans="1:5" s="506" customFormat="1" ht="25.5" x14ac:dyDescent="0.2">
      <c r="A186" s="512">
        <v>2</v>
      </c>
      <c r="B186" s="511" t="s">
        <v>789</v>
      </c>
      <c r="C186" s="513">
        <v>80709016</v>
      </c>
      <c r="D186" s="513">
        <v>85091498</v>
      </c>
      <c r="E186" s="514">
        <f>D186-C186</f>
        <v>4382482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95122205</v>
      </c>
      <c r="D188" s="546">
        <f>+D185-D186</f>
        <v>90443699</v>
      </c>
      <c r="E188" s="514">
        <f t="shared" ref="E188:E197" si="22">D188-C188</f>
        <v>-4678506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0.54098586393823656</v>
      </c>
      <c r="D189" s="547">
        <f>IF(D185=0,0,+D188/D185)</f>
        <v>0.5152453783955363</v>
      </c>
      <c r="E189" s="523">
        <f t="shared" si="22"/>
        <v>-2.5740485542700253E-2</v>
      </c>
    </row>
    <row r="190" spans="1:5" s="506" customFormat="1" x14ac:dyDescent="0.2">
      <c r="A190" s="512">
        <v>5</v>
      </c>
      <c r="B190" s="511" t="s">
        <v>736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722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790</v>
      </c>
      <c r="C192" s="513">
        <v>649453</v>
      </c>
      <c r="D192" s="513">
        <v>0</v>
      </c>
      <c r="E192" s="546">
        <f t="shared" si="22"/>
        <v>-649453</v>
      </c>
    </row>
    <row r="193" spans="1:5" s="506" customFormat="1" x14ac:dyDescent="0.2">
      <c r="A193" s="512">
        <v>8</v>
      </c>
      <c r="B193" s="511" t="s">
        <v>791</v>
      </c>
      <c r="C193" s="513">
        <v>2236613</v>
      </c>
      <c r="D193" s="513">
        <v>4838371</v>
      </c>
      <c r="E193" s="546">
        <f t="shared" si="22"/>
        <v>2601758</v>
      </c>
    </row>
    <row r="194" spans="1:5" s="506" customFormat="1" x14ac:dyDescent="0.2">
      <c r="A194" s="512">
        <v>9</v>
      </c>
      <c r="B194" s="511" t="s">
        <v>792</v>
      </c>
      <c r="C194" s="513">
        <v>6712599</v>
      </c>
      <c r="D194" s="513">
        <v>6164670</v>
      </c>
      <c r="E194" s="546">
        <f t="shared" si="22"/>
        <v>-547929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8949212</v>
      </c>
      <c r="D195" s="513">
        <f>+D193+D194</f>
        <v>11003041</v>
      </c>
      <c r="E195" s="549">
        <f t="shared" si="22"/>
        <v>2053829</v>
      </c>
    </row>
    <row r="196" spans="1:5" s="506" customFormat="1" x14ac:dyDescent="0.2">
      <c r="A196" s="512">
        <v>11</v>
      </c>
      <c r="B196" s="511" t="s">
        <v>794</v>
      </c>
      <c r="C196" s="513">
        <v>175831221</v>
      </c>
      <c r="D196" s="513">
        <v>175535197</v>
      </c>
      <c r="E196" s="546">
        <f t="shared" si="22"/>
        <v>-296024</v>
      </c>
    </row>
    <row r="197" spans="1:5" s="506" customFormat="1" x14ac:dyDescent="0.2">
      <c r="A197" s="512">
        <v>12</v>
      </c>
      <c r="B197" s="511" t="s">
        <v>679</v>
      </c>
      <c r="C197" s="513">
        <v>170234748</v>
      </c>
      <c r="D197" s="513">
        <v>173322666</v>
      </c>
      <c r="E197" s="546">
        <f t="shared" si="22"/>
        <v>3087918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3687.8505</v>
      </c>
      <c r="D203" s="553">
        <v>3684.9264000000003</v>
      </c>
      <c r="E203" s="554">
        <f t="shared" ref="E203:E211" si="23">D203-C203</f>
        <v>-2.9240999999997257</v>
      </c>
    </row>
    <row r="204" spans="1:5" s="506" customFormat="1" x14ac:dyDescent="0.2">
      <c r="A204" s="512">
        <v>2</v>
      </c>
      <c r="B204" s="511" t="s">
        <v>604</v>
      </c>
      <c r="C204" s="553">
        <v>5506.3037399999994</v>
      </c>
      <c r="D204" s="553">
        <v>4957.8297999999995</v>
      </c>
      <c r="E204" s="554">
        <f t="shared" si="23"/>
        <v>-548.47393999999986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1538.0824499999999</v>
      </c>
      <c r="D205" s="553">
        <f>D206+D207</f>
        <v>1719.585</v>
      </c>
      <c r="E205" s="554">
        <f t="shared" si="23"/>
        <v>181.50255000000016</v>
      </c>
    </row>
    <row r="206" spans="1:5" s="506" customFormat="1" x14ac:dyDescent="0.2">
      <c r="A206" s="512">
        <v>4</v>
      </c>
      <c r="B206" s="511" t="s">
        <v>114</v>
      </c>
      <c r="C206" s="553">
        <v>1186.6214499999999</v>
      </c>
      <c r="D206" s="553">
        <v>1719.585</v>
      </c>
      <c r="E206" s="554">
        <f t="shared" si="23"/>
        <v>532.96355000000017</v>
      </c>
    </row>
    <row r="207" spans="1:5" s="506" customFormat="1" x14ac:dyDescent="0.2">
      <c r="A207" s="512">
        <v>5</v>
      </c>
      <c r="B207" s="511" t="s">
        <v>717</v>
      </c>
      <c r="C207" s="553">
        <v>351.46100000000001</v>
      </c>
      <c r="D207" s="553">
        <v>0</v>
      </c>
      <c r="E207" s="554">
        <f t="shared" si="23"/>
        <v>-351.46100000000001</v>
      </c>
    </row>
    <row r="208" spans="1:5" s="506" customFormat="1" x14ac:dyDescent="0.2">
      <c r="A208" s="512">
        <v>6</v>
      </c>
      <c r="B208" s="511" t="s">
        <v>416</v>
      </c>
      <c r="C208" s="553">
        <v>30.59422</v>
      </c>
      <c r="D208" s="553">
        <v>39.747900000000001</v>
      </c>
      <c r="E208" s="554">
        <f t="shared" si="23"/>
        <v>9.1536800000000014</v>
      </c>
    </row>
    <row r="209" spans="1:5" s="506" customFormat="1" x14ac:dyDescent="0.2">
      <c r="A209" s="512">
        <v>7</v>
      </c>
      <c r="B209" s="511" t="s">
        <v>732</v>
      </c>
      <c r="C209" s="553">
        <v>203.06155000000001</v>
      </c>
      <c r="D209" s="553">
        <v>222.71759999999998</v>
      </c>
      <c r="E209" s="554">
        <f t="shared" si="23"/>
        <v>19.656049999999965</v>
      </c>
    </row>
    <row r="210" spans="1:5" s="506" customFormat="1" x14ac:dyDescent="0.2">
      <c r="A210" s="512"/>
      <c r="B210" s="516" t="s">
        <v>797</v>
      </c>
      <c r="C210" s="555">
        <f>C204+C205+C208</f>
        <v>7074.9804099999992</v>
      </c>
      <c r="D210" s="555">
        <f>D204+D205+D208</f>
        <v>6717.1626999999999</v>
      </c>
      <c r="E210" s="556">
        <f t="shared" si="23"/>
        <v>-357.81770999999935</v>
      </c>
    </row>
    <row r="211" spans="1:5" s="506" customFormat="1" x14ac:dyDescent="0.2">
      <c r="A211" s="512"/>
      <c r="B211" s="516" t="s">
        <v>696</v>
      </c>
      <c r="C211" s="555">
        <f>C210+C203</f>
        <v>10762.830909999999</v>
      </c>
      <c r="D211" s="555">
        <f>D210+D203</f>
        <v>10402.089100000001</v>
      </c>
      <c r="E211" s="556">
        <f t="shared" si="23"/>
        <v>-360.74180999999771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9915.6036411176156</v>
      </c>
      <c r="D215" s="557">
        <f>IF(D14*D137=0,0,D25/D14*D137)</f>
        <v>11127.589391302534</v>
      </c>
      <c r="E215" s="557">
        <f t="shared" ref="E215:E223" si="24">D215-C215</f>
        <v>1211.9857501849183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3648.0570397027673</v>
      </c>
      <c r="D216" s="557">
        <f>IF(D15*D138=0,0,D26/D15*D138)</f>
        <v>4039.5012369202573</v>
      </c>
      <c r="E216" s="557">
        <f t="shared" si="24"/>
        <v>391.44419721749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3158.9765662851264</v>
      </c>
      <c r="D217" s="557">
        <f>D218+D219</f>
        <v>3661.8088339738588</v>
      </c>
      <c r="E217" s="557">
        <f t="shared" si="24"/>
        <v>502.83226768873237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2557.326399585073</v>
      </c>
      <c r="D218" s="557">
        <f t="shared" si="25"/>
        <v>3661.8088339738588</v>
      </c>
      <c r="E218" s="557">
        <f t="shared" si="24"/>
        <v>1104.4824343887858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601.65016670005355</v>
      </c>
      <c r="D219" s="557">
        <f t="shared" si="25"/>
        <v>0</v>
      </c>
      <c r="E219" s="557">
        <f t="shared" si="24"/>
        <v>-601.65016670005355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82.653872620230899</v>
      </c>
      <c r="D220" s="557">
        <f t="shared" si="25"/>
        <v>124.5162520255457</v>
      </c>
      <c r="E220" s="557">
        <f t="shared" si="24"/>
        <v>41.862379405314798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469.21842533826981</v>
      </c>
      <c r="D221" s="557">
        <f t="shared" si="25"/>
        <v>728.58606014501834</v>
      </c>
      <c r="E221" s="557">
        <f t="shared" si="24"/>
        <v>259.36763480674853</v>
      </c>
    </row>
    <row r="222" spans="1:5" s="506" customFormat="1" x14ac:dyDescent="0.2">
      <c r="A222" s="512"/>
      <c r="B222" s="516" t="s">
        <v>799</v>
      </c>
      <c r="C222" s="558">
        <f>C216+C218+C219+C220</f>
        <v>6889.6874786081244</v>
      </c>
      <c r="D222" s="558">
        <f>D216+D218+D219+D220</f>
        <v>7825.8263229196618</v>
      </c>
      <c r="E222" s="558">
        <f t="shared" si="24"/>
        <v>936.13884431153747</v>
      </c>
    </row>
    <row r="223" spans="1:5" s="506" customFormat="1" x14ac:dyDescent="0.2">
      <c r="A223" s="512"/>
      <c r="B223" s="516" t="s">
        <v>800</v>
      </c>
      <c r="C223" s="558">
        <f>C215+C222</f>
        <v>16805.291119725742</v>
      </c>
      <c r="D223" s="558">
        <f>D215+D222</f>
        <v>18953.415714222196</v>
      </c>
      <c r="E223" s="558">
        <f t="shared" si="24"/>
        <v>2148.1245944964539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6673.5999737516477</v>
      </c>
      <c r="D227" s="560">
        <f t="shared" si="26"/>
        <v>7007.2577297608977</v>
      </c>
      <c r="E227" s="560">
        <f t="shared" ref="E227:E235" si="27">D227-C227</f>
        <v>333.65775600925008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6536.3764331678522</v>
      </c>
      <c r="D228" s="560">
        <f t="shared" si="26"/>
        <v>6186.2105472035373</v>
      </c>
      <c r="E228" s="560">
        <f t="shared" si="27"/>
        <v>-350.16588596431484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4624.5368705689352</v>
      </c>
      <c r="D229" s="560">
        <f t="shared" si="26"/>
        <v>5062.9936874303976</v>
      </c>
      <c r="E229" s="560">
        <f t="shared" si="27"/>
        <v>438.45681686146236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4710.3792030727245</v>
      </c>
      <c r="D230" s="560">
        <f t="shared" si="26"/>
        <v>5062.9936874303976</v>
      </c>
      <c r="E230" s="560">
        <f t="shared" si="27"/>
        <v>352.61448435767306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4334.7113904529942</v>
      </c>
      <c r="D231" s="560">
        <f t="shared" si="26"/>
        <v>0</v>
      </c>
      <c r="E231" s="560">
        <f t="shared" si="27"/>
        <v>-4334.7113904529942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8577.2410605663426</v>
      </c>
      <c r="D232" s="560">
        <f t="shared" si="26"/>
        <v>6039.7404642761003</v>
      </c>
      <c r="E232" s="560">
        <f t="shared" si="27"/>
        <v>-2537.5005962902424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4111.6498913752994</v>
      </c>
      <c r="D233" s="560">
        <f t="shared" si="26"/>
        <v>169.18285757389629</v>
      </c>
      <c r="E233" s="560">
        <f t="shared" si="27"/>
        <v>-3942.467033801403</v>
      </c>
    </row>
    <row r="234" spans="1:5" x14ac:dyDescent="0.2">
      <c r="A234" s="512"/>
      <c r="B234" s="516" t="s">
        <v>802</v>
      </c>
      <c r="C234" s="561">
        <f t="shared" si="26"/>
        <v>6129.5727319194093</v>
      </c>
      <c r="D234" s="561">
        <f t="shared" si="26"/>
        <v>5897.801760853582</v>
      </c>
      <c r="E234" s="561">
        <f t="shared" si="27"/>
        <v>-231.77097106582733</v>
      </c>
    </row>
    <row r="235" spans="1:5" s="506" customFormat="1" x14ac:dyDescent="0.2">
      <c r="A235" s="512"/>
      <c r="B235" s="516" t="s">
        <v>803</v>
      </c>
      <c r="C235" s="561">
        <f t="shared" si="26"/>
        <v>6315.9819724418594</v>
      </c>
      <c r="D235" s="561">
        <f t="shared" si="26"/>
        <v>6290.8250805119515</v>
      </c>
      <c r="E235" s="561">
        <f t="shared" si="27"/>
        <v>-25.156891929907943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5655.0038736401002</v>
      </c>
      <c r="D239" s="560">
        <f t="shared" si="28"/>
        <v>5326.4248810552263</v>
      </c>
      <c r="E239" s="562">
        <f t="shared" ref="E239:E247" si="29">D239-C239</f>
        <v>-328.57899258487396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7011.9333995074203</v>
      </c>
      <c r="D240" s="560">
        <f t="shared" si="28"/>
        <v>6023.2889094372895</v>
      </c>
      <c r="E240" s="562">
        <f t="shared" si="29"/>
        <v>-988.64449007013081</v>
      </c>
    </row>
    <row r="241" spans="1:5" x14ac:dyDescent="0.2">
      <c r="A241" s="512">
        <v>3</v>
      </c>
      <c r="B241" s="511" t="s">
        <v>750</v>
      </c>
      <c r="C241" s="560">
        <f t="shared" si="28"/>
        <v>2779.0196653227176</v>
      </c>
      <c r="D241" s="560">
        <f t="shared" si="28"/>
        <v>2681.1189346947999</v>
      </c>
      <c r="E241" s="562">
        <f t="shared" si="29"/>
        <v>-97.90073062791771</v>
      </c>
    </row>
    <row r="242" spans="1:5" x14ac:dyDescent="0.2">
      <c r="A242" s="512">
        <v>4</v>
      </c>
      <c r="B242" s="511" t="s">
        <v>114</v>
      </c>
      <c r="C242" s="560">
        <f t="shared" si="28"/>
        <v>2834.5693381869987</v>
      </c>
      <c r="D242" s="560">
        <f t="shared" si="28"/>
        <v>2681.1189346947999</v>
      </c>
      <c r="E242" s="562">
        <f t="shared" si="29"/>
        <v>-153.4504034921988</v>
      </c>
    </row>
    <row r="243" spans="1:5" x14ac:dyDescent="0.2">
      <c r="A243" s="512">
        <v>5</v>
      </c>
      <c r="B243" s="511" t="s">
        <v>717</v>
      </c>
      <c r="C243" s="560">
        <f t="shared" si="28"/>
        <v>2542.9046390719864</v>
      </c>
      <c r="D243" s="560">
        <f t="shared" si="28"/>
        <v>0</v>
      </c>
      <c r="E243" s="562">
        <f t="shared" si="29"/>
        <v>-2542.9046390719864</v>
      </c>
    </row>
    <row r="244" spans="1:5" x14ac:dyDescent="0.2">
      <c r="A244" s="512">
        <v>6</v>
      </c>
      <c r="B244" s="511" t="s">
        <v>416</v>
      </c>
      <c r="C244" s="560">
        <f t="shared" si="28"/>
        <v>6524.4371849069876</v>
      </c>
      <c r="D244" s="560">
        <f t="shared" si="28"/>
        <v>8150.8396172395323</v>
      </c>
      <c r="E244" s="562">
        <f t="shared" si="29"/>
        <v>1626.4024323325448</v>
      </c>
    </row>
    <row r="245" spans="1:5" x14ac:dyDescent="0.2">
      <c r="A245" s="512">
        <v>7</v>
      </c>
      <c r="B245" s="511" t="s">
        <v>732</v>
      </c>
      <c r="C245" s="560">
        <f t="shared" si="28"/>
        <v>5517.6946602928701</v>
      </c>
      <c r="D245" s="560">
        <f t="shared" si="28"/>
        <v>429.29314340401271</v>
      </c>
      <c r="E245" s="562">
        <f t="shared" si="29"/>
        <v>-5088.4015168888573</v>
      </c>
    </row>
    <row r="246" spans="1:5" ht="25.5" x14ac:dyDescent="0.2">
      <c r="A246" s="512"/>
      <c r="B246" s="516" t="s">
        <v>805</v>
      </c>
      <c r="C246" s="561">
        <f t="shared" si="28"/>
        <v>5065.2603776811966</v>
      </c>
      <c r="D246" s="561">
        <f t="shared" si="28"/>
        <v>4493.2941965521541</v>
      </c>
      <c r="E246" s="563">
        <f t="shared" si="29"/>
        <v>-571.96618112904252</v>
      </c>
    </row>
    <row r="247" spans="1:5" x14ac:dyDescent="0.2">
      <c r="A247" s="512"/>
      <c r="B247" s="516" t="s">
        <v>806</v>
      </c>
      <c r="C247" s="561">
        <f t="shared" si="28"/>
        <v>5413.225950797133</v>
      </c>
      <c r="D247" s="561">
        <f t="shared" si="28"/>
        <v>4982.4269368575578</v>
      </c>
      <c r="E247" s="563">
        <f t="shared" si="29"/>
        <v>-430.79901393957516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10682883.394692631</v>
      </c>
      <c r="D251" s="546">
        <f>((IF((IF(D15=0,0,D26/D15)*D138)=0,0,D59/(IF(D15=0,0,D26/D15)*D138)))-(IF((IF(D17=0,0,D28/D17)*D140)=0,0,D61/(IF(D17=0,0,D28/D17)*D140))))*(IF(D17=0,0,D28/D17)*D140)</f>
        <v>12238387.538154237</v>
      </c>
      <c r="E251" s="546">
        <f>D251-C251</f>
        <v>1555504.1434616055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3462591.2962809196</v>
      </c>
      <c r="D252" s="546">
        <f>IF(D231=0,0,(D228-D231)*D207)+IF(D243=0,0,(D240-D243)*D219)</f>
        <v>0</v>
      </c>
      <c r="E252" s="546">
        <f>D252-C252</f>
        <v>-3462591.2962809196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1193493.0781962285</v>
      </c>
      <c r="D253" s="546">
        <f>IF(D233=0,0,(D228-D233)*D209+IF(D221=0,0,(D240-D245)*D221))</f>
        <v>5415805.3018099573</v>
      </c>
      <c r="E253" s="546">
        <f>D253-C253</f>
        <v>4222312.2236137288</v>
      </c>
    </row>
    <row r="254" spans="1:5" ht="15" customHeight="1" x14ac:dyDescent="0.2">
      <c r="A254" s="512"/>
      <c r="B254" s="516" t="s">
        <v>733</v>
      </c>
      <c r="C254" s="564">
        <f>+C251+C252+C253</f>
        <v>15338967.769169778</v>
      </c>
      <c r="D254" s="564">
        <f>+D251+D252+D253</f>
        <v>17654192.839964196</v>
      </c>
      <c r="E254" s="564">
        <f>D254-C254</f>
        <v>2315225.0707944185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419195373</v>
      </c>
      <c r="D258" s="549">
        <f>+D44</f>
        <v>421320863</v>
      </c>
      <c r="E258" s="546">
        <f t="shared" ref="E258:E271" si="30">D258-C258</f>
        <v>2125490</v>
      </c>
    </row>
    <row r="259" spans="1:5" x14ac:dyDescent="0.2">
      <c r="A259" s="512">
        <v>2</v>
      </c>
      <c r="B259" s="511" t="s">
        <v>716</v>
      </c>
      <c r="C259" s="546">
        <f>+(C43-C76)</f>
        <v>165099483</v>
      </c>
      <c r="D259" s="549">
        <f>+(D43-D76)</f>
        <v>171005432</v>
      </c>
      <c r="E259" s="546">
        <f t="shared" si="30"/>
        <v>5905949</v>
      </c>
    </row>
    <row r="260" spans="1:5" x14ac:dyDescent="0.2">
      <c r="A260" s="512">
        <v>3</v>
      </c>
      <c r="B260" s="511" t="s">
        <v>720</v>
      </c>
      <c r="C260" s="546">
        <f>C195</f>
        <v>8949212</v>
      </c>
      <c r="D260" s="546">
        <f>D195</f>
        <v>11003041</v>
      </c>
      <c r="E260" s="546">
        <f t="shared" si="30"/>
        <v>2053829</v>
      </c>
    </row>
    <row r="261" spans="1:5" x14ac:dyDescent="0.2">
      <c r="A261" s="512">
        <v>4</v>
      </c>
      <c r="B261" s="511" t="s">
        <v>721</v>
      </c>
      <c r="C261" s="546">
        <f>C188</f>
        <v>95122205</v>
      </c>
      <c r="D261" s="546">
        <f>D188</f>
        <v>90443699</v>
      </c>
      <c r="E261" s="546">
        <f t="shared" si="30"/>
        <v>-4678506</v>
      </c>
    </row>
    <row r="262" spans="1:5" x14ac:dyDescent="0.2">
      <c r="A262" s="512">
        <v>5</v>
      </c>
      <c r="B262" s="511" t="s">
        <v>722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723</v>
      </c>
      <c r="C263" s="546">
        <f>+C259+C260+C261+C262</f>
        <v>269170900</v>
      </c>
      <c r="D263" s="546">
        <f>+D259+D260+D261+D262</f>
        <v>272452172</v>
      </c>
      <c r="E263" s="546">
        <f t="shared" si="30"/>
        <v>3281272</v>
      </c>
    </row>
    <row r="264" spans="1:5" x14ac:dyDescent="0.2">
      <c r="A264" s="512">
        <v>7</v>
      </c>
      <c r="B264" s="511" t="s">
        <v>623</v>
      </c>
      <c r="C264" s="546">
        <f>+C258-C263</f>
        <v>150024473</v>
      </c>
      <c r="D264" s="546">
        <f>+D258-D263</f>
        <v>148868691</v>
      </c>
      <c r="E264" s="546">
        <f t="shared" si="30"/>
        <v>-1155782</v>
      </c>
    </row>
    <row r="265" spans="1:5" x14ac:dyDescent="0.2">
      <c r="A265" s="512">
        <v>8</v>
      </c>
      <c r="B265" s="511" t="s">
        <v>809</v>
      </c>
      <c r="C265" s="565">
        <f>C192</f>
        <v>649453</v>
      </c>
      <c r="D265" s="565">
        <f>D192</f>
        <v>0</v>
      </c>
      <c r="E265" s="546">
        <f t="shared" si="30"/>
        <v>-649453</v>
      </c>
    </row>
    <row r="266" spans="1:5" x14ac:dyDescent="0.2">
      <c r="A266" s="512">
        <v>9</v>
      </c>
      <c r="B266" s="511" t="s">
        <v>810</v>
      </c>
      <c r="C266" s="546">
        <f>+C264+C265</f>
        <v>150673926</v>
      </c>
      <c r="D266" s="546">
        <f>+D264+D265</f>
        <v>148868691</v>
      </c>
      <c r="E266" s="565">
        <f t="shared" si="30"/>
        <v>-1805235</v>
      </c>
    </row>
    <row r="267" spans="1:5" x14ac:dyDescent="0.2">
      <c r="A267" s="512">
        <v>10</v>
      </c>
      <c r="B267" s="511" t="s">
        <v>811</v>
      </c>
      <c r="C267" s="566">
        <f>IF(C258=0,0,C266/C258)</f>
        <v>0.35943604272559565</v>
      </c>
      <c r="D267" s="566">
        <f>IF(D258=0,0,D266/D258)</f>
        <v>0.3533380472544983</v>
      </c>
      <c r="E267" s="567">
        <f t="shared" si="30"/>
        <v>-6.0979954710973505E-3</v>
      </c>
    </row>
    <row r="268" spans="1:5" x14ac:dyDescent="0.2">
      <c r="A268" s="512">
        <v>11</v>
      </c>
      <c r="B268" s="511" t="s">
        <v>685</v>
      </c>
      <c r="C268" s="546">
        <f>+C260*C267</f>
        <v>3216669.3467924134</v>
      </c>
      <c r="D268" s="568">
        <f>+D260*D267</f>
        <v>3887793.0208011824</v>
      </c>
      <c r="E268" s="546">
        <f t="shared" si="30"/>
        <v>671123.67400876898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6467230.3054519445</v>
      </c>
      <c r="D269" s="568">
        <f>((D17+D18+D28+D29)*D267)-(D50+D51+D61+D62)</f>
        <v>6852581.2516260929</v>
      </c>
      <c r="E269" s="546">
        <f t="shared" si="30"/>
        <v>385350.94617414847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814</v>
      </c>
      <c r="C271" s="546">
        <f>+C268+C269+C270</f>
        <v>9683899.6522443574</v>
      </c>
      <c r="D271" s="546">
        <f>+D268+D269+D270</f>
        <v>10740374.272427276</v>
      </c>
      <c r="E271" s="549">
        <f t="shared" si="30"/>
        <v>1056474.6201829184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0.52021604471814942</v>
      </c>
      <c r="D276" s="547">
        <f t="shared" si="31"/>
        <v>0.58313317219870808</v>
      </c>
      <c r="E276" s="574">
        <f t="shared" ref="E276:E284" si="32">D276-C276</f>
        <v>6.2917127480558666E-2</v>
      </c>
    </row>
    <row r="277" spans="1:5" x14ac:dyDescent="0.2">
      <c r="A277" s="512">
        <v>2</v>
      </c>
      <c r="B277" s="511" t="s">
        <v>604</v>
      </c>
      <c r="C277" s="547">
        <f t="shared" si="31"/>
        <v>0.39393620652795847</v>
      </c>
      <c r="D277" s="547">
        <f t="shared" si="31"/>
        <v>0.37659953333119106</v>
      </c>
      <c r="E277" s="574">
        <f t="shared" si="32"/>
        <v>-1.7336673196767405E-2</v>
      </c>
    </row>
    <row r="278" spans="1:5" x14ac:dyDescent="0.2">
      <c r="A278" s="512">
        <v>3</v>
      </c>
      <c r="B278" s="511" t="s">
        <v>750</v>
      </c>
      <c r="C278" s="547">
        <f t="shared" si="31"/>
        <v>0.33215027092059207</v>
      </c>
      <c r="D278" s="547">
        <f t="shared" si="31"/>
        <v>0.36065164822760259</v>
      </c>
      <c r="E278" s="574">
        <f t="shared" si="32"/>
        <v>2.8501377307010523E-2</v>
      </c>
    </row>
    <row r="279" spans="1:5" x14ac:dyDescent="0.2">
      <c r="A279" s="512">
        <v>4</v>
      </c>
      <c r="B279" s="511" t="s">
        <v>114</v>
      </c>
      <c r="C279" s="547">
        <f t="shared" si="31"/>
        <v>0.34602626498648936</v>
      </c>
      <c r="D279" s="547">
        <f t="shared" si="31"/>
        <v>0.36065164822760259</v>
      </c>
      <c r="E279" s="574">
        <f t="shared" si="32"/>
        <v>1.4625383241113232E-2</v>
      </c>
    </row>
    <row r="280" spans="1:5" x14ac:dyDescent="0.2">
      <c r="A280" s="512">
        <v>5</v>
      </c>
      <c r="B280" s="511" t="s">
        <v>717</v>
      </c>
      <c r="C280" s="547">
        <f t="shared" si="31"/>
        <v>0.28955025766191156</v>
      </c>
      <c r="D280" s="547">
        <f t="shared" si="31"/>
        <v>0</v>
      </c>
      <c r="E280" s="574">
        <f t="shared" si="32"/>
        <v>-0.28955025766191156</v>
      </c>
    </row>
    <row r="281" spans="1:5" x14ac:dyDescent="0.2">
      <c r="A281" s="512">
        <v>6</v>
      </c>
      <c r="B281" s="511" t="s">
        <v>416</v>
      </c>
      <c r="C281" s="547">
        <f t="shared" si="31"/>
        <v>0.60799291948462375</v>
      </c>
      <c r="D281" s="547">
        <f t="shared" si="31"/>
        <v>0.48687527505845946</v>
      </c>
      <c r="E281" s="574">
        <f t="shared" si="32"/>
        <v>-0.12111764442616429</v>
      </c>
    </row>
    <row r="282" spans="1:5" x14ac:dyDescent="0.2">
      <c r="A282" s="512">
        <v>7</v>
      </c>
      <c r="B282" s="511" t="s">
        <v>732</v>
      </c>
      <c r="C282" s="547">
        <f t="shared" si="31"/>
        <v>0.23862749704615879</v>
      </c>
      <c r="D282" s="547">
        <f t="shared" si="31"/>
        <v>1.4513380003659159E-2</v>
      </c>
      <c r="E282" s="574">
        <f t="shared" si="32"/>
        <v>-0.22411411704249964</v>
      </c>
    </row>
    <row r="283" spans="1:5" ht="29.25" customHeight="1" x14ac:dyDescent="0.2">
      <c r="A283" s="512"/>
      <c r="B283" s="516" t="s">
        <v>818</v>
      </c>
      <c r="C283" s="575">
        <f t="shared" si="31"/>
        <v>0.38306484028519389</v>
      </c>
      <c r="D283" s="575">
        <f t="shared" si="31"/>
        <v>0.37348269714685911</v>
      </c>
      <c r="E283" s="576">
        <f t="shared" si="32"/>
        <v>-9.5821431383347755E-3</v>
      </c>
    </row>
    <row r="284" spans="1:5" x14ac:dyDescent="0.2">
      <c r="A284" s="512"/>
      <c r="B284" s="516" t="s">
        <v>819</v>
      </c>
      <c r="C284" s="575">
        <f t="shared" si="31"/>
        <v>0.42348726046350227</v>
      </c>
      <c r="D284" s="575">
        <f t="shared" si="31"/>
        <v>0.43522629951213121</v>
      </c>
      <c r="E284" s="576">
        <f t="shared" si="32"/>
        <v>1.1739039048628941E-2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0.43629078081926975</v>
      </c>
      <c r="D287" s="547">
        <f t="shared" si="33"/>
        <v>0.4515656652237176</v>
      </c>
      <c r="E287" s="574">
        <f t="shared" ref="E287:E295" si="34">D287-C287</f>
        <v>1.5274884404447853E-2</v>
      </c>
    </row>
    <row r="288" spans="1:5" x14ac:dyDescent="0.2">
      <c r="A288" s="512">
        <v>2</v>
      </c>
      <c r="B288" s="511" t="s">
        <v>604</v>
      </c>
      <c r="C288" s="547">
        <f t="shared" si="33"/>
        <v>0.28964654796630168</v>
      </c>
      <c r="D288" s="547">
        <f t="shared" si="33"/>
        <v>0.26817912002696881</v>
      </c>
      <c r="E288" s="574">
        <f t="shared" si="34"/>
        <v>-2.1467427939332873E-2</v>
      </c>
    </row>
    <row r="289" spans="1:5" x14ac:dyDescent="0.2">
      <c r="A289" s="512">
        <v>3</v>
      </c>
      <c r="B289" s="511" t="s">
        <v>750</v>
      </c>
      <c r="C289" s="547">
        <f t="shared" si="33"/>
        <v>0.21521535121438434</v>
      </c>
      <c r="D289" s="547">
        <f t="shared" si="33"/>
        <v>0.20591249309709619</v>
      </c>
      <c r="E289" s="574">
        <f t="shared" si="34"/>
        <v>-9.3028581172881486E-3</v>
      </c>
    </row>
    <row r="290" spans="1:5" x14ac:dyDescent="0.2">
      <c r="A290" s="512">
        <v>4</v>
      </c>
      <c r="B290" s="511" t="s">
        <v>114</v>
      </c>
      <c r="C290" s="547">
        <f t="shared" si="33"/>
        <v>0.22724684006900933</v>
      </c>
      <c r="D290" s="547">
        <f t="shared" si="33"/>
        <v>0.20591249309709619</v>
      </c>
      <c r="E290" s="574">
        <f t="shared" si="34"/>
        <v>-2.1334346971913137E-2</v>
      </c>
    </row>
    <row r="291" spans="1:5" x14ac:dyDescent="0.2">
      <c r="A291" s="512">
        <v>5</v>
      </c>
      <c r="B291" s="511" t="s">
        <v>717</v>
      </c>
      <c r="C291" s="547">
        <f t="shared" si="33"/>
        <v>0.17205476327863087</v>
      </c>
      <c r="D291" s="547">
        <f t="shared" si="33"/>
        <v>0</v>
      </c>
      <c r="E291" s="574">
        <f t="shared" si="34"/>
        <v>-0.17205476327863087</v>
      </c>
    </row>
    <row r="292" spans="1:5" x14ac:dyDescent="0.2">
      <c r="A292" s="512">
        <v>6</v>
      </c>
      <c r="B292" s="511" t="s">
        <v>416</v>
      </c>
      <c r="C292" s="547">
        <f t="shared" si="33"/>
        <v>0.51396493635839446</v>
      </c>
      <c r="D292" s="547">
        <f t="shared" si="33"/>
        <v>0.77693638521013553</v>
      </c>
      <c r="E292" s="574">
        <f t="shared" si="34"/>
        <v>0.26297144885174106</v>
      </c>
    </row>
    <row r="293" spans="1:5" x14ac:dyDescent="0.2">
      <c r="A293" s="512">
        <v>7</v>
      </c>
      <c r="B293" s="511" t="s">
        <v>732</v>
      </c>
      <c r="C293" s="547">
        <f t="shared" si="33"/>
        <v>0.29174676825313256</v>
      </c>
      <c r="D293" s="547">
        <f t="shared" si="33"/>
        <v>3.5716210642477736E-2</v>
      </c>
      <c r="E293" s="574">
        <f t="shared" si="34"/>
        <v>-0.25603055761065485</v>
      </c>
    </row>
    <row r="294" spans="1:5" ht="29.25" customHeight="1" x14ac:dyDescent="0.2">
      <c r="A294" s="512"/>
      <c r="B294" s="516" t="s">
        <v>821</v>
      </c>
      <c r="C294" s="575">
        <f t="shared" si="33"/>
        <v>0.26812780261943608</v>
      </c>
      <c r="D294" s="575">
        <f t="shared" si="33"/>
        <v>0.25168643649231232</v>
      </c>
      <c r="E294" s="576">
        <f t="shared" si="34"/>
        <v>-1.6441366127123769E-2</v>
      </c>
    </row>
    <row r="295" spans="1:5" x14ac:dyDescent="0.2">
      <c r="A295" s="512"/>
      <c r="B295" s="516" t="s">
        <v>822</v>
      </c>
      <c r="C295" s="575">
        <f t="shared" si="33"/>
        <v>0.35167849065327439</v>
      </c>
      <c r="D295" s="575">
        <f t="shared" si="33"/>
        <v>0.34850672922314008</v>
      </c>
      <c r="E295" s="576">
        <f t="shared" si="34"/>
        <v>-3.1717614301343122E-3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158948684</v>
      </c>
      <c r="D301" s="514">
        <f>+D48+D47+D50+D51+D52+D59+D58+D61+D62+D63</f>
        <v>159871732</v>
      </c>
      <c r="E301" s="514">
        <f>D301-C301</f>
        <v>923048</v>
      </c>
    </row>
    <row r="302" spans="1:5" ht="25.5" x14ac:dyDescent="0.2">
      <c r="A302" s="512">
        <v>2</v>
      </c>
      <c r="B302" s="511" t="s">
        <v>826</v>
      </c>
      <c r="C302" s="546">
        <f>C265</f>
        <v>649453</v>
      </c>
      <c r="D302" s="546">
        <f>D265</f>
        <v>0</v>
      </c>
      <c r="E302" s="514">
        <f>D302-C302</f>
        <v>-649453</v>
      </c>
    </row>
    <row r="303" spans="1:5" x14ac:dyDescent="0.2">
      <c r="A303" s="512"/>
      <c r="B303" s="516" t="s">
        <v>827</v>
      </c>
      <c r="C303" s="517">
        <f>+C301+C302</f>
        <v>159598137</v>
      </c>
      <c r="D303" s="517">
        <f>+D301+D302</f>
        <v>159871732</v>
      </c>
      <c r="E303" s="517">
        <f>D303-C303</f>
        <v>273595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6712600</v>
      </c>
      <c r="D305" s="578">
        <v>6730528</v>
      </c>
      <c r="E305" s="579">
        <f>D305-C305</f>
        <v>17928</v>
      </c>
    </row>
    <row r="306" spans="1:5" x14ac:dyDescent="0.2">
      <c r="A306" s="512">
        <v>4</v>
      </c>
      <c r="B306" s="516" t="s">
        <v>829</v>
      </c>
      <c r="C306" s="580">
        <f>+C303+C305</f>
        <v>166310737</v>
      </c>
      <c r="D306" s="580">
        <f>+D303+D305</f>
        <v>166602260</v>
      </c>
      <c r="E306" s="580">
        <f>D306-C306</f>
        <v>291523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166310748</v>
      </c>
      <c r="D308" s="513">
        <v>166602260</v>
      </c>
      <c r="E308" s="514">
        <f>D308-C308</f>
        <v>291512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-11</v>
      </c>
      <c r="D310" s="582">
        <f>D306-D308</f>
        <v>0</v>
      </c>
      <c r="E310" s="580">
        <f>D310-C310</f>
        <v>11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419195373</v>
      </c>
      <c r="D314" s="514">
        <f>+D14+D15+D16+D19+D25+D26+D27+D30</f>
        <v>421320863</v>
      </c>
      <c r="E314" s="514">
        <f>D314-C314</f>
        <v>2125490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419195373</v>
      </c>
      <c r="D316" s="581">
        <f>D314+D315</f>
        <v>421320863</v>
      </c>
      <c r="E316" s="517">
        <f>D316-C316</f>
        <v>2125490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419195385</v>
      </c>
      <c r="D318" s="513">
        <v>421320863</v>
      </c>
      <c r="E318" s="514">
        <f>D318-C318</f>
        <v>2125478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-12</v>
      </c>
      <c r="D320" s="581">
        <f>D316-D318</f>
        <v>0</v>
      </c>
      <c r="E320" s="517">
        <f>D320-C320</f>
        <v>12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8949212</v>
      </c>
      <c r="D324" s="513">
        <f>+D193+D194</f>
        <v>11003041</v>
      </c>
      <c r="E324" s="514">
        <f>D324-C324</f>
        <v>2053829</v>
      </c>
    </row>
    <row r="325" spans="1:5" x14ac:dyDescent="0.2">
      <c r="A325" s="512">
        <v>2</v>
      </c>
      <c r="B325" s="511" t="s">
        <v>839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840</v>
      </c>
      <c r="C326" s="581">
        <f>C324+C325</f>
        <v>8949212</v>
      </c>
      <c r="D326" s="581">
        <f>D324+D325</f>
        <v>11003041</v>
      </c>
      <c r="E326" s="517">
        <f>D326-C326</f>
        <v>2053829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8949213</v>
      </c>
      <c r="D328" s="513">
        <v>11003044</v>
      </c>
      <c r="E328" s="514">
        <f>D328-C328</f>
        <v>2053831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-1</v>
      </c>
      <c r="D330" s="581">
        <f>D326-D328</f>
        <v>-3</v>
      </c>
      <c r="E330" s="517">
        <f>D330-C330</f>
        <v>-2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FILING&amp;RMANCHESTER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3" t="s">
        <v>0</v>
      </c>
      <c r="B2" s="703"/>
      <c r="C2" s="703"/>
      <c r="D2" s="585"/>
    </row>
    <row r="3" spans="1:58" s="338" customFormat="1" ht="15.75" customHeight="1" x14ac:dyDescent="0.25">
      <c r="A3" s="696" t="s">
        <v>595</v>
      </c>
      <c r="B3" s="697"/>
      <c r="C3" s="698"/>
      <c r="D3" s="585"/>
    </row>
    <row r="4" spans="1:58" s="338" customFormat="1" ht="15.75" customHeight="1" x14ac:dyDescent="0.25">
      <c r="A4" s="696" t="s">
        <v>2</v>
      </c>
      <c r="B4" s="697"/>
      <c r="C4" s="698"/>
      <c r="D4" s="585"/>
    </row>
    <row r="5" spans="1:58" s="338" customFormat="1" ht="15.75" customHeight="1" x14ac:dyDescent="0.25">
      <c r="A5" s="696" t="s">
        <v>843</v>
      </c>
      <c r="B5" s="697"/>
      <c r="C5" s="698"/>
      <c r="D5" s="585"/>
    </row>
    <row r="6" spans="1:58" s="338" customFormat="1" ht="15.75" customHeight="1" x14ac:dyDescent="0.25">
      <c r="A6" s="696" t="s">
        <v>844</v>
      </c>
      <c r="B6" s="697"/>
      <c r="C6" s="698"/>
      <c r="D6" s="585"/>
    </row>
    <row r="7" spans="1:58" s="338" customFormat="1" ht="15.75" customHeight="1" x14ac:dyDescent="0.25">
      <c r="A7" s="711"/>
      <c r="B7" s="711"/>
      <c r="C7" s="711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44280158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81439769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24140325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24140325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493077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2596225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106073171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150353329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131255039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90726985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47679210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47679210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1306300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8757284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139712495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270967534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175535197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245785666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421320863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25821229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30670179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8706248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8706248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240067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37680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39616494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65437723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59270269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24331083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9817745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9817745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1014912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312777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35163740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94434009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85091498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74780234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159871732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3754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3626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1854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1854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47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216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5527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9281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0.98160000000000003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1.3673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0.92749999999999999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0.92749999999999999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0.84570000000000001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1.0310999999999999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1.2153361136240275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1.1207939984915418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175535197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85091498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90443699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0.5152453783955363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4838371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6164670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11003041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13148358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173322666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159871732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159871732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6730528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166602260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166602260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421320863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421320863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421320863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11003041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11003041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11003044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-3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FILING&amp;RMANCHESTER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595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596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856</v>
      </c>
      <c r="B5" s="713"/>
      <c r="C5" s="713"/>
      <c r="D5" s="713"/>
      <c r="E5" s="713"/>
      <c r="F5" s="714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791</v>
      </c>
      <c r="D12" s="49">
        <v>2613</v>
      </c>
      <c r="E12" s="49">
        <f>+D12-C12</f>
        <v>1822</v>
      </c>
      <c r="F12" s="70">
        <f>IF(C12=0,0,+E12/C12)</f>
        <v>2.3034134007585334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675</v>
      </c>
      <c r="D13" s="49">
        <v>2478</v>
      </c>
      <c r="E13" s="49">
        <f>+D13-C13</f>
        <v>1803</v>
      </c>
      <c r="F13" s="70">
        <f>IF(C13=0,0,+E13/C13)</f>
        <v>2.6711111111111112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2236613</v>
      </c>
      <c r="D15" s="51">
        <v>4838371</v>
      </c>
      <c r="E15" s="51">
        <f>+D15-C15</f>
        <v>2601758</v>
      </c>
      <c r="F15" s="70">
        <f>IF(C15=0,0,+E15/C15)</f>
        <v>1.1632580155798076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3313.5007407407406</v>
      </c>
      <c r="D16" s="27">
        <f>IF(D13=0,0,+D15/+D13)</f>
        <v>1952.5306698950767</v>
      </c>
      <c r="E16" s="27">
        <f>+D16-C16</f>
        <v>-1360.9700708456639</v>
      </c>
      <c r="F16" s="28">
        <f>IF(C16=0,0,+E16/C16)</f>
        <v>-0.4107348020515052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0.40453600000000001</v>
      </c>
      <c r="D18" s="210">
        <v>0.39622299999999999</v>
      </c>
      <c r="E18" s="210">
        <f>+D18-C18</f>
        <v>-8.3130000000000148E-3</v>
      </c>
      <c r="F18" s="70">
        <f>IF(C18=0,0,+E18/C18)</f>
        <v>-2.0549469021298512E-2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904790.47656800004</v>
      </c>
      <c r="D19" s="27">
        <f>+D15*D18</f>
        <v>1917073.872733</v>
      </c>
      <c r="E19" s="27">
        <f>+D19-C19</f>
        <v>1012283.3961649999</v>
      </c>
      <c r="F19" s="28">
        <f>IF(C19=0,0,+E19/C19)</f>
        <v>1.1188042120035746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1340.4303356562964</v>
      </c>
      <c r="D20" s="27">
        <f>IF(D13=0,0,+D19/D13)</f>
        <v>773.63755961783693</v>
      </c>
      <c r="E20" s="27">
        <f>+D20-C20</f>
        <v>-566.79277603845946</v>
      </c>
      <c r="F20" s="28">
        <f>IF(C20=0,0,+E20/C20)</f>
        <v>-0.4228438889820772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862332</v>
      </c>
      <c r="D22" s="51">
        <v>831297</v>
      </c>
      <c r="E22" s="51">
        <f>+D22-C22</f>
        <v>-31035</v>
      </c>
      <c r="F22" s="70">
        <f>IF(C22=0,0,+E22/C22)</f>
        <v>-3.5989618847497254E-2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404291</v>
      </c>
      <c r="D23" s="49">
        <v>1204601</v>
      </c>
      <c r="E23" s="49">
        <f>+D23-C23</f>
        <v>800310</v>
      </c>
      <c r="F23" s="70">
        <f>IF(C23=0,0,+E23/C23)</f>
        <v>1.9795394901197405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969990</v>
      </c>
      <c r="D24" s="49">
        <v>2802473</v>
      </c>
      <c r="E24" s="49">
        <f>+D24-C24</f>
        <v>1832483</v>
      </c>
      <c r="F24" s="70">
        <f>IF(C24=0,0,+E24/C24)</f>
        <v>1.8891772080124538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2236613</v>
      </c>
      <c r="D25" s="27">
        <f>+D22+D23+D24</f>
        <v>4838371</v>
      </c>
      <c r="E25" s="27">
        <f>+E22+E23+E24</f>
        <v>2601758</v>
      </c>
      <c r="F25" s="28">
        <f>IF(C25=0,0,+E25/C25)</f>
        <v>1.1632580155798076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883</v>
      </c>
      <c r="D27" s="49">
        <v>746</v>
      </c>
      <c r="E27" s="49">
        <f>+D27-C27</f>
        <v>-137</v>
      </c>
      <c r="F27" s="70">
        <f>IF(C27=0,0,+E27/C27)</f>
        <v>-0.1551528878822197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142</v>
      </c>
      <c r="D28" s="49">
        <v>140</v>
      </c>
      <c r="E28" s="49">
        <f>+D28-C28</f>
        <v>-2</v>
      </c>
      <c r="F28" s="70">
        <f>IF(C28=0,0,+E28/C28)</f>
        <v>-1.4084507042253521E-2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707</v>
      </c>
      <c r="D29" s="49">
        <v>2413</v>
      </c>
      <c r="E29" s="49">
        <f>+D29-C29</f>
        <v>1706</v>
      </c>
      <c r="F29" s="70">
        <f>IF(C29=0,0,+E29/C29)</f>
        <v>2.4130127298444131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1248</v>
      </c>
      <c r="D30" s="49">
        <v>1026</v>
      </c>
      <c r="E30" s="49">
        <f>+D30-C30</f>
        <v>-222</v>
      </c>
      <c r="F30" s="70">
        <f>IF(C30=0,0,+E30/C30)</f>
        <v>-0.17788461538461539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1742587</v>
      </c>
      <c r="D33" s="51">
        <v>1475620</v>
      </c>
      <c r="E33" s="51">
        <f>+D33-C33</f>
        <v>-266967</v>
      </c>
      <c r="F33" s="70">
        <f>IF(C33=0,0,+E33/C33)</f>
        <v>-0.15320153312287996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3507916</v>
      </c>
      <c r="D34" s="49">
        <v>3279431</v>
      </c>
      <c r="E34" s="49">
        <f>+D34-C34</f>
        <v>-228485</v>
      </c>
      <c r="F34" s="70">
        <f>IF(C34=0,0,+E34/C34)</f>
        <v>-6.5134113815724204E-2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1462096</v>
      </c>
      <c r="D35" s="49">
        <v>1409619</v>
      </c>
      <c r="E35" s="49">
        <f>+D35-C35</f>
        <v>-52477</v>
      </c>
      <c r="F35" s="70">
        <f>IF(C35=0,0,+E35/C35)</f>
        <v>-3.5891624079403814E-2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6712599</v>
      </c>
      <c r="D36" s="27">
        <f>+D33+D34+D35</f>
        <v>6164670</v>
      </c>
      <c r="E36" s="27">
        <f>+E33+E34+E35</f>
        <v>-547929</v>
      </c>
      <c r="F36" s="28">
        <f>IF(C36=0,0,+E36/C36)</f>
        <v>-8.162695254103515E-2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2236613</v>
      </c>
      <c r="D39" s="51">
        <f>+D25</f>
        <v>4838371</v>
      </c>
      <c r="E39" s="51">
        <f>+D39-C39</f>
        <v>2601758</v>
      </c>
      <c r="F39" s="70">
        <f>IF(C39=0,0,+E39/C39)</f>
        <v>1.1632580155798076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6712599</v>
      </c>
      <c r="D40" s="49">
        <f>+D36</f>
        <v>6164670</v>
      </c>
      <c r="E40" s="49">
        <f>+D40-C40</f>
        <v>-547929</v>
      </c>
      <c r="F40" s="70">
        <f>IF(C40=0,0,+E40/C40)</f>
        <v>-8.162695254103515E-2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8949212</v>
      </c>
      <c r="D41" s="27">
        <f>+D39+D40</f>
        <v>11003041</v>
      </c>
      <c r="E41" s="27">
        <f>+E39+E40</f>
        <v>2053829</v>
      </c>
      <c r="F41" s="28">
        <f>IF(C41=0,0,+E41/C41)</f>
        <v>0.22949830666655344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2604919</v>
      </c>
      <c r="D43" s="51">
        <f t="shared" si="0"/>
        <v>2306917</v>
      </c>
      <c r="E43" s="51">
        <f>+D43-C43</f>
        <v>-298002</v>
      </c>
      <c r="F43" s="70">
        <f>IF(C43=0,0,+E43/C43)</f>
        <v>-0.11439971837895919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3912207</v>
      </c>
      <c r="D44" s="49">
        <f t="shared" si="0"/>
        <v>4484032</v>
      </c>
      <c r="E44" s="49">
        <f>+D44-C44</f>
        <v>571825</v>
      </c>
      <c r="F44" s="70">
        <f>IF(C44=0,0,+E44/C44)</f>
        <v>0.14616430061088281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2432086</v>
      </c>
      <c r="D45" s="49">
        <f t="shared" si="0"/>
        <v>4212092</v>
      </c>
      <c r="E45" s="49">
        <f>+D45-C45</f>
        <v>1780006</v>
      </c>
      <c r="F45" s="70">
        <f>IF(C45=0,0,+E45/C45)</f>
        <v>0.73188448105864679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8949212</v>
      </c>
      <c r="D46" s="27">
        <f>+D43+D44+D45</f>
        <v>11003041</v>
      </c>
      <c r="E46" s="27">
        <f>+E43+E44+E45</f>
        <v>2053829</v>
      </c>
      <c r="F46" s="28">
        <f>IF(C46=0,0,+E46/C46)</f>
        <v>0.22949830666655344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5" t="s">
        <v>884</v>
      </c>
      <c r="B48" s="716"/>
      <c r="C48" s="716"/>
      <c r="D48" s="716"/>
      <c r="E48" s="716"/>
      <c r="F48" s="717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 r:id="rId1"/>
  <headerFooter>
    <oddHeader>&amp;LOFFICE OF HEALTH CARE ACCESS&amp;CTWELVE MONTHS ACTUAL FILING&amp;RMANCHESTER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595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596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885</v>
      </c>
      <c r="B5" s="713"/>
      <c r="C5" s="713"/>
      <c r="D5" s="713"/>
      <c r="E5" s="713"/>
      <c r="F5" s="714"/>
    </row>
    <row r="6" spans="1:14" ht="15.75" customHeight="1" x14ac:dyDescent="0.25">
      <c r="A6" s="712" t="s">
        <v>886</v>
      </c>
      <c r="B6" s="713"/>
      <c r="C6" s="713"/>
      <c r="D6" s="713"/>
      <c r="E6" s="713"/>
      <c r="F6" s="714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175831221</v>
      </c>
      <c r="D15" s="51">
        <v>175535197</v>
      </c>
      <c r="E15" s="51">
        <f>+D15-C15</f>
        <v>-296024</v>
      </c>
      <c r="F15" s="70">
        <f>+E15/C15</f>
        <v>-1.6835690403355613E-3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95122205</v>
      </c>
      <c r="D17" s="51">
        <v>90443699</v>
      </c>
      <c r="E17" s="51">
        <f>+D17-C17</f>
        <v>-4678506</v>
      </c>
      <c r="F17" s="70">
        <f>+E17/C17</f>
        <v>-4.9184162625330229E-2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80709016</v>
      </c>
      <c r="D19" s="27">
        <f>+D15-D17</f>
        <v>85091498</v>
      </c>
      <c r="E19" s="27">
        <f>+D19-C19</f>
        <v>4382482</v>
      </c>
      <c r="F19" s="28">
        <f>+E19/C19</f>
        <v>5.4299782319239279E-2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0.54098586393823656</v>
      </c>
      <c r="D21" s="628">
        <f>+D17/D15</f>
        <v>0.5152453783955363</v>
      </c>
      <c r="E21" s="628">
        <f>+D21-C21</f>
        <v>-2.5740485542700253E-2</v>
      </c>
      <c r="F21" s="28">
        <f>+E21/C21</f>
        <v>-4.7580698976709308E-2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5" t="s">
        <v>893</v>
      </c>
      <c r="B26" s="716"/>
      <c r="C26" s="716"/>
      <c r="D26" s="716"/>
      <c r="E26" s="716"/>
      <c r="F26" s="717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FILING&amp;R&amp;12MANCHESTER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8" t="s">
        <v>0</v>
      </c>
      <c r="B1" s="718"/>
      <c r="C1" s="718"/>
      <c r="D1" s="718"/>
      <c r="E1" s="718"/>
      <c r="F1" s="630"/>
    </row>
    <row r="2" spans="1:6" ht="26.1" customHeight="1" x14ac:dyDescent="0.25">
      <c r="A2" s="718" t="s">
        <v>1</v>
      </c>
      <c r="B2" s="718"/>
      <c r="C2" s="718"/>
      <c r="D2" s="718"/>
      <c r="E2" s="718"/>
      <c r="F2" s="630"/>
    </row>
    <row r="3" spans="1:6" ht="26.1" customHeight="1" x14ac:dyDescent="0.25">
      <c r="A3" s="718" t="s">
        <v>2</v>
      </c>
      <c r="B3" s="718"/>
      <c r="C3" s="718"/>
      <c r="D3" s="718"/>
      <c r="E3" s="718"/>
      <c r="F3" s="630"/>
    </row>
    <row r="4" spans="1:6" ht="26.1" customHeight="1" x14ac:dyDescent="0.25">
      <c r="A4" s="718" t="s">
        <v>894</v>
      </c>
      <c r="B4" s="718"/>
      <c r="C4" s="718"/>
      <c r="D4" s="718"/>
      <c r="E4" s="718"/>
      <c r="F4" s="630"/>
    </row>
    <row r="5" spans="1:6" ht="26.1" customHeight="1" x14ac:dyDescent="0.2">
      <c r="A5" s="719"/>
      <c r="B5" s="719"/>
      <c r="C5" s="719"/>
      <c r="D5" s="719"/>
      <c r="E5" s="719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159437227</v>
      </c>
      <c r="D10" s="641">
        <v>160519223</v>
      </c>
      <c r="E10" s="641">
        <v>150353329</v>
      </c>
    </row>
    <row r="11" spans="1:6" ht="26.1" customHeight="1" x14ac:dyDescent="0.25">
      <c r="A11" s="639">
        <v>2</v>
      </c>
      <c r="B11" s="640" t="s">
        <v>906</v>
      </c>
      <c r="C11" s="641">
        <v>250774269</v>
      </c>
      <c r="D11" s="641">
        <v>258676150</v>
      </c>
      <c r="E11" s="641">
        <v>270967534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410211496</v>
      </c>
      <c r="D12" s="641">
        <f>+D11+D10</f>
        <v>419195373</v>
      </c>
      <c r="E12" s="641">
        <f>+E11+E10</f>
        <v>421320863</v>
      </c>
    </row>
    <row r="13" spans="1:6" ht="26.1" customHeight="1" x14ac:dyDescent="0.25">
      <c r="A13" s="639">
        <v>4</v>
      </c>
      <c r="B13" s="640" t="s">
        <v>482</v>
      </c>
      <c r="C13" s="641">
        <v>167264862</v>
      </c>
      <c r="D13" s="641">
        <v>166310748</v>
      </c>
      <c r="E13" s="641">
        <v>166602260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170017184</v>
      </c>
      <c r="D16" s="641">
        <v>170234748</v>
      </c>
      <c r="E16" s="641">
        <v>173322666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44631</v>
      </c>
      <c r="D19" s="644">
        <v>44935</v>
      </c>
      <c r="E19" s="644">
        <v>43475</v>
      </c>
    </row>
    <row r="20" spans="1:5" ht="26.1" customHeight="1" x14ac:dyDescent="0.25">
      <c r="A20" s="639">
        <v>2</v>
      </c>
      <c r="B20" s="640" t="s">
        <v>371</v>
      </c>
      <c r="C20" s="645">
        <v>8989</v>
      </c>
      <c r="D20" s="645">
        <v>9109</v>
      </c>
      <c r="E20" s="645">
        <v>9281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4.9650684169540549</v>
      </c>
      <c r="D21" s="646">
        <f>IF(D20=0,0,+D19/D20)</f>
        <v>4.9330332638050276</v>
      </c>
      <c r="E21" s="646">
        <f>IF(E20=0,0,+E19/E20)</f>
        <v>4.6843012606400176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114829.82752814685</v>
      </c>
      <c r="D22" s="645">
        <f>IF(D10=0,0,D19*(D12/D10))</f>
        <v>117347.59073531648</v>
      </c>
      <c r="E22" s="645">
        <f>IF(E10=0,0,E19*(E12/E10))</f>
        <v>121825.86604999614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23127.541835282922</v>
      </c>
      <c r="D23" s="645">
        <f>IF(D10=0,0,D20*(D12/D10))</f>
        <v>23788.12070786687</v>
      </c>
      <c r="E23" s="645">
        <f>IF(E10=0,0,E20*(E12/E10))</f>
        <v>26007.265389534543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1.2317695149627321</v>
      </c>
      <c r="D26" s="647">
        <v>1.1815600955099352</v>
      </c>
      <c r="E26" s="647">
        <v>1.1207939984915418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54975.105222301696</v>
      </c>
      <c r="D27" s="645">
        <f>D19*D26</f>
        <v>53093.402891738937</v>
      </c>
      <c r="E27" s="645">
        <f>E19*E26</f>
        <v>48726.519084419779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11072.37617</v>
      </c>
      <c r="D28" s="645">
        <f>D20*D26</f>
        <v>10762.830910000001</v>
      </c>
      <c r="E28" s="645">
        <f>E20*E26</f>
        <v>10402.089099999999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141443.88095759964</v>
      </c>
      <c r="D29" s="645">
        <f>D22*D26</f>
        <v>138653.23051708133</v>
      </c>
      <c r="E29" s="645">
        <f>E22*E26</f>
        <v>136541.69952987015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28487.80098872674</v>
      </c>
      <c r="D30" s="645">
        <f>D23*D26</f>
        <v>28107.094175589049</v>
      </c>
      <c r="E30" s="645">
        <f>E23*E26</f>
        <v>29148.786965767107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9191.178687459389</v>
      </c>
      <c r="D33" s="641">
        <f>IF(D19=0,0,D12/D19)</f>
        <v>9328.9278513408262</v>
      </c>
      <c r="E33" s="641">
        <f>IF(E19=0,0,E12/E19)</f>
        <v>9691.1066820011492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45634.831015685835</v>
      </c>
      <c r="D34" s="641">
        <f>IF(D20=0,0,D12/D20)</f>
        <v>46019.911406301457</v>
      </c>
      <c r="E34" s="641">
        <f>IF(E20=0,0,E12/E20)</f>
        <v>45396.06324749488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3572.3426990208604</v>
      </c>
      <c r="D35" s="641">
        <f>IF(D22=0,0,D12/D22)</f>
        <v>3572.2537665516857</v>
      </c>
      <c r="E35" s="641">
        <f>IF(E22=0,0,E12/E22)</f>
        <v>3458.3859459459459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17736.925909444879</v>
      </c>
      <c r="D36" s="641">
        <f>IF(D23=0,0,D12/D23)</f>
        <v>17622.046657152267</v>
      </c>
      <c r="E36" s="641">
        <f>IF(E23=0,0,E12/E23)</f>
        <v>16200.121646374311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2900.1713840344096</v>
      </c>
      <c r="D37" s="641">
        <f>IF(D29=0,0,D12/D29)</f>
        <v>3023.3365024146146</v>
      </c>
      <c r="E37" s="641">
        <f>IF(E29=0,0,E12/E29)</f>
        <v>3085.6570882789615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14399.549342623177</v>
      </c>
      <c r="D38" s="641">
        <f>IF(D30=0,0,D12/D30)</f>
        <v>14914.219534087244</v>
      </c>
      <c r="E38" s="641">
        <f>IF(E30=0,0,E12/E30)</f>
        <v>14454.147388527945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1388.4652657944564</v>
      </c>
      <c r="D39" s="641">
        <f>IF(D22=0,0,D10/D22)</f>
        <v>1367.8953440301927</v>
      </c>
      <c r="E39" s="641">
        <f>IF(E22=0,0,E10/E22)</f>
        <v>1234.1658949364371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6893.8250392337723</v>
      </c>
      <c r="D40" s="641">
        <f>IF(D23=0,0,D10/D23)</f>
        <v>6747.8732335049635</v>
      </c>
      <c r="E40" s="641">
        <f>IF(E23=0,0,E10/E23)</f>
        <v>5781.2048574896671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3747.7283054379245</v>
      </c>
      <c r="D43" s="641">
        <f>IF(D19=0,0,D13/D19)</f>
        <v>3701.1404918215198</v>
      </c>
      <c r="E43" s="641">
        <f>IF(E19=0,0,E13/E19)</f>
        <v>3832.1393904542842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18607.727444654578</v>
      </c>
      <c r="D44" s="641">
        <f>IF(D20=0,0,D13/D20)</f>
        <v>18257.849160171259</v>
      </c>
      <c r="E44" s="641">
        <f>IF(E20=0,0,E13/E20)</f>
        <v>17950.895377653269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1456.6325283298052</v>
      </c>
      <c r="D45" s="641">
        <f>IF(D22=0,0,D13/D22)</f>
        <v>1417.2489350473538</v>
      </c>
      <c r="E45" s="641">
        <f>IF(E22=0,0,E13/E22)</f>
        <v>1367.5442285107833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7232.280161518248</v>
      </c>
      <c r="D46" s="641">
        <f>IF(D23=0,0,D13/D23)</f>
        <v>6991.3361396808477</v>
      </c>
      <c r="E46" s="641">
        <f>IF(E23=0,0,E13/E23)</f>
        <v>6405.9891535940415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1182.5528320319538</v>
      </c>
      <c r="D47" s="641">
        <f>IF(D29=0,0,D13/D29)</f>
        <v>1199.4725790360249</v>
      </c>
      <c r="E47" s="641">
        <f>IF(E29=0,0,E13/E29)</f>
        <v>1220.1566303453967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5871.4557177014276</v>
      </c>
      <c r="D48" s="641">
        <f>IF(D30=0,0,D13/D30)</f>
        <v>5917.0381314067154</v>
      </c>
      <c r="E48" s="641">
        <f>IF(E30=0,0,E13/E30)</f>
        <v>5715.5812417052166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3809.3966973628194</v>
      </c>
      <c r="D51" s="641">
        <f>IF(D19=0,0,D16/D19)</f>
        <v>3788.4666295760544</v>
      </c>
      <c r="E51" s="641">
        <f>IF(E19=0,0,E16/E19)</f>
        <v>3986.7203220241518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18913.915229725219</v>
      </c>
      <c r="D52" s="641">
        <f>IF(D20=0,0,D16/D20)</f>
        <v>18688.631902513996</v>
      </c>
      <c r="E52" s="641">
        <f>IF(E20=0,0,E16/E20)</f>
        <v>18674.999030276911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1480.6012310549343</v>
      </c>
      <c r="D53" s="641">
        <f>IF(D22=0,0,D16/D22)</f>
        <v>1450.6880536130752</v>
      </c>
      <c r="E53" s="641">
        <f>IF(E22=0,0,E16/E22)</f>
        <v>1422.7082607306897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7351.2864104141472</v>
      </c>
      <c r="D54" s="641">
        <f>IF(D23=0,0,D16/D23)</f>
        <v>7156.2924238778714</v>
      </c>
      <c r="E54" s="641">
        <f>IF(E23=0,0,E16/E23)</f>
        <v>6664.3940992637363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1202.0115882635157</v>
      </c>
      <c r="D55" s="641">
        <f>IF(D29=0,0,D16/D29)</f>
        <v>1227.7733981757317</v>
      </c>
      <c r="E55" s="641">
        <f>IF(E29=0,0,E16/E29)</f>
        <v>1269.3753380598837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5968.0697736999637</v>
      </c>
      <c r="D56" s="641">
        <f>IF(D30=0,0,D16/D30)</f>
        <v>6056.6470136158196</v>
      </c>
      <c r="E56" s="641">
        <f>IF(E30=0,0,E16/E30)</f>
        <v>5946.1364962992611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25078004</v>
      </c>
      <c r="D59" s="649">
        <v>25806971</v>
      </c>
      <c r="E59" s="649">
        <v>26184283</v>
      </c>
    </row>
    <row r="60" spans="1:6" ht="26.1" customHeight="1" x14ac:dyDescent="0.25">
      <c r="A60" s="639">
        <v>2</v>
      </c>
      <c r="B60" s="640" t="s">
        <v>942</v>
      </c>
      <c r="C60" s="649">
        <v>6834320</v>
      </c>
      <c r="D60" s="649">
        <v>7915769</v>
      </c>
      <c r="E60" s="649">
        <v>8134838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31912324</v>
      </c>
      <c r="D61" s="652">
        <f>D59+D60</f>
        <v>33722740</v>
      </c>
      <c r="E61" s="652">
        <f>E59+E60</f>
        <v>34319121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5313901</v>
      </c>
      <c r="D64" s="641">
        <v>5482881</v>
      </c>
      <c r="E64" s="649">
        <v>5856368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1448158</v>
      </c>
      <c r="D65" s="649">
        <v>1592038</v>
      </c>
      <c r="E65" s="649">
        <v>1698577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6762059</v>
      </c>
      <c r="D66" s="654">
        <f>D64+D65</f>
        <v>7074919</v>
      </c>
      <c r="E66" s="654">
        <f>E64+E65</f>
        <v>7554945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44702900</v>
      </c>
      <c r="D69" s="649">
        <v>43826502</v>
      </c>
      <c r="E69" s="649">
        <v>45540909</v>
      </c>
    </row>
    <row r="70" spans="1:6" ht="26.1" customHeight="1" x14ac:dyDescent="0.25">
      <c r="A70" s="639">
        <v>2</v>
      </c>
      <c r="B70" s="640" t="s">
        <v>950</v>
      </c>
      <c r="C70" s="649">
        <v>12182546</v>
      </c>
      <c r="D70" s="649">
        <v>11482677</v>
      </c>
      <c r="E70" s="649">
        <v>11946049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56885446</v>
      </c>
      <c r="D71" s="652">
        <f>D69+D70</f>
        <v>55309179</v>
      </c>
      <c r="E71" s="652">
        <f>E69+E70</f>
        <v>57486958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75094805</v>
      </c>
      <c r="D75" s="641">
        <f t="shared" si="0"/>
        <v>75116354</v>
      </c>
      <c r="E75" s="641">
        <f t="shared" si="0"/>
        <v>77581560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20465024</v>
      </c>
      <c r="D76" s="641">
        <f t="shared" si="0"/>
        <v>20990484</v>
      </c>
      <c r="E76" s="641">
        <f t="shared" si="0"/>
        <v>21779464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95559829</v>
      </c>
      <c r="D77" s="654">
        <f>D75+D76</f>
        <v>96106838</v>
      </c>
      <c r="E77" s="654">
        <f>E75+E76</f>
        <v>99361024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330.1</v>
      </c>
      <c r="D80" s="646">
        <v>340.4</v>
      </c>
      <c r="E80" s="646">
        <v>321</v>
      </c>
    </row>
    <row r="81" spans="1:5" ht="26.1" customHeight="1" x14ac:dyDescent="0.25">
      <c r="A81" s="639">
        <v>2</v>
      </c>
      <c r="B81" s="640" t="s">
        <v>582</v>
      </c>
      <c r="C81" s="646">
        <v>14.4</v>
      </c>
      <c r="D81" s="646">
        <v>13.3</v>
      </c>
      <c r="E81" s="646">
        <v>16.7</v>
      </c>
    </row>
    <row r="82" spans="1:5" ht="26.1" customHeight="1" x14ac:dyDescent="0.25">
      <c r="A82" s="639">
        <v>3</v>
      </c>
      <c r="B82" s="640" t="s">
        <v>956</v>
      </c>
      <c r="C82" s="646">
        <v>810.8</v>
      </c>
      <c r="D82" s="646">
        <v>793.2</v>
      </c>
      <c r="E82" s="646">
        <v>801.2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1155.3</v>
      </c>
      <c r="D83" s="656">
        <f>D80+D81+D82</f>
        <v>1146.9000000000001</v>
      </c>
      <c r="E83" s="656">
        <f>E80+E81+E82</f>
        <v>1138.9000000000001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75970.930021205684</v>
      </c>
      <c r="D86" s="649">
        <f>IF(D80=0,0,D59/D80)</f>
        <v>75813.663337250298</v>
      </c>
      <c r="E86" s="649">
        <f>IF(E80=0,0,E59/E80)</f>
        <v>81570.975077881623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20703.786731293545</v>
      </c>
      <c r="D87" s="649">
        <f>IF(D80=0,0,D60/D80)</f>
        <v>23254.315511163339</v>
      </c>
      <c r="E87" s="649">
        <f>IF(E80=0,0,E60/E80)</f>
        <v>25342.174454828659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96674.716752499226</v>
      </c>
      <c r="D88" s="652">
        <f>+D86+D87</f>
        <v>99067.978848413637</v>
      </c>
      <c r="E88" s="652">
        <f>+E86+E87</f>
        <v>106913.14953271029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369020.90277777775</v>
      </c>
      <c r="D91" s="641">
        <f>IF(D81=0,0,D64/D81)</f>
        <v>412246.6917293233</v>
      </c>
      <c r="E91" s="641">
        <f>IF(E81=0,0,E64/E81)</f>
        <v>350680.71856287424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100566.52777777778</v>
      </c>
      <c r="D92" s="641">
        <f>IF(D81=0,0,D65/D81)</f>
        <v>119702.10526315789</v>
      </c>
      <c r="E92" s="641">
        <f>IF(E81=0,0,E65/E81)</f>
        <v>101711.19760479042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469587.4305555555</v>
      </c>
      <c r="D93" s="654">
        <f>+D91+D92</f>
        <v>531948.79699248122</v>
      </c>
      <c r="E93" s="654">
        <f>+E91+E92</f>
        <v>452391.91616766469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55134.311790823878</v>
      </c>
      <c r="D96" s="649">
        <f>IF(D82=0,0,D69/D82)</f>
        <v>55252.776096822992</v>
      </c>
      <c r="E96" s="649">
        <f>IF(E82=0,0,E69/E82)</f>
        <v>56840.87493759361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15025.340404538729</v>
      </c>
      <c r="D97" s="649">
        <f>IF(D82=0,0,D70/D82)</f>
        <v>14476.395612708016</v>
      </c>
      <c r="E97" s="649">
        <f>IF(E82=0,0,E70/E82)</f>
        <v>14910.1959560659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70159.652195362607</v>
      </c>
      <c r="D98" s="654">
        <f>+D96+D97</f>
        <v>69729.171709531016</v>
      </c>
      <c r="E98" s="654">
        <f>+E96+E97</f>
        <v>71751.070893659504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65000.264000692463</v>
      </c>
      <c r="D101" s="641">
        <f>IF(D83=0,0,D75/D83)</f>
        <v>65495.120760310398</v>
      </c>
      <c r="E101" s="641">
        <f>IF(E83=0,0,E75/E83)</f>
        <v>68119.729563614004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17714.034449926428</v>
      </c>
      <c r="D102" s="658">
        <f>IF(D83=0,0,D76/D83)</f>
        <v>18301.930421135232</v>
      </c>
      <c r="E102" s="658">
        <f>IF(E83=0,0,E76/E83)</f>
        <v>19123.245236631836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82714.298450618895</v>
      </c>
      <c r="D103" s="654">
        <f>+D101+D102</f>
        <v>83797.051181445626</v>
      </c>
      <c r="E103" s="654">
        <f>+E101+E102</f>
        <v>87242.974800245836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2141.1088481100578</v>
      </c>
      <c r="D108" s="641">
        <f>IF(D19=0,0,D77/D19)</f>
        <v>2138.7968843885615</v>
      </c>
      <c r="E108" s="641">
        <f>IF(E19=0,0,E77/E19)</f>
        <v>2285.4749626221965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10630.751919012126</v>
      </c>
      <c r="D109" s="641">
        <f>IF(D20=0,0,D77/D20)</f>
        <v>10550.756175211329</v>
      </c>
      <c r="E109" s="641">
        <f>IF(E20=0,0,E77/E20)</f>
        <v>10705.853248572352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832.18647155571637</v>
      </c>
      <c r="D110" s="641">
        <f>IF(D22=0,0,D77/D22)</f>
        <v>818.99285190075966</v>
      </c>
      <c r="E110" s="641">
        <f>IF(E22=0,0,E77/E22)</f>
        <v>815.5987494414627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4131.8627669377211</v>
      </c>
      <c r="D111" s="641">
        <f>IF(D23=0,0,D77/D23)</f>
        <v>4040.118981244992</v>
      </c>
      <c r="E111" s="641">
        <f>IF(E23=0,0,E77/E23)</f>
        <v>3820.5102501850652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675.60242516709354</v>
      </c>
      <c r="D112" s="641">
        <f>IF(D29=0,0,D77/D29)</f>
        <v>693.14532118427746</v>
      </c>
      <c r="E112" s="641">
        <f>IF(E29=0,0,E77/E29)</f>
        <v>727.69728472775876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3354.4122636147017</v>
      </c>
      <c r="D113" s="641">
        <f>IF(D30=0,0,D77/D30)</f>
        <v>3419.3089260528604</v>
      </c>
      <c r="E113" s="641">
        <f>IF(E30=0,0,E77/E30)</f>
        <v>3408.7533082145574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FILING&amp;R&amp;12MANCHESTER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419195385</v>
      </c>
      <c r="D12" s="51">
        <v>421321833</v>
      </c>
      <c r="E12" s="51">
        <f t="shared" ref="E12:E19" si="0">D12-C12</f>
        <v>2126448</v>
      </c>
      <c r="F12" s="70">
        <f t="shared" ref="F12:F19" si="1">IF(C12=0,0,E12/C12)</f>
        <v>5.0726894333533749E-3</v>
      </c>
    </row>
    <row r="13" spans="1:8" ht="23.1" customHeight="1" x14ac:dyDescent="0.2">
      <c r="A13" s="25">
        <v>2</v>
      </c>
      <c r="B13" s="48" t="s">
        <v>72</v>
      </c>
      <c r="C13" s="51">
        <v>250648024</v>
      </c>
      <c r="D13" s="51">
        <v>249881202</v>
      </c>
      <c r="E13" s="51">
        <f t="shared" si="0"/>
        <v>-766822</v>
      </c>
      <c r="F13" s="70">
        <f t="shared" si="1"/>
        <v>-3.0593578507524958E-3</v>
      </c>
    </row>
    <row r="14" spans="1:8" ht="23.1" customHeight="1" x14ac:dyDescent="0.2">
      <c r="A14" s="25">
        <v>3</v>
      </c>
      <c r="B14" s="48" t="s">
        <v>73</v>
      </c>
      <c r="C14" s="51">
        <v>2236613</v>
      </c>
      <c r="D14" s="51">
        <v>4838371</v>
      </c>
      <c r="E14" s="51">
        <f t="shared" si="0"/>
        <v>2601758</v>
      </c>
      <c r="F14" s="70">
        <f t="shared" si="1"/>
        <v>1.1632580155798076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166310748</v>
      </c>
      <c r="D16" s="27">
        <f>D12-D13-D14-D15</f>
        <v>166602260</v>
      </c>
      <c r="E16" s="27">
        <f t="shared" si="0"/>
        <v>291512</v>
      </c>
      <c r="F16" s="28">
        <f t="shared" si="1"/>
        <v>1.7528151578032707E-3</v>
      </c>
    </row>
    <row r="17" spans="1:7" ht="23.1" customHeight="1" x14ac:dyDescent="0.2">
      <c r="A17" s="25">
        <v>5</v>
      </c>
      <c r="B17" s="48" t="s">
        <v>76</v>
      </c>
      <c r="C17" s="51">
        <v>10347489</v>
      </c>
      <c r="D17" s="51">
        <v>12669852</v>
      </c>
      <c r="E17" s="51">
        <f t="shared" si="0"/>
        <v>2322363</v>
      </c>
      <c r="F17" s="70">
        <f t="shared" si="1"/>
        <v>0.22443734900322193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100773</v>
      </c>
      <c r="D18" s="51">
        <v>478506</v>
      </c>
      <c r="E18" s="51">
        <f t="shared" si="0"/>
        <v>377733</v>
      </c>
      <c r="F18" s="70">
        <f t="shared" si="1"/>
        <v>3.7483552141942784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176759010</v>
      </c>
      <c r="D19" s="27">
        <f>SUM(D16:D18)</f>
        <v>179750618</v>
      </c>
      <c r="E19" s="27">
        <f t="shared" si="0"/>
        <v>2991608</v>
      </c>
      <c r="F19" s="28">
        <f t="shared" si="1"/>
        <v>1.6924783636206156E-2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75116354</v>
      </c>
      <c r="D22" s="51">
        <v>77581560</v>
      </c>
      <c r="E22" s="51">
        <f t="shared" ref="E22:E31" si="2">D22-C22</f>
        <v>2465206</v>
      </c>
      <c r="F22" s="70">
        <f t="shared" ref="F22:F31" si="3">IF(C22=0,0,E22/C22)</f>
        <v>3.281849915132995E-2</v>
      </c>
    </row>
    <row r="23" spans="1:7" ht="23.1" customHeight="1" x14ac:dyDescent="0.2">
      <c r="A23" s="25">
        <v>2</v>
      </c>
      <c r="B23" s="48" t="s">
        <v>81</v>
      </c>
      <c r="C23" s="51">
        <v>20990484</v>
      </c>
      <c r="D23" s="51">
        <v>21779464</v>
      </c>
      <c r="E23" s="51">
        <f t="shared" si="2"/>
        <v>788980</v>
      </c>
      <c r="F23" s="70">
        <f t="shared" si="3"/>
        <v>3.7587508701562099E-2</v>
      </c>
    </row>
    <row r="24" spans="1:7" ht="23.1" customHeight="1" x14ac:dyDescent="0.2">
      <c r="A24" s="25">
        <v>3</v>
      </c>
      <c r="B24" s="48" t="s">
        <v>82</v>
      </c>
      <c r="C24" s="51">
        <v>6002814</v>
      </c>
      <c r="D24" s="51">
        <v>6685874</v>
      </c>
      <c r="E24" s="51">
        <f t="shared" si="2"/>
        <v>683060</v>
      </c>
      <c r="F24" s="70">
        <f t="shared" si="3"/>
        <v>0.11378996583935468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26604683</v>
      </c>
      <c r="D25" s="51">
        <v>24878879</v>
      </c>
      <c r="E25" s="51">
        <f t="shared" si="2"/>
        <v>-1725804</v>
      </c>
      <c r="F25" s="70">
        <f t="shared" si="3"/>
        <v>-6.4868429366363806E-2</v>
      </c>
    </row>
    <row r="26" spans="1:7" ht="23.1" customHeight="1" x14ac:dyDescent="0.2">
      <c r="A26" s="25">
        <v>5</v>
      </c>
      <c r="B26" s="48" t="s">
        <v>84</v>
      </c>
      <c r="C26" s="51">
        <v>7666028</v>
      </c>
      <c r="D26" s="51">
        <v>7107904</v>
      </c>
      <c r="E26" s="51">
        <f t="shared" si="2"/>
        <v>-558124</v>
      </c>
      <c r="F26" s="70">
        <f t="shared" si="3"/>
        <v>-7.2804847569040973E-2</v>
      </c>
    </row>
    <row r="27" spans="1:7" ht="23.1" customHeight="1" x14ac:dyDescent="0.2">
      <c r="A27" s="25">
        <v>6</v>
      </c>
      <c r="B27" s="48" t="s">
        <v>85</v>
      </c>
      <c r="C27" s="51">
        <v>6712599</v>
      </c>
      <c r="D27" s="51">
        <v>6164670</v>
      </c>
      <c r="E27" s="51">
        <f t="shared" si="2"/>
        <v>-547929</v>
      </c>
      <c r="F27" s="70">
        <f t="shared" si="3"/>
        <v>-8.162695254103515E-2</v>
      </c>
    </row>
    <row r="28" spans="1:7" ht="23.1" customHeight="1" x14ac:dyDescent="0.2">
      <c r="A28" s="25">
        <v>7</v>
      </c>
      <c r="B28" s="48" t="s">
        <v>86</v>
      </c>
      <c r="C28" s="51">
        <v>2528633</v>
      </c>
      <c r="D28" s="51">
        <v>2539198</v>
      </c>
      <c r="E28" s="51">
        <f t="shared" si="2"/>
        <v>10565</v>
      </c>
      <c r="F28" s="70">
        <f t="shared" si="3"/>
        <v>4.1781468485145926E-3</v>
      </c>
    </row>
    <row r="29" spans="1:7" ht="23.1" customHeight="1" x14ac:dyDescent="0.2">
      <c r="A29" s="25">
        <v>8</v>
      </c>
      <c r="B29" s="48" t="s">
        <v>87</v>
      </c>
      <c r="C29" s="51">
        <v>2281064</v>
      </c>
      <c r="D29" s="51">
        <v>1786350</v>
      </c>
      <c r="E29" s="51">
        <f t="shared" si="2"/>
        <v>-494714</v>
      </c>
      <c r="F29" s="70">
        <f t="shared" si="3"/>
        <v>-0.21687861454128424</v>
      </c>
    </row>
    <row r="30" spans="1:7" ht="23.1" customHeight="1" x14ac:dyDescent="0.2">
      <c r="A30" s="25">
        <v>9</v>
      </c>
      <c r="B30" s="48" t="s">
        <v>88</v>
      </c>
      <c r="C30" s="51">
        <v>22332089</v>
      </c>
      <c r="D30" s="51">
        <v>24798767</v>
      </c>
      <c r="E30" s="51">
        <f t="shared" si="2"/>
        <v>2466678</v>
      </c>
      <c r="F30" s="70">
        <f t="shared" si="3"/>
        <v>0.11045442278149617</v>
      </c>
    </row>
    <row r="31" spans="1:7" ht="23.1" customHeight="1" x14ac:dyDescent="0.25">
      <c r="A31" s="29"/>
      <c r="B31" s="71" t="s">
        <v>89</v>
      </c>
      <c r="C31" s="27">
        <f>SUM(C22:C30)</f>
        <v>170234748</v>
      </c>
      <c r="D31" s="27">
        <f>SUM(D22:D30)</f>
        <v>173322666</v>
      </c>
      <c r="E31" s="27">
        <f t="shared" si="2"/>
        <v>3087918</v>
      </c>
      <c r="F31" s="28">
        <f t="shared" si="3"/>
        <v>1.813917567522701E-2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6524262</v>
      </c>
      <c r="D33" s="27">
        <f>+D19-D31</f>
        <v>6427952</v>
      </c>
      <c r="E33" s="27">
        <f>D33-C33</f>
        <v>-96310</v>
      </c>
      <c r="F33" s="28">
        <f>IF(C33=0,0,E33/C33)</f>
        <v>-1.476182286977439E-2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31573</v>
      </c>
      <c r="D36" s="51">
        <v>64367</v>
      </c>
      <c r="E36" s="51">
        <f>D36-C36</f>
        <v>32794</v>
      </c>
      <c r="F36" s="70">
        <f>IF(C36=0,0,E36/C36)</f>
        <v>1.0386722832800177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-873701</v>
      </c>
      <c r="D38" s="51">
        <v>-428674</v>
      </c>
      <c r="E38" s="51">
        <f>D38-C38</f>
        <v>445027</v>
      </c>
      <c r="F38" s="70">
        <f>IF(C38=0,0,E38/C38)</f>
        <v>-0.50935846473793667</v>
      </c>
    </row>
    <row r="39" spans="1:6" ht="23.1" customHeight="1" x14ac:dyDescent="0.25">
      <c r="A39" s="20"/>
      <c r="B39" s="71" t="s">
        <v>95</v>
      </c>
      <c r="C39" s="27">
        <f>SUM(C36:C38)</f>
        <v>-842128</v>
      </c>
      <c r="D39" s="27">
        <f>SUM(D36:D38)</f>
        <v>-364307</v>
      </c>
      <c r="E39" s="27">
        <f>D39-C39</f>
        <v>477821</v>
      </c>
      <c r="F39" s="28">
        <f>IF(C39=0,0,E39/C39)</f>
        <v>-0.56739711777781998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5682134</v>
      </c>
      <c r="D41" s="27">
        <f>D33+D39</f>
        <v>6063645</v>
      </c>
      <c r="E41" s="27">
        <f>D41-C41</f>
        <v>381511</v>
      </c>
      <c r="F41" s="28">
        <f>IF(C41=0,0,E41/C41)</f>
        <v>6.7142203967734654E-2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5682134</v>
      </c>
      <c r="D48" s="27">
        <f>D41+D46</f>
        <v>6063645</v>
      </c>
      <c r="E48" s="27">
        <f>D48-C48</f>
        <v>381511</v>
      </c>
      <c r="F48" s="28">
        <f>IF(C48=0,0,E48/C48)</f>
        <v>6.7142203967734654E-2</v>
      </c>
    </row>
    <row r="49" spans="1:6" ht="23.1" customHeight="1" x14ac:dyDescent="0.2">
      <c r="A49" s="44"/>
      <c r="B49" s="48" t="s">
        <v>102</v>
      </c>
      <c r="C49" s="51">
        <v>2778793</v>
      </c>
      <c r="D49" s="51">
        <v>4682252</v>
      </c>
      <c r="E49" s="51">
        <f>D49-C49</f>
        <v>1903459</v>
      </c>
      <c r="F49" s="70">
        <f>IF(C49=0,0,E49/C49)</f>
        <v>0.68499488806830877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FILING&amp;RMANCHESTER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1" t="s">
        <v>0</v>
      </c>
      <c r="B2" s="671"/>
      <c r="C2" s="671"/>
      <c r="D2" s="671"/>
      <c r="E2" s="671"/>
      <c r="F2" s="671"/>
    </row>
    <row r="3" spans="1:6" ht="18" customHeight="1" x14ac:dyDescent="0.25">
      <c r="A3" s="671" t="s">
        <v>1</v>
      </c>
      <c r="B3" s="671"/>
      <c r="C3" s="671"/>
      <c r="D3" s="671"/>
      <c r="E3" s="671"/>
      <c r="F3" s="671"/>
    </row>
    <row r="4" spans="1:6" ht="18" customHeight="1" x14ac:dyDescent="0.25">
      <c r="A4" s="671" t="s">
        <v>2</v>
      </c>
      <c r="B4" s="671"/>
      <c r="C4" s="671"/>
      <c r="D4" s="671"/>
      <c r="E4" s="671"/>
      <c r="F4" s="671"/>
    </row>
    <row r="5" spans="1:6" ht="18" customHeight="1" x14ac:dyDescent="0.25">
      <c r="A5" s="671" t="s">
        <v>103</v>
      </c>
      <c r="B5" s="671"/>
      <c r="C5" s="671"/>
      <c r="D5" s="671"/>
      <c r="E5" s="671"/>
      <c r="F5" s="671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2"/>
      <c r="D9" s="673"/>
      <c r="E9" s="673"/>
      <c r="F9" s="674"/>
    </row>
    <row r="10" spans="1:6" ht="18" customHeight="1" x14ac:dyDescent="0.25">
      <c r="A10" s="661" t="s">
        <v>12</v>
      </c>
      <c r="B10" s="663" t="s">
        <v>109</v>
      </c>
      <c r="C10" s="665"/>
      <c r="D10" s="666"/>
      <c r="E10" s="666"/>
      <c r="F10" s="667"/>
    </row>
    <row r="11" spans="1:6" ht="18" customHeight="1" x14ac:dyDescent="0.25">
      <c r="A11" s="662"/>
      <c r="B11" s="664"/>
      <c r="C11" s="668"/>
      <c r="D11" s="669"/>
      <c r="E11" s="669"/>
      <c r="F11" s="670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76599038</v>
      </c>
      <c r="D14" s="97">
        <v>68002706</v>
      </c>
      <c r="E14" s="97">
        <f t="shared" ref="E14:E25" si="0">D14-C14</f>
        <v>-8596332</v>
      </c>
      <c r="F14" s="98">
        <f t="shared" ref="F14:F25" si="1">IF(C14=0,0,E14/C14)</f>
        <v>-0.11222506475864619</v>
      </c>
    </row>
    <row r="15" spans="1:6" ht="18" customHeight="1" x14ac:dyDescent="0.25">
      <c r="A15" s="99">
        <v>2</v>
      </c>
      <c r="B15" s="100" t="s">
        <v>113</v>
      </c>
      <c r="C15" s="97">
        <v>14764166</v>
      </c>
      <c r="D15" s="97">
        <v>13437063</v>
      </c>
      <c r="E15" s="97">
        <f t="shared" si="0"/>
        <v>-1327103</v>
      </c>
      <c r="F15" s="98">
        <f t="shared" si="1"/>
        <v>-8.9886756895038972E-2</v>
      </c>
    </row>
    <row r="16" spans="1:6" ht="18" customHeight="1" x14ac:dyDescent="0.25">
      <c r="A16" s="99">
        <v>3</v>
      </c>
      <c r="B16" s="100" t="s">
        <v>114</v>
      </c>
      <c r="C16" s="97">
        <v>8820453</v>
      </c>
      <c r="D16" s="97">
        <v>15458737</v>
      </c>
      <c r="E16" s="97">
        <f t="shared" si="0"/>
        <v>6638284</v>
      </c>
      <c r="F16" s="98">
        <f t="shared" si="1"/>
        <v>0.75260125528700172</v>
      </c>
    </row>
    <row r="17" spans="1:6" ht="18" customHeight="1" x14ac:dyDescent="0.25">
      <c r="A17" s="99">
        <v>4</v>
      </c>
      <c r="B17" s="100" t="s">
        <v>115</v>
      </c>
      <c r="C17" s="97">
        <v>7332763</v>
      </c>
      <c r="D17" s="97">
        <v>8681588</v>
      </c>
      <c r="E17" s="97">
        <f t="shared" si="0"/>
        <v>1348825</v>
      </c>
      <c r="F17" s="98">
        <f t="shared" si="1"/>
        <v>0.18394498772154508</v>
      </c>
    </row>
    <row r="18" spans="1:6" ht="18" customHeight="1" x14ac:dyDescent="0.25">
      <c r="A18" s="99">
        <v>5</v>
      </c>
      <c r="B18" s="100" t="s">
        <v>116</v>
      </c>
      <c r="C18" s="97">
        <v>431607</v>
      </c>
      <c r="D18" s="97">
        <v>493077</v>
      </c>
      <c r="E18" s="97">
        <f t="shared" si="0"/>
        <v>61470</v>
      </c>
      <c r="F18" s="98">
        <f t="shared" si="1"/>
        <v>0.14242123042490043</v>
      </c>
    </row>
    <row r="19" spans="1:6" ht="18" customHeight="1" x14ac:dyDescent="0.25">
      <c r="A19" s="99">
        <v>6</v>
      </c>
      <c r="B19" s="100" t="s">
        <v>117</v>
      </c>
      <c r="C19" s="97">
        <v>2928022</v>
      </c>
      <c r="D19" s="97">
        <v>3217791</v>
      </c>
      <c r="E19" s="97">
        <f t="shared" si="0"/>
        <v>289769</v>
      </c>
      <c r="F19" s="98">
        <f t="shared" si="1"/>
        <v>9.8964078821812129E-2</v>
      </c>
    </row>
    <row r="20" spans="1:6" ht="18" customHeight="1" x14ac:dyDescent="0.25">
      <c r="A20" s="99">
        <v>7</v>
      </c>
      <c r="B20" s="100" t="s">
        <v>118</v>
      </c>
      <c r="C20" s="97">
        <v>40259556</v>
      </c>
      <c r="D20" s="97">
        <v>37865823</v>
      </c>
      <c r="E20" s="97">
        <f t="shared" si="0"/>
        <v>-2393733</v>
      </c>
      <c r="F20" s="98">
        <f t="shared" si="1"/>
        <v>-5.9457511155860739E-2</v>
      </c>
    </row>
    <row r="21" spans="1:6" ht="18" customHeight="1" x14ac:dyDescent="0.25">
      <c r="A21" s="99">
        <v>8</v>
      </c>
      <c r="B21" s="100" t="s">
        <v>119</v>
      </c>
      <c r="C21" s="97">
        <v>623238</v>
      </c>
      <c r="D21" s="97">
        <v>600319</v>
      </c>
      <c r="E21" s="97">
        <f t="shared" si="0"/>
        <v>-22919</v>
      </c>
      <c r="F21" s="98">
        <f t="shared" si="1"/>
        <v>-3.6774073467920762E-2</v>
      </c>
    </row>
    <row r="22" spans="1:6" ht="18" customHeight="1" x14ac:dyDescent="0.25">
      <c r="A22" s="99">
        <v>9</v>
      </c>
      <c r="B22" s="100" t="s">
        <v>120</v>
      </c>
      <c r="C22" s="97">
        <v>3498834</v>
      </c>
      <c r="D22" s="97">
        <v>2596225</v>
      </c>
      <c r="E22" s="97">
        <f t="shared" si="0"/>
        <v>-902609</v>
      </c>
      <c r="F22" s="98">
        <f t="shared" si="1"/>
        <v>-0.2579742279856661</v>
      </c>
    </row>
    <row r="23" spans="1:6" ht="18" customHeight="1" x14ac:dyDescent="0.25">
      <c r="A23" s="99">
        <v>10</v>
      </c>
      <c r="B23" s="100" t="s">
        <v>121</v>
      </c>
      <c r="C23" s="97">
        <v>5261546</v>
      </c>
      <c r="D23" s="97">
        <v>0</v>
      </c>
      <c r="E23" s="97">
        <f t="shared" si="0"/>
        <v>-5261546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160519223</v>
      </c>
      <c r="D25" s="103">
        <f>SUM(D14:D24)</f>
        <v>150353329</v>
      </c>
      <c r="E25" s="103">
        <f t="shared" si="0"/>
        <v>-10165894</v>
      </c>
      <c r="F25" s="104">
        <f t="shared" si="1"/>
        <v>-6.3331318268342235E-2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71483647</v>
      </c>
      <c r="D27" s="97">
        <v>72291459</v>
      </c>
      <c r="E27" s="97">
        <f t="shared" ref="E27:E38" si="2">D27-C27</f>
        <v>807812</v>
      </c>
      <c r="F27" s="98">
        <f t="shared" ref="F27:F38" si="3">IF(C27=0,0,E27/C27)</f>
        <v>1.1300654539911765E-2</v>
      </c>
    </row>
    <row r="28" spans="1:6" ht="18" customHeight="1" x14ac:dyDescent="0.25">
      <c r="A28" s="99">
        <v>2</v>
      </c>
      <c r="B28" s="100" t="s">
        <v>113</v>
      </c>
      <c r="C28" s="97">
        <v>16830656</v>
      </c>
      <c r="D28" s="97">
        <v>18435526</v>
      </c>
      <c r="E28" s="97">
        <f t="shared" si="2"/>
        <v>1604870</v>
      </c>
      <c r="F28" s="98">
        <f t="shared" si="3"/>
        <v>9.535397788416565E-2</v>
      </c>
    </row>
    <row r="29" spans="1:6" ht="18" customHeight="1" x14ac:dyDescent="0.25">
      <c r="A29" s="99">
        <v>3</v>
      </c>
      <c r="B29" s="100" t="s">
        <v>114</v>
      </c>
      <c r="C29" s="97">
        <v>8612159</v>
      </c>
      <c r="D29" s="97">
        <v>22454059</v>
      </c>
      <c r="E29" s="97">
        <f t="shared" si="2"/>
        <v>13841900</v>
      </c>
      <c r="F29" s="98">
        <f t="shared" si="3"/>
        <v>1.6072508647367054</v>
      </c>
    </row>
    <row r="30" spans="1:6" ht="18" customHeight="1" x14ac:dyDescent="0.25">
      <c r="A30" s="99">
        <v>4</v>
      </c>
      <c r="B30" s="100" t="s">
        <v>115</v>
      </c>
      <c r="C30" s="97">
        <v>23286718</v>
      </c>
      <c r="D30" s="97">
        <v>25225151</v>
      </c>
      <c r="E30" s="97">
        <f t="shared" si="2"/>
        <v>1938433</v>
      </c>
      <c r="F30" s="98">
        <f t="shared" si="3"/>
        <v>8.3242000869336766E-2</v>
      </c>
    </row>
    <row r="31" spans="1:6" ht="18" customHeight="1" x14ac:dyDescent="0.25">
      <c r="A31" s="99">
        <v>5</v>
      </c>
      <c r="B31" s="100" t="s">
        <v>116</v>
      </c>
      <c r="C31" s="97">
        <v>1049235</v>
      </c>
      <c r="D31" s="97">
        <v>1306300</v>
      </c>
      <c r="E31" s="97">
        <f t="shared" si="2"/>
        <v>257065</v>
      </c>
      <c r="F31" s="98">
        <f t="shared" si="3"/>
        <v>0.24500231120768942</v>
      </c>
    </row>
    <row r="32" spans="1:6" ht="18" customHeight="1" x14ac:dyDescent="0.25">
      <c r="A32" s="99">
        <v>6</v>
      </c>
      <c r="B32" s="100" t="s">
        <v>117</v>
      </c>
      <c r="C32" s="97">
        <v>6042020</v>
      </c>
      <c r="D32" s="97">
        <v>6972343</v>
      </c>
      <c r="E32" s="97">
        <f t="shared" si="2"/>
        <v>930323</v>
      </c>
      <c r="F32" s="98">
        <f t="shared" si="3"/>
        <v>0.15397549164021304</v>
      </c>
    </row>
    <row r="33" spans="1:6" ht="18" customHeight="1" x14ac:dyDescent="0.25">
      <c r="A33" s="99">
        <v>7</v>
      </c>
      <c r="B33" s="100" t="s">
        <v>118</v>
      </c>
      <c r="C33" s="97">
        <v>109873375</v>
      </c>
      <c r="D33" s="97">
        <v>111669081</v>
      </c>
      <c r="E33" s="97">
        <f t="shared" si="2"/>
        <v>1795706</v>
      </c>
      <c r="F33" s="98">
        <f t="shared" si="3"/>
        <v>1.6343413497583014E-2</v>
      </c>
    </row>
    <row r="34" spans="1:6" ht="18" customHeight="1" x14ac:dyDescent="0.25">
      <c r="A34" s="99">
        <v>8</v>
      </c>
      <c r="B34" s="100" t="s">
        <v>119</v>
      </c>
      <c r="C34" s="97">
        <v>3732029</v>
      </c>
      <c r="D34" s="97">
        <v>3856331</v>
      </c>
      <c r="E34" s="97">
        <f t="shared" si="2"/>
        <v>124302</v>
      </c>
      <c r="F34" s="98">
        <f t="shared" si="3"/>
        <v>3.3306815139968096E-2</v>
      </c>
    </row>
    <row r="35" spans="1:6" ht="18" customHeight="1" x14ac:dyDescent="0.25">
      <c r="A35" s="99">
        <v>9</v>
      </c>
      <c r="B35" s="100" t="s">
        <v>120</v>
      </c>
      <c r="C35" s="97">
        <v>8874148</v>
      </c>
      <c r="D35" s="97">
        <v>8757284</v>
      </c>
      <c r="E35" s="97">
        <f t="shared" si="2"/>
        <v>-116864</v>
      </c>
      <c r="F35" s="98">
        <f t="shared" si="3"/>
        <v>-1.3169038875619384E-2</v>
      </c>
    </row>
    <row r="36" spans="1:6" ht="18" customHeight="1" x14ac:dyDescent="0.25">
      <c r="A36" s="99">
        <v>10</v>
      </c>
      <c r="B36" s="100" t="s">
        <v>121</v>
      </c>
      <c r="C36" s="97">
        <v>8892163</v>
      </c>
      <c r="D36" s="97">
        <v>0</v>
      </c>
      <c r="E36" s="97">
        <f t="shared" si="2"/>
        <v>-8892163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258676150</v>
      </c>
      <c r="D38" s="103">
        <f>SUM(D27:D37)</f>
        <v>270967534</v>
      </c>
      <c r="E38" s="103">
        <f t="shared" si="2"/>
        <v>12291384</v>
      </c>
      <c r="F38" s="104">
        <f t="shared" si="3"/>
        <v>4.7516495046025696E-2</v>
      </c>
    </row>
    <row r="39" spans="1:6" ht="18" customHeight="1" x14ac:dyDescent="0.25">
      <c r="A39" s="661" t="s">
        <v>127</v>
      </c>
      <c r="B39" s="663" t="s">
        <v>128</v>
      </c>
      <c r="C39" s="665"/>
      <c r="D39" s="666"/>
      <c r="E39" s="666"/>
      <c r="F39" s="667"/>
    </row>
    <row r="40" spans="1:6" ht="18" customHeight="1" x14ac:dyDescent="0.25">
      <c r="A40" s="662"/>
      <c r="B40" s="664"/>
      <c r="C40" s="668"/>
      <c r="D40" s="669"/>
      <c r="E40" s="669"/>
      <c r="F40" s="670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148082685</v>
      </c>
      <c r="D41" s="103">
        <f t="shared" si="4"/>
        <v>140294165</v>
      </c>
      <c r="E41" s="107">
        <f t="shared" ref="E41:E52" si="5">D41-C41</f>
        <v>-7788520</v>
      </c>
      <c r="F41" s="108">
        <f t="shared" ref="F41:F52" si="6">IF(C41=0,0,E41/C41)</f>
        <v>-5.2595750813135243E-2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31594822</v>
      </c>
      <c r="D42" s="103">
        <f t="shared" si="4"/>
        <v>31872589</v>
      </c>
      <c r="E42" s="107">
        <f t="shared" si="5"/>
        <v>277767</v>
      </c>
      <c r="F42" s="108">
        <f t="shared" si="6"/>
        <v>8.7915355243970046E-3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17432612</v>
      </c>
      <c r="D43" s="103">
        <f t="shared" si="4"/>
        <v>37912796</v>
      </c>
      <c r="E43" s="107">
        <f t="shared" si="5"/>
        <v>20480184</v>
      </c>
      <c r="F43" s="108">
        <f t="shared" si="6"/>
        <v>1.1748201589067662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30619481</v>
      </c>
      <c r="D44" s="103">
        <f t="shared" si="4"/>
        <v>33906739</v>
      </c>
      <c r="E44" s="107">
        <f t="shared" si="5"/>
        <v>3287258</v>
      </c>
      <c r="F44" s="108">
        <f t="shared" si="6"/>
        <v>0.10735838403008856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1480842</v>
      </c>
      <c r="D45" s="103">
        <f t="shared" si="4"/>
        <v>1799377</v>
      </c>
      <c r="E45" s="107">
        <f t="shared" si="5"/>
        <v>318535</v>
      </c>
      <c r="F45" s="108">
        <f t="shared" si="6"/>
        <v>0.21510397463064931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8970042</v>
      </c>
      <c r="D46" s="103">
        <f t="shared" si="4"/>
        <v>10190134</v>
      </c>
      <c r="E46" s="107">
        <f t="shared" si="5"/>
        <v>1220092</v>
      </c>
      <c r="F46" s="108">
        <f t="shared" si="6"/>
        <v>0.13601853815177231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150132931</v>
      </c>
      <c r="D47" s="103">
        <f t="shared" si="4"/>
        <v>149534904</v>
      </c>
      <c r="E47" s="107">
        <f t="shared" si="5"/>
        <v>-598027</v>
      </c>
      <c r="F47" s="108">
        <f t="shared" si="6"/>
        <v>-3.9833166249182202E-3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4355267</v>
      </c>
      <c r="D48" s="103">
        <f t="shared" si="4"/>
        <v>4456650</v>
      </c>
      <c r="E48" s="107">
        <f t="shared" si="5"/>
        <v>101383</v>
      </c>
      <c r="F48" s="108">
        <f t="shared" si="6"/>
        <v>2.3278251367826588E-2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12372982</v>
      </c>
      <c r="D49" s="103">
        <f t="shared" si="4"/>
        <v>11353509</v>
      </c>
      <c r="E49" s="107">
        <f t="shared" si="5"/>
        <v>-1019473</v>
      </c>
      <c r="F49" s="108">
        <f t="shared" si="6"/>
        <v>-8.2395092791697266E-2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14153709</v>
      </c>
      <c r="D50" s="103">
        <f t="shared" si="4"/>
        <v>0</v>
      </c>
      <c r="E50" s="107">
        <f t="shared" si="5"/>
        <v>-14153709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419195373</v>
      </c>
      <c r="D52" s="112">
        <f>SUM(D41:D51)</f>
        <v>421320863</v>
      </c>
      <c r="E52" s="111">
        <f t="shared" si="5"/>
        <v>2125490</v>
      </c>
      <c r="F52" s="113">
        <f t="shared" si="6"/>
        <v>5.07040424799727E-3</v>
      </c>
    </row>
    <row r="53" spans="1:6" ht="18" customHeight="1" x14ac:dyDescent="0.25">
      <c r="A53" s="661" t="s">
        <v>44</v>
      </c>
      <c r="B53" s="663" t="s">
        <v>129</v>
      </c>
      <c r="C53" s="665"/>
      <c r="D53" s="666"/>
      <c r="E53" s="666"/>
      <c r="F53" s="667"/>
    </row>
    <row r="54" spans="1:6" ht="18" customHeight="1" x14ac:dyDescent="0.25">
      <c r="A54" s="662"/>
      <c r="B54" s="664"/>
      <c r="C54" s="668"/>
      <c r="D54" s="669"/>
      <c r="E54" s="669"/>
      <c r="F54" s="670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29143303</v>
      </c>
      <c r="D57" s="97">
        <v>25053392</v>
      </c>
      <c r="E57" s="97">
        <f t="shared" ref="E57:E68" si="7">D57-C57</f>
        <v>-4089911</v>
      </c>
      <c r="F57" s="98">
        <f t="shared" ref="F57:F68" si="8">IF(C57=0,0,E57/C57)</f>
        <v>-0.14033793630049415</v>
      </c>
    </row>
    <row r="58" spans="1:6" ht="18" customHeight="1" x14ac:dyDescent="0.25">
      <c r="A58" s="99">
        <v>2</v>
      </c>
      <c r="B58" s="100" t="s">
        <v>113</v>
      </c>
      <c r="C58" s="97">
        <v>6847971</v>
      </c>
      <c r="D58" s="97">
        <v>5616787</v>
      </c>
      <c r="E58" s="97">
        <f t="shared" si="7"/>
        <v>-1231184</v>
      </c>
      <c r="F58" s="98">
        <f t="shared" si="8"/>
        <v>-0.17978814454675698</v>
      </c>
    </row>
    <row r="59" spans="1:6" ht="18" customHeight="1" x14ac:dyDescent="0.25">
      <c r="A59" s="99">
        <v>3</v>
      </c>
      <c r="B59" s="100" t="s">
        <v>114</v>
      </c>
      <c r="C59" s="97">
        <v>2930264</v>
      </c>
      <c r="D59" s="97">
        <v>5049155</v>
      </c>
      <c r="E59" s="97">
        <f t="shared" si="7"/>
        <v>2118891</v>
      </c>
      <c r="F59" s="98">
        <f t="shared" si="8"/>
        <v>0.72310583619769409</v>
      </c>
    </row>
    <row r="60" spans="1:6" ht="18" customHeight="1" x14ac:dyDescent="0.25">
      <c r="A60" s="99">
        <v>4</v>
      </c>
      <c r="B60" s="100" t="s">
        <v>115</v>
      </c>
      <c r="C60" s="97">
        <v>2659173</v>
      </c>
      <c r="D60" s="97">
        <v>3657093</v>
      </c>
      <c r="E60" s="97">
        <f t="shared" si="7"/>
        <v>997920</v>
      </c>
      <c r="F60" s="98">
        <f t="shared" si="8"/>
        <v>0.37527456844665619</v>
      </c>
    </row>
    <row r="61" spans="1:6" ht="18" customHeight="1" x14ac:dyDescent="0.25">
      <c r="A61" s="99">
        <v>5</v>
      </c>
      <c r="B61" s="100" t="s">
        <v>116</v>
      </c>
      <c r="C61" s="97">
        <v>262414</v>
      </c>
      <c r="D61" s="97">
        <v>240067</v>
      </c>
      <c r="E61" s="97">
        <f t="shared" si="7"/>
        <v>-22347</v>
      </c>
      <c r="F61" s="98">
        <f t="shared" si="8"/>
        <v>-8.5159328389491418E-2</v>
      </c>
    </row>
    <row r="62" spans="1:6" ht="18" customHeight="1" x14ac:dyDescent="0.25">
      <c r="A62" s="99">
        <v>6</v>
      </c>
      <c r="B62" s="100" t="s">
        <v>117</v>
      </c>
      <c r="C62" s="97">
        <v>1632677</v>
      </c>
      <c r="D62" s="97">
        <v>2590213</v>
      </c>
      <c r="E62" s="97">
        <f t="shared" si="7"/>
        <v>957536</v>
      </c>
      <c r="F62" s="98">
        <f t="shared" si="8"/>
        <v>0.58648220070473212</v>
      </c>
    </row>
    <row r="63" spans="1:6" ht="18" customHeight="1" x14ac:dyDescent="0.25">
      <c r="A63" s="99">
        <v>7</v>
      </c>
      <c r="B63" s="100" t="s">
        <v>118</v>
      </c>
      <c r="C63" s="97">
        <v>21781846</v>
      </c>
      <c r="D63" s="97">
        <v>22853876</v>
      </c>
      <c r="E63" s="97">
        <f t="shared" si="7"/>
        <v>1072030</v>
      </c>
      <c r="F63" s="98">
        <f t="shared" si="8"/>
        <v>4.9216673371026497E-2</v>
      </c>
    </row>
    <row r="64" spans="1:6" ht="18" customHeight="1" x14ac:dyDescent="0.25">
      <c r="A64" s="99">
        <v>8</v>
      </c>
      <c r="B64" s="100" t="s">
        <v>119</v>
      </c>
      <c r="C64" s="97">
        <v>361798</v>
      </c>
      <c r="D64" s="97">
        <v>339460</v>
      </c>
      <c r="E64" s="97">
        <f t="shared" si="7"/>
        <v>-22338</v>
      </c>
      <c r="F64" s="98">
        <f t="shared" si="8"/>
        <v>-6.1741634834907876E-2</v>
      </c>
    </row>
    <row r="65" spans="1:6" ht="18" customHeight="1" x14ac:dyDescent="0.25">
      <c r="A65" s="99">
        <v>9</v>
      </c>
      <c r="B65" s="100" t="s">
        <v>120</v>
      </c>
      <c r="C65" s="97">
        <v>834918</v>
      </c>
      <c r="D65" s="97">
        <v>37680</v>
      </c>
      <c r="E65" s="97">
        <f t="shared" si="7"/>
        <v>-797238</v>
      </c>
      <c r="F65" s="98">
        <f t="shared" si="8"/>
        <v>-0.95486981955114159</v>
      </c>
    </row>
    <row r="66" spans="1:6" ht="18" customHeight="1" x14ac:dyDescent="0.25">
      <c r="A66" s="99">
        <v>10</v>
      </c>
      <c r="B66" s="100" t="s">
        <v>121</v>
      </c>
      <c r="C66" s="97">
        <v>1523482</v>
      </c>
      <c r="D66" s="97">
        <v>0</v>
      </c>
      <c r="E66" s="97">
        <f t="shared" si="7"/>
        <v>-1523482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67977846</v>
      </c>
      <c r="D68" s="103">
        <f>SUM(D57:D67)</f>
        <v>65437723</v>
      </c>
      <c r="E68" s="103">
        <f t="shared" si="7"/>
        <v>-2540123</v>
      </c>
      <c r="F68" s="104">
        <f t="shared" si="8"/>
        <v>-3.7366923924009005E-2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20050932</v>
      </c>
      <c r="D70" s="97">
        <v>19759226</v>
      </c>
      <c r="E70" s="97">
        <f t="shared" ref="E70:E81" si="9">D70-C70</f>
        <v>-291706</v>
      </c>
      <c r="F70" s="98">
        <f t="shared" ref="F70:F81" si="10">IF(C70=0,0,E70/C70)</f>
        <v>-1.4548251422926376E-2</v>
      </c>
    </row>
    <row r="71" spans="1:6" ht="18" customHeight="1" x14ac:dyDescent="0.25">
      <c r="A71" s="99">
        <v>2</v>
      </c>
      <c r="B71" s="100" t="s">
        <v>113</v>
      </c>
      <c r="C71" s="97">
        <v>5529001</v>
      </c>
      <c r="D71" s="97">
        <v>4571857</v>
      </c>
      <c r="E71" s="97">
        <f t="shared" si="9"/>
        <v>-957144</v>
      </c>
      <c r="F71" s="98">
        <f t="shared" si="10"/>
        <v>-0.17311337075178682</v>
      </c>
    </row>
    <row r="72" spans="1:6" ht="18" customHeight="1" x14ac:dyDescent="0.25">
      <c r="A72" s="99">
        <v>3</v>
      </c>
      <c r="B72" s="100" t="s">
        <v>114</v>
      </c>
      <c r="C72" s="97">
        <v>1630953</v>
      </c>
      <c r="D72" s="97">
        <v>4188813</v>
      </c>
      <c r="E72" s="97">
        <f t="shared" si="9"/>
        <v>2557860</v>
      </c>
      <c r="F72" s="98">
        <f t="shared" si="10"/>
        <v>1.5683223244324025</v>
      </c>
    </row>
    <row r="73" spans="1:6" ht="18" customHeight="1" x14ac:dyDescent="0.25">
      <c r="A73" s="99">
        <v>4</v>
      </c>
      <c r="B73" s="100" t="s">
        <v>115</v>
      </c>
      <c r="C73" s="97">
        <v>5617966</v>
      </c>
      <c r="D73" s="97">
        <v>5628932</v>
      </c>
      <c r="E73" s="97">
        <f t="shared" si="9"/>
        <v>10966</v>
      </c>
      <c r="F73" s="98">
        <f t="shared" si="10"/>
        <v>1.9519520054055151E-3</v>
      </c>
    </row>
    <row r="74" spans="1:6" ht="18" customHeight="1" x14ac:dyDescent="0.25">
      <c r="A74" s="99">
        <v>5</v>
      </c>
      <c r="B74" s="100" t="s">
        <v>116</v>
      </c>
      <c r="C74" s="97">
        <v>539270</v>
      </c>
      <c r="D74" s="97">
        <v>1014912</v>
      </c>
      <c r="E74" s="97">
        <f t="shared" si="9"/>
        <v>475642</v>
      </c>
      <c r="F74" s="98">
        <f t="shared" si="10"/>
        <v>0.88201086654180649</v>
      </c>
    </row>
    <row r="75" spans="1:6" ht="18" customHeight="1" x14ac:dyDescent="0.25">
      <c r="A75" s="99">
        <v>6</v>
      </c>
      <c r="B75" s="100" t="s">
        <v>117</v>
      </c>
      <c r="C75" s="97">
        <v>3282053</v>
      </c>
      <c r="D75" s="97">
        <v>2028892</v>
      </c>
      <c r="E75" s="97">
        <f t="shared" si="9"/>
        <v>-1253161</v>
      </c>
      <c r="F75" s="98">
        <f t="shared" si="10"/>
        <v>-0.38182229232739384</v>
      </c>
    </row>
    <row r="76" spans="1:6" ht="18" customHeight="1" x14ac:dyDescent="0.25">
      <c r="A76" s="99">
        <v>7</v>
      </c>
      <c r="B76" s="100" t="s">
        <v>118</v>
      </c>
      <c r="C76" s="97">
        <v>49001677</v>
      </c>
      <c r="D76" s="97">
        <v>55559920</v>
      </c>
      <c r="E76" s="97">
        <f t="shared" si="9"/>
        <v>6558243</v>
      </c>
      <c r="F76" s="98">
        <f t="shared" si="10"/>
        <v>0.13383711337063015</v>
      </c>
    </row>
    <row r="77" spans="1:6" ht="18" customHeight="1" x14ac:dyDescent="0.25">
      <c r="A77" s="99">
        <v>8</v>
      </c>
      <c r="B77" s="100" t="s">
        <v>119</v>
      </c>
      <c r="C77" s="97">
        <v>1200043</v>
      </c>
      <c r="D77" s="97">
        <v>1368680</v>
      </c>
      <c r="E77" s="97">
        <f t="shared" si="9"/>
        <v>168637</v>
      </c>
      <c r="F77" s="98">
        <f t="shared" si="10"/>
        <v>0.14052579782557792</v>
      </c>
    </row>
    <row r="78" spans="1:6" ht="18" customHeight="1" x14ac:dyDescent="0.25">
      <c r="A78" s="99">
        <v>9</v>
      </c>
      <c r="B78" s="100" t="s">
        <v>120</v>
      </c>
      <c r="C78" s="97">
        <v>2589004</v>
      </c>
      <c r="D78" s="97">
        <v>312777</v>
      </c>
      <c r="E78" s="97">
        <f t="shared" si="9"/>
        <v>-2276227</v>
      </c>
      <c r="F78" s="98">
        <f t="shared" si="10"/>
        <v>-0.87919022141333114</v>
      </c>
    </row>
    <row r="79" spans="1:6" ht="18" customHeight="1" x14ac:dyDescent="0.25">
      <c r="A79" s="99">
        <v>10</v>
      </c>
      <c r="B79" s="100" t="s">
        <v>121</v>
      </c>
      <c r="C79" s="97">
        <v>1529939</v>
      </c>
      <c r="D79" s="97">
        <v>0</v>
      </c>
      <c r="E79" s="97">
        <f t="shared" si="9"/>
        <v>-1529939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90970838</v>
      </c>
      <c r="D81" s="103">
        <f>SUM(D70:D80)</f>
        <v>94434009</v>
      </c>
      <c r="E81" s="103">
        <f t="shared" si="9"/>
        <v>3463171</v>
      </c>
      <c r="F81" s="104">
        <f t="shared" si="10"/>
        <v>3.8069023833769672E-2</v>
      </c>
    </row>
    <row r="82" spans="1:6" ht="18" customHeight="1" x14ac:dyDescent="0.25">
      <c r="A82" s="661" t="s">
        <v>127</v>
      </c>
      <c r="B82" s="663" t="s">
        <v>134</v>
      </c>
      <c r="C82" s="665"/>
      <c r="D82" s="666"/>
      <c r="E82" s="666"/>
      <c r="F82" s="667"/>
    </row>
    <row r="83" spans="1:6" ht="18" customHeight="1" x14ac:dyDescent="0.25">
      <c r="A83" s="662"/>
      <c r="B83" s="664"/>
      <c r="C83" s="668"/>
      <c r="D83" s="669"/>
      <c r="E83" s="669"/>
      <c r="F83" s="670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49194235</v>
      </c>
      <c r="D84" s="103">
        <f t="shared" si="11"/>
        <v>44812618</v>
      </c>
      <c r="E84" s="103">
        <f t="shared" ref="E84:E95" si="12">D84-C84</f>
        <v>-4381617</v>
      </c>
      <c r="F84" s="104">
        <f t="shared" ref="F84:F95" si="13">IF(C84=0,0,E84/C84)</f>
        <v>-8.9067692586336594E-2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12376972</v>
      </c>
      <c r="D85" s="103">
        <f t="shared" si="11"/>
        <v>10188644</v>
      </c>
      <c r="E85" s="103">
        <f t="shared" si="12"/>
        <v>-2188328</v>
      </c>
      <c r="F85" s="104">
        <f t="shared" si="13"/>
        <v>-0.17680641113189882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4561217</v>
      </c>
      <c r="D86" s="103">
        <f t="shared" si="11"/>
        <v>9237968</v>
      </c>
      <c r="E86" s="103">
        <f t="shared" si="12"/>
        <v>4676751</v>
      </c>
      <c r="F86" s="104">
        <f t="shared" si="13"/>
        <v>1.025329643382457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8277139</v>
      </c>
      <c r="D87" s="103">
        <f t="shared" si="11"/>
        <v>9286025</v>
      </c>
      <c r="E87" s="103">
        <f t="shared" si="12"/>
        <v>1008886</v>
      </c>
      <c r="F87" s="104">
        <f t="shared" si="13"/>
        <v>0.12188825148399707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801684</v>
      </c>
      <c r="D88" s="103">
        <f t="shared" si="11"/>
        <v>1254979</v>
      </c>
      <c r="E88" s="103">
        <f t="shared" si="12"/>
        <v>453295</v>
      </c>
      <c r="F88" s="104">
        <f t="shared" si="13"/>
        <v>0.5654285229591709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4914730</v>
      </c>
      <c r="D89" s="103">
        <f t="shared" si="11"/>
        <v>4619105</v>
      </c>
      <c r="E89" s="103">
        <f t="shared" si="12"/>
        <v>-295625</v>
      </c>
      <c r="F89" s="104">
        <f t="shared" si="13"/>
        <v>-6.0150811946943168E-2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70783523</v>
      </c>
      <c r="D90" s="103">
        <f t="shared" si="11"/>
        <v>78413796</v>
      </c>
      <c r="E90" s="103">
        <f t="shared" si="12"/>
        <v>7630273</v>
      </c>
      <c r="F90" s="104">
        <f t="shared" si="13"/>
        <v>0.10779730474845113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1561841</v>
      </c>
      <c r="D91" s="103">
        <f t="shared" si="11"/>
        <v>1708140</v>
      </c>
      <c r="E91" s="103">
        <f t="shared" si="12"/>
        <v>146299</v>
      </c>
      <c r="F91" s="104">
        <f t="shared" si="13"/>
        <v>9.3670866624707638E-2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3423922</v>
      </c>
      <c r="D92" s="103">
        <f t="shared" si="11"/>
        <v>350457</v>
      </c>
      <c r="E92" s="103">
        <f t="shared" si="12"/>
        <v>-3073465</v>
      </c>
      <c r="F92" s="104">
        <f t="shared" si="13"/>
        <v>-0.89764457251070551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3053421</v>
      </c>
      <c r="D93" s="103">
        <f t="shared" si="11"/>
        <v>0</v>
      </c>
      <c r="E93" s="103">
        <f t="shared" si="12"/>
        <v>-3053421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158948684</v>
      </c>
      <c r="D95" s="112">
        <f>SUM(D84:D94)</f>
        <v>159871732</v>
      </c>
      <c r="E95" s="112">
        <f t="shared" si="12"/>
        <v>923048</v>
      </c>
      <c r="F95" s="113">
        <f t="shared" si="13"/>
        <v>5.8072075639204407E-3</v>
      </c>
    </row>
    <row r="96" spans="1:6" ht="18" customHeight="1" x14ac:dyDescent="0.25">
      <c r="A96" s="661" t="s">
        <v>135</v>
      </c>
      <c r="B96" s="663" t="s">
        <v>136</v>
      </c>
      <c r="C96" s="665"/>
      <c r="D96" s="666"/>
      <c r="E96" s="666"/>
      <c r="F96" s="667"/>
    </row>
    <row r="97" spans="1:6" ht="18" customHeight="1" x14ac:dyDescent="0.25">
      <c r="A97" s="662"/>
      <c r="B97" s="664"/>
      <c r="C97" s="668"/>
      <c r="D97" s="669"/>
      <c r="E97" s="669"/>
      <c r="F97" s="670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3205</v>
      </c>
      <c r="D100" s="117">
        <v>3051</v>
      </c>
      <c r="E100" s="117">
        <f t="shared" ref="E100:E111" si="14">D100-C100</f>
        <v>-154</v>
      </c>
      <c r="F100" s="98">
        <f t="shared" ref="F100:F111" si="15">IF(C100=0,0,E100/C100)</f>
        <v>-4.8049921996879873E-2</v>
      </c>
    </row>
    <row r="101" spans="1:6" ht="18" customHeight="1" x14ac:dyDescent="0.25">
      <c r="A101" s="99">
        <v>2</v>
      </c>
      <c r="B101" s="100" t="s">
        <v>113</v>
      </c>
      <c r="C101" s="117">
        <v>569</v>
      </c>
      <c r="D101" s="117">
        <v>575</v>
      </c>
      <c r="E101" s="117">
        <f t="shared" si="14"/>
        <v>6</v>
      </c>
      <c r="F101" s="98">
        <f t="shared" si="15"/>
        <v>1.054481546572935E-2</v>
      </c>
    </row>
    <row r="102" spans="1:6" ht="18" customHeight="1" x14ac:dyDescent="0.25">
      <c r="A102" s="99">
        <v>3</v>
      </c>
      <c r="B102" s="100" t="s">
        <v>114</v>
      </c>
      <c r="C102" s="117">
        <v>452</v>
      </c>
      <c r="D102" s="117">
        <v>894</v>
      </c>
      <c r="E102" s="117">
        <f t="shared" si="14"/>
        <v>442</v>
      </c>
      <c r="F102" s="98">
        <f t="shared" si="15"/>
        <v>0.97787610619469023</v>
      </c>
    </row>
    <row r="103" spans="1:6" ht="18" customHeight="1" x14ac:dyDescent="0.25">
      <c r="A103" s="99">
        <v>4</v>
      </c>
      <c r="B103" s="100" t="s">
        <v>115</v>
      </c>
      <c r="C103" s="117">
        <v>843</v>
      </c>
      <c r="D103" s="117">
        <v>960</v>
      </c>
      <c r="E103" s="117">
        <f t="shared" si="14"/>
        <v>117</v>
      </c>
      <c r="F103" s="98">
        <f t="shared" si="15"/>
        <v>0.13879003558718861</v>
      </c>
    </row>
    <row r="104" spans="1:6" ht="18" customHeight="1" x14ac:dyDescent="0.25">
      <c r="A104" s="99">
        <v>5</v>
      </c>
      <c r="B104" s="100" t="s">
        <v>116</v>
      </c>
      <c r="C104" s="117">
        <v>34</v>
      </c>
      <c r="D104" s="117">
        <v>47</v>
      </c>
      <c r="E104" s="117">
        <f t="shared" si="14"/>
        <v>13</v>
      </c>
      <c r="F104" s="98">
        <f t="shared" si="15"/>
        <v>0.38235294117647056</v>
      </c>
    </row>
    <row r="105" spans="1:6" ht="18" customHeight="1" x14ac:dyDescent="0.25">
      <c r="A105" s="99">
        <v>6</v>
      </c>
      <c r="B105" s="100" t="s">
        <v>117</v>
      </c>
      <c r="C105" s="117">
        <v>236</v>
      </c>
      <c r="D105" s="117">
        <v>342</v>
      </c>
      <c r="E105" s="117">
        <f t="shared" si="14"/>
        <v>106</v>
      </c>
      <c r="F105" s="98">
        <f t="shared" si="15"/>
        <v>0.44915254237288138</v>
      </c>
    </row>
    <row r="106" spans="1:6" ht="18" customHeight="1" x14ac:dyDescent="0.25">
      <c r="A106" s="99">
        <v>7</v>
      </c>
      <c r="B106" s="100" t="s">
        <v>118</v>
      </c>
      <c r="C106" s="117">
        <v>3195</v>
      </c>
      <c r="D106" s="117">
        <v>3174</v>
      </c>
      <c r="E106" s="117">
        <f t="shared" si="14"/>
        <v>-21</v>
      </c>
      <c r="F106" s="98">
        <f t="shared" si="15"/>
        <v>-6.5727699530516428E-3</v>
      </c>
    </row>
    <row r="107" spans="1:6" ht="18" customHeight="1" x14ac:dyDescent="0.25">
      <c r="A107" s="99">
        <v>8</v>
      </c>
      <c r="B107" s="100" t="s">
        <v>119</v>
      </c>
      <c r="C107" s="117">
        <v>34</v>
      </c>
      <c r="D107" s="117">
        <v>22</v>
      </c>
      <c r="E107" s="117">
        <f t="shared" si="14"/>
        <v>-12</v>
      </c>
      <c r="F107" s="98">
        <f t="shared" si="15"/>
        <v>-0.35294117647058826</v>
      </c>
    </row>
    <row r="108" spans="1:6" ht="18" customHeight="1" x14ac:dyDescent="0.25">
      <c r="A108" s="99">
        <v>9</v>
      </c>
      <c r="B108" s="100" t="s">
        <v>120</v>
      </c>
      <c r="C108" s="117">
        <v>185</v>
      </c>
      <c r="D108" s="117">
        <v>216</v>
      </c>
      <c r="E108" s="117">
        <f t="shared" si="14"/>
        <v>31</v>
      </c>
      <c r="F108" s="98">
        <f t="shared" si="15"/>
        <v>0.16756756756756758</v>
      </c>
    </row>
    <row r="109" spans="1:6" ht="18" customHeight="1" x14ac:dyDescent="0.25">
      <c r="A109" s="99">
        <v>10</v>
      </c>
      <c r="B109" s="100" t="s">
        <v>121</v>
      </c>
      <c r="C109" s="117">
        <v>356</v>
      </c>
      <c r="D109" s="117">
        <v>0</v>
      </c>
      <c r="E109" s="117">
        <f t="shared" si="14"/>
        <v>-356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9109</v>
      </c>
      <c r="D111" s="118">
        <f>SUM(D100:D110)</f>
        <v>9281</v>
      </c>
      <c r="E111" s="118">
        <f t="shared" si="14"/>
        <v>172</v>
      </c>
      <c r="F111" s="104">
        <f t="shared" si="15"/>
        <v>1.8882423976287189E-2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19490</v>
      </c>
      <c r="D113" s="117">
        <v>17820</v>
      </c>
      <c r="E113" s="117">
        <f t="shared" ref="E113:E124" si="16">D113-C113</f>
        <v>-1670</v>
      </c>
      <c r="F113" s="98">
        <f t="shared" ref="F113:F124" si="17">IF(C113=0,0,E113/C113)</f>
        <v>-8.5684966649563876E-2</v>
      </c>
    </row>
    <row r="114" spans="1:6" ht="18" customHeight="1" x14ac:dyDescent="0.25">
      <c r="A114" s="99">
        <v>2</v>
      </c>
      <c r="B114" s="100" t="s">
        <v>113</v>
      </c>
      <c r="C114" s="117">
        <v>3255</v>
      </c>
      <c r="D114" s="117">
        <v>3101</v>
      </c>
      <c r="E114" s="117">
        <f t="shared" si="16"/>
        <v>-154</v>
      </c>
      <c r="F114" s="98">
        <f t="shared" si="17"/>
        <v>-4.7311827956989246E-2</v>
      </c>
    </row>
    <row r="115" spans="1:6" ht="18" customHeight="1" x14ac:dyDescent="0.25">
      <c r="A115" s="99">
        <v>3</v>
      </c>
      <c r="B115" s="100" t="s">
        <v>114</v>
      </c>
      <c r="C115" s="117">
        <v>3118</v>
      </c>
      <c r="D115" s="117">
        <v>5501</v>
      </c>
      <c r="E115" s="117">
        <f t="shared" si="16"/>
        <v>2383</v>
      </c>
      <c r="F115" s="98">
        <f t="shared" si="17"/>
        <v>0.76427196921103269</v>
      </c>
    </row>
    <row r="116" spans="1:6" ht="18" customHeight="1" x14ac:dyDescent="0.25">
      <c r="A116" s="99">
        <v>4</v>
      </c>
      <c r="B116" s="100" t="s">
        <v>115</v>
      </c>
      <c r="C116" s="117">
        <v>3020</v>
      </c>
      <c r="D116" s="117">
        <v>3466</v>
      </c>
      <c r="E116" s="117">
        <f t="shared" si="16"/>
        <v>446</v>
      </c>
      <c r="F116" s="98">
        <f t="shared" si="17"/>
        <v>0.147682119205298</v>
      </c>
    </row>
    <row r="117" spans="1:6" ht="18" customHeight="1" x14ac:dyDescent="0.25">
      <c r="A117" s="99">
        <v>5</v>
      </c>
      <c r="B117" s="100" t="s">
        <v>116</v>
      </c>
      <c r="C117" s="117">
        <v>127</v>
      </c>
      <c r="D117" s="117">
        <v>190</v>
      </c>
      <c r="E117" s="117">
        <f t="shared" si="16"/>
        <v>63</v>
      </c>
      <c r="F117" s="98">
        <f t="shared" si="17"/>
        <v>0.49606299212598426</v>
      </c>
    </row>
    <row r="118" spans="1:6" ht="18" customHeight="1" x14ac:dyDescent="0.25">
      <c r="A118" s="99">
        <v>6</v>
      </c>
      <c r="B118" s="100" t="s">
        <v>117</v>
      </c>
      <c r="C118" s="117">
        <v>1111</v>
      </c>
      <c r="D118" s="117">
        <v>1091</v>
      </c>
      <c r="E118" s="117">
        <f t="shared" si="16"/>
        <v>-20</v>
      </c>
      <c r="F118" s="98">
        <f t="shared" si="17"/>
        <v>-1.8001800180018002E-2</v>
      </c>
    </row>
    <row r="119" spans="1:6" ht="18" customHeight="1" x14ac:dyDescent="0.25">
      <c r="A119" s="99">
        <v>7</v>
      </c>
      <c r="B119" s="100" t="s">
        <v>118</v>
      </c>
      <c r="C119" s="117">
        <v>11731</v>
      </c>
      <c r="D119" s="117">
        <v>10984</v>
      </c>
      <c r="E119" s="117">
        <f t="shared" si="16"/>
        <v>-747</v>
      </c>
      <c r="F119" s="98">
        <f t="shared" si="17"/>
        <v>-6.3677435853720904E-2</v>
      </c>
    </row>
    <row r="120" spans="1:6" ht="18" customHeight="1" x14ac:dyDescent="0.25">
      <c r="A120" s="99">
        <v>8</v>
      </c>
      <c r="B120" s="100" t="s">
        <v>119</v>
      </c>
      <c r="C120" s="117">
        <v>91</v>
      </c>
      <c r="D120" s="117">
        <v>76</v>
      </c>
      <c r="E120" s="117">
        <f t="shared" si="16"/>
        <v>-15</v>
      </c>
      <c r="F120" s="98">
        <f t="shared" si="17"/>
        <v>-0.16483516483516483</v>
      </c>
    </row>
    <row r="121" spans="1:6" ht="18" customHeight="1" x14ac:dyDescent="0.25">
      <c r="A121" s="99">
        <v>9</v>
      </c>
      <c r="B121" s="100" t="s">
        <v>120</v>
      </c>
      <c r="C121" s="117">
        <v>1019</v>
      </c>
      <c r="D121" s="117">
        <v>1246</v>
      </c>
      <c r="E121" s="117">
        <f t="shared" si="16"/>
        <v>227</v>
      </c>
      <c r="F121" s="98">
        <f t="shared" si="17"/>
        <v>0.22276741903827282</v>
      </c>
    </row>
    <row r="122" spans="1:6" ht="18" customHeight="1" x14ac:dyDescent="0.25">
      <c r="A122" s="99">
        <v>10</v>
      </c>
      <c r="B122" s="100" t="s">
        <v>121</v>
      </c>
      <c r="C122" s="117">
        <v>1973</v>
      </c>
      <c r="D122" s="117">
        <v>0</v>
      </c>
      <c r="E122" s="117">
        <f t="shared" si="16"/>
        <v>-1973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44935</v>
      </c>
      <c r="D124" s="118">
        <f>SUM(D113:D123)</f>
        <v>43475</v>
      </c>
      <c r="E124" s="118">
        <f t="shared" si="16"/>
        <v>-1460</v>
      </c>
      <c r="F124" s="104">
        <f t="shared" si="17"/>
        <v>-3.2491376432624904E-2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79220</v>
      </c>
      <c r="D126" s="117">
        <v>79269</v>
      </c>
      <c r="E126" s="117">
        <f t="shared" ref="E126:E137" si="18">D126-C126</f>
        <v>49</v>
      </c>
      <c r="F126" s="98">
        <f t="shared" ref="F126:F137" si="19">IF(C126=0,0,E126/C126)</f>
        <v>6.1853067407220404E-4</v>
      </c>
    </row>
    <row r="127" spans="1:6" ht="18" customHeight="1" x14ac:dyDescent="0.25">
      <c r="A127" s="99">
        <v>2</v>
      </c>
      <c r="B127" s="100" t="s">
        <v>113</v>
      </c>
      <c r="C127" s="117">
        <v>17495</v>
      </c>
      <c r="D127" s="117">
        <v>19037</v>
      </c>
      <c r="E127" s="117">
        <f t="shared" si="18"/>
        <v>1542</v>
      </c>
      <c r="F127" s="98">
        <f t="shared" si="19"/>
        <v>8.8139468419548436E-2</v>
      </c>
    </row>
    <row r="128" spans="1:6" ht="18" customHeight="1" x14ac:dyDescent="0.25">
      <c r="A128" s="99">
        <v>3</v>
      </c>
      <c r="B128" s="100" t="s">
        <v>114</v>
      </c>
      <c r="C128" s="117">
        <v>5756</v>
      </c>
      <c r="D128" s="117">
        <v>13016</v>
      </c>
      <c r="E128" s="117">
        <f t="shared" si="18"/>
        <v>7260</v>
      </c>
      <c r="F128" s="98">
        <f t="shared" si="19"/>
        <v>1.2612925642807504</v>
      </c>
    </row>
    <row r="129" spans="1:6" ht="18" customHeight="1" x14ac:dyDescent="0.25">
      <c r="A129" s="99">
        <v>4</v>
      </c>
      <c r="B129" s="100" t="s">
        <v>115</v>
      </c>
      <c r="C129" s="117">
        <v>18843</v>
      </c>
      <c r="D129" s="117">
        <v>19628</v>
      </c>
      <c r="E129" s="117">
        <f t="shared" si="18"/>
        <v>785</v>
      </c>
      <c r="F129" s="98">
        <f t="shared" si="19"/>
        <v>4.1660032903465476E-2</v>
      </c>
    </row>
    <row r="130" spans="1:6" ht="18" customHeight="1" x14ac:dyDescent="0.25">
      <c r="A130" s="99">
        <v>5</v>
      </c>
      <c r="B130" s="100" t="s">
        <v>116</v>
      </c>
      <c r="C130" s="117">
        <v>889</v>
      </c>
      <c r="D130" s="117">
        <v>1006</v>
      </c>
      <c r="E130" s="117">
        <f t="shared" si="18"/>
        <v>117</v>
      </c>
      <c r="F130" s="98">
        <f t="shared" si="19"/>
        <v>0.13160854893138357</v>
      </c>
    </row>
    <row r="131" spans="1:6" ht="18" customHeight="1" x14ac:dyDescent="0.25">
      <c r="A131" s="99">
        <v>6</v>
      </c>
      <c r="B131" s="100" t="s">
        <v>117</v>
      </c>
      <c r="C131" s="117">
        <v>4995</v>
      </c>
      <c r="D131" s="117">
        <v>5111</v>
      </c>
      <c r="E131" s="117">
        <f t="shared" si="18"/>
        <v>116</v>
      </c>
      <c r="F131" s="98">
        <f t="shared" si="19"/>
        <v>2.3223223223223222E-2</v>
      </c>
    </row>
    <row r="132" spans="1:6" ht="18" customHeight="1" x14ac:dyDescent="0.25">
      <c r="A132" s="99">
        <v>7</v>
      </c>
      <c r="B132" s="100" t="s">
        <v>118</v>
      </c>
      <c r="C132" s="117">
        <v>98622</v>
      </c>
      <c r="D132" s="117">
        <v>98396</v>
      </c>
      <c r="E132" s="117">
        <f t="shared" si="18"/>
        <v>-226</v>
      </c>
      <c r="F132" s="98">
        <f t="shared" si="19"/>
        <v>-2.2915779440692745E-3</v>
      </c>
    </row>
    <row r="133" spans="1:6" ht="18" customHeight="1" x14ac:dyDescent="0.25">
      <c r="A133" s="99">
        <v>8</v>
      </c>
      <c r="B133" s="100" t="s">
        <v>119</v>
      </c>
      <c r="C133" s="117">
        <v>1484</v>
      </c>
      <c r="D133" s="117">
        <v>1546</v>
      </c>
      <c r="E133" s="117">
        <f t="shared" si="18"/>
        <v>62</v>
      </c>
      <c r="F133" s="98">
        <f t="shared" si="19"/>
        <v>4.1778975741239892E-2</v>
      </c>
    </row>
    <row r="134" spans="1:6" ht="18" customHeight="1" x14ac:dyDescent="0.25">
      <c r="A134" s="99">
        <v>9</v>
      </c>
      <c r="B134" s="100" t="s">
        <v>120</v>
      </c>
      <c r="C134" s="117">
        <v>6747</v>
      </c>
      <c r="D134" s="117">
        <v>7852</v>
      </c>
      <c r="E134" s="117">
        <f t="shared" si="18"/>
        <v>1105</v>
      </c>
      <c r="F134" s="98">
        <f t="shared" si="19"/>
        <v>0.16377649325626203</v>
      </c>
    </row>
    <row r="135" spans="1:6" ht="18" customHeight="1" x14ac:dyDescent="0.25">
      <c r="A135" s="99">
        <v>10</v>
      </c>
      <c r="B135" s="100" t="s">
        <v>121</v>
      </c>
      <c r="C135" s="117">
        <v>5435</v>
      </c>
      <c r="D135" s="117">
        <v>0</v>
      </c>
      <c r="E135" s="117">
        <f t="shared" si="18"/>
        <v>-5435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239486</v>
      </c>
      <c r="D137" s="118">
        <f>SUM(D126:D136)</f>
        <v>244861</v>
      </c>
      <c r="E137" s="118">
        <f t="shared" si="18"/>
        <v>5375</v>
      </c>
      <c r="F137" s="104">
        <f t="shared" si="19"/>
        <v>2.2443900687305313E-2</v>
      </c>
    </row>
    <row r="138" spans="1:6" ht="18" customHeight="1" x14ac:dyDescent="0.25">
      <c r="A138" s="661" t="s">
        <v>144</v>
      </c>
      <c r="B138" s="663" t="s">
        <v>145</v>
      </c>
      <c r="C138" s="665"/>
      <c r="D138" s="666"/>
      <c r="E138" s="666"/>
      <c r="F138" s="667"/>
    </row>
    <row r="139" spans="1:6" ht="18" customHeight="1" x14ac:dyDescent="0.25">
      <c r="A139" s="662"/>
      <c r="B139" s="664"/>
      <c r="C139" s="668"/>
      <c r="D139" s="669"/>
      <c r="E139" s="669"/>
      <c r="F139" s="670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16910491</v>
      </c>
      <c r="D142" s="97">
        <v>16725882</v>
      </c>
      <c r="E142" s="97">
        <f t="shared" ref="E142:E153" si="20">D142-C142</f>
        <v>-184609</v>
      </c>
      <c r="F142" s="98">
        <f t="shared" ref="F142:F153" si="21">IF(C142=0,0,E142/C142)</f>
        <v>-1.0916832633659189E-2</v>
      </c>
    </row>
    <row r="143" spans="1:6" ht="18" customHeight="1" x14ac:dyDescent="0.25">
      <c r="A143" s="99">
        <v>2</v>
      </c>
      <c r="B143" s="100" t="s">
        <v>113</v>
      </c>
      <c r="C143" s="97">
        <v>3089076</v>
      </c>
      <c r="D143" s="97">
        <v>3611374</v>
      </c>
      <c r="E143" s="97">
        <f t="shared" si="20"/>
        <v>522298</v>
      </c>
      <c r="F143" s="98">
        <f t="shared" si="21"/>
        <v>0.16907903852155143</v>
      </c>
    </row>
    <row r="144" spans="1:6" ht="18" customHeight="1" x14ac:dyDescent="0.25">
      <c r="A144" s="99">
        <v>3</v>
      </c>
      <c r="B144" s="100" t="s">
        <v>114</v>
      </c>
      <c r="C144" s="97">
        <v>4198465</v>
      </c>
      <c r="D144" s="97">
        <v>11121111</v>
      </c>
      <c r="E144" s="97">
        <f t="shared" si="20"/>
        <v>6922646</v>
      </c>
      <c r="F144" s="98">
        <f t="shared" si="21"/>
        <v>1.6488516636437365</v>
      </c>
    </row>
    <row r="145" spans="1:6" ht="18" customHeight="1" x14ac:dyDescent="0.25">
      <c r="A145" s="99">
        <v>4</v>
      </c>
      <c r="B145" s="100" t="s">
        <v>115</v>
      </c>
      <c r="C145" s="97">
        <v>12298313</v>
      </c>
      <c r="D145" s="97">
        <v>13428610</v>
      </c>
      <c r="E145" s="97">
        <f t="shared" si="20"/>
        <v>1130297</v>
      </c>
      <c r="F145" s="98">
        <f t="shared" si="21"/>
        <v>9.1906670451467609E-2</v>
      </c>
    </row>
    <row r="146" spans="1:6" ht="18" customHeight="1" x14ac:dyDescent="0.25">
      <c r="A146" s="99">
        <v>5</v>
      </c>
      <c r="B146" s="100" t="s">
        <v>116</v>
      </c>
      <c r="C146" s="97">
        <v>560948</v>
      </c>
      <c r="D146" s="97">
        <v>522598</v>
      </c>
      <c r="E146" s="97">
        <f t="shared" si="20"/>
        <v>-38350</v>
      </c>
      <c r="F146" s="98">
        <f t="shared" si="21"/>
        <v>-6.8366408294529973E-2</v>
      </c>
    </row>
    <row r="147" spans="1:6" ht="18" customHeight="1" x14ac:dyDescent="0.25">
      <c r="A147" s="99">
        <v>6</v>
      </c>
      <c r="B147" s="100" t="s">
        <v>117</v>
      </c>
      <c r="C147" s="97">
        <v>2217789</v>
      </c>
      <c r="D147" s="97">
        <v>2475403</v>
      </c>
      <c r="E147" s="97">
        <f t="shared" si="20"/>
        <v>257614</v>
      </c>
      <c r="F147" s="98">
        <f t="shared" si="21"/>
        <v>0.11615802946087297</v>
      </c>
    </row>
    <row r="148" spans="1:6" ht="18" customHeight="1" x14ac:dyDescent="0.25">
      <c r="A148" s="99">
        <v>7</v>
      </c>
      <c r="B148" s="100" t="s">
        <v>118</v>
      </c>
      <c r="C148" s="97">
        <v>24400135</v>
      </c>
      <c r="D148" s="97">
        <v>25478372</v>
      </c>
      <c r="E148" s="97">
        <f t="shared" si="20"/>
        <v>1078237</v>
      </c>
      <c r="F148" s="98">
        <f t="shared" si="21"/>
        <v>4.4189796490880069E-2</v>
      </c>
    </row>
    <row r="149" spans="1:6" ht="18" customHeight="1" x14ac:dyDescent="0.25">
      <c r="A149" s="99">
        <v>8</v>
      </c>
      <c r="B149" s="100" t="s">
        <v>119</v>
      </c>
      <c r="C149" s="97">
        <v>1304698</v>
      </c>
      <c r="D149" s="97">
        <v>1410919</v>
      </c>
      <c r="E149" s="97">
        <f t="shared" si="20"/>
        <v>106221</v>
      </c>
      <c r="F149" s="98">
        <f t="shared" si="21"/>
        <v>8.14142429895654E-2</v>
      </c>
    </row>
    <row r="150" spans="1:6" ht="18" customHeight="1" x14ac:dyDescent="0.25">
      <c r="A150" s="99">
        <v>9</v>
      </c>
      <c r="B150" s="100" t="s">
        <v>120</v>
      </c>
      <c r="C150" s="97">
        <v>5983197</v>
      </c>
      <c r="D150" s="97">
        <v>6684084</v>
      </c>
      <c r="E150" s="97">
        <f t="shared" si="20"/>
        <v>700887</v>
      </c>
      <c r="F150" s="98">
        <f t="shared" si="21"/>
        <v>0.11714255773293107</v>
      </c>
    </row>
    <row r="151" spans="1:6" ht="18" customHeight="1" x14ac:dyDescent="0.25">
      <c r="A151" s="99">
        <v>10</v>
      </c>
      <c r="B151" s="100" t="s">
        <v>121</v>
      </c>
      <c r="C151" s="97">
        <v>5146355</v>
      </c>
      <c r="D151" s="97">
        <v>0</v>
      </c>
      <c r="E151" s="97">
        <f t="shared" si="20"/>
        <v>-5146355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76109467</v>
      </c>
      <c r="D153" s="103">
        <f>SUM(D142:D152)</f>
        <v>81458353</v>
      </c>
      <c r="E153" s="103">
        <f t="shared" si="20"/>
        <v>5348886</v>
      </c>
      <c r="F153" s="104">
        <f t="shared" si="21"/>
        <v>7.0278852432378747E-2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3997580</v>
      </c>
      <c r="D155" s="97">
        <v>3786659</v>
      </c>
      <c r="E155" s="97">
        <f t="shared" ref="E155:E166" si="22">D155-C155</f>
        <v>-210921</v>
      </c>
      <c r="F155" s="98">
        <f t="shared" ref="F155:F166" si="23">IF(C155=0,0,E155/C155)</f>
        <v>-5.276217111352368E-2</v>
      </c>
    </row>
    <row r="156" spans="1:6" ht="18" customHeight="1" x14ac:dyDescent="0.25">
      <c r="A156" s="99">
        <v>2</v>
      </c>
      <c r="B156" s="100" t="s">
        <v>113</v>
      </c>
      <c r="C156" s="97">
        <v>731199</v>
      </c>
      <c r="D156" s="97">
        <v>823984</v>
      </c>
      <c r="E156" s="97">
        <f t="shared" si="22"/>
        <v>92785</v>
      </c>
      <c r="F156" s="98">
        <f t="shared" si="23"/>
        <v>0.12689432015087548</v>
      </c>
    </row>
    <row r="157" spans="1:6" ht="18" customHeight="1" x14ac:dyDescent="0.25">
      <c r="A157" s="99">
        <v>3</v>
      </c>
      <c r="B157" s="100" t="s">
        <v>114</v>
      </c>
      <c r="C157" s="97">
        <v>784747</v>
      </c>
      <c r="D157" s="97">
        <v>1941603</v>
      </c>
      <c r="E157" s="97">
        <f t="shared" si="22"/>
        <v>1156856</v>
      </c>
      <c r="F157" s="98">
        <f t="shared" si="23"/>
        <v>1.4741770277554422</v>
      </c>
    </row>
    <row r="158" spans="1:6" ht="18" customHeight="1" x14ac:dyDescent="0.25">
      <c r="A158" s="99">
        <v>4</v>
      </c>
      <c r="B158" s="100" t="s">
        <v>115</v>
      </c>
      <c r="C158" s="97">
        <v>2839253</v>
      </c>
      <c r="D158" s="97">
        <v>2875673</v>
      </c>
      <c r="E158" s="97">
        <f t="shared" si="22"/>
        <v>36420</v>
      </c>
      <c r="F158" s="98">
        <f t="shared" si="23"/>
        <v>1.2827317607835582E-2</v>
      </c>
    </row>
    <row r="159" spans="1:6" ht="18" customHeight="1" x14ac:dyDescent="0.25">
      <c r="A159" s="99">
        <v>5</v>
      </c>
      <c r="B159" s="100" t="s">
        <v>116</v>
      </c>
      <c r="C159" s="97">
        <v>177936</v>
      </c>
      <c r="D159" s="97">
        <v>140244</v>
      </c>
      <c r="E159" s="97">
        <f t="shared" si="22"/>
        <v>-37692</v>
      </c>
      <c r="F159" s="98">
        <f t="shared" si="23"/>
        <v>-0.21182897221472888</v>
      </c>
    </row>
    <row r="160" spans="1:6" ht="18" customHeight="1" x14ac:dyDescent="0.25">
      <c r="A160" s="99">
        <v>6</v>
      </c>
      <c r="B160" s="100" t="s">
        <v>117</v>
      </c>
      <c r="C160" s="97">
        <v>1598939</v>
      </c>
      <c r="D160" s="97">
        <v>1659359</v>
      </c>
      <c r="E160" s="97">
        <f t="shared" si="22"/>
        <v>60420</v>
      </c>
      <c r="F160" s="98">
        <f t="shared" si="23"/>
        <v>3.7787557874315404E-2</v>
      </c>
    </row>
    <row r="161" spans="1:6" ht="18" customHeight="1" x14ac:dyDescent="0.25">
      <c r="A161" s="99">
        <v>7</v>
      </c>
      <c r="B161" s="100" t="s">
        <v>118</v>
      </c>
      <c r="C161" s="97">
        <v>16853439</v>
      </c>
      <c r="D161" s="97">
        <v>17165474</v>
      </c>
      <c r="E161" s="97">
        <f t="shared" si="22"/>
        <v>312035</v>
      </c>
      <c r="F161" s="98">
        <f t="shared" si="23"/>
        <v>1.8514618885795357E-2</v>
      </c>
    </row>
    <row r="162" spans="1:6" ht="18" customHeight="1" x14ac:dyDescent="0.25">
      <c r="A162" s="99">
        <v>8</v>
      </c>
      <c r="B162" s="100" t="s">
        <v>119</v>
      </c>
      <c r="C162" s="97">
        <v>888330</v>
      </c>
      <c r="D162" s="97">
        <v>990955</v>
      </c>
      <c r="E162" s="97">
        <f t="shared" si="22"/>
        <v>102625</v>
      </c>
      <c r="F162" s="98">
        <f t="shared" si="23"/>
        <v>0.11552576182274606</v>
      </c>
    </row>
    <row r="163" spans="1:6" ht="18" customHeight="1" x14ac:dyDescent="0.25">
      <c r="A163" s="99">
        <v>9</v>
      </c>
      <c r="B163" s="100" t="s">
        <v>120</v>
      </c>
      <c r="C163" s="97">
        <v>216376</v>
      </c>
      <c r="D163" s="97">
        <v>126903</v>
      </c>
      <c r="E163" s="97">
        <f t="shared" si="22"/>
        <v>-89473</v>
      </c>
      <c r="F163" s="98">
        <f t="shared" si="23"/>
        <v>-0.41350704329500498</v>
      </c>
    </row>
    <row r="164" spans="1:6" ht="18" customHeight="1" x14ac:dyDescent="0.25">
      <c r="A164" s="99">
        <v>10</v>
      </c>
      <c r="B164" s="100" t="s">
        <v>121</v>
      </c>
      <c r="C164" s="97">
        <v>759720</v>
      </c>
      <c r="D164" s="97">
        <v>0</v>
      </c>
      <c r="E164" s="97">
        <f t="shared" si="22"/>
        <v>-759720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28847519</v>
      </c>
      <c r="D166" s="103">
        <f>SUM(D155:D165)</f>
        <v>29510854</v>
      </c>
      <c r="E166" s="103">
        <f t="shared" si="22"/>
        <v>663335</v>
      </c>
      <c r="F166" s="104">
        <f t="shared" si="23"/>
        <v>2.2994525109767672E-2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6865</v>
      </c>
      <c r="D168" s="117">
        <v>7113</v>
      </c>
      <c r="E168" s="117">
        <f t="shared" ref="E168:E179" si="24">D168-C168</f>
        <v>248</v>
      </c>
      <c r="F168" s="98">
        <f t="shared" ref="F168:F179" si="25">IF(C168=0,0,E168/C168)</f>
        <v>3.6125273124544791E-2</v>
      </c>
    </row>
    <row r="169" spans="1:6" ht="18" customHeight="1" x14ac:dyDescent="0.25">
      <c r="A169" s="99">
        <v>2</v>
      </c>
      <c r="B169" s="100" t="s">
        <v>113</v>
      </c>
      <c r="C169" s="117">
        <v>1211</v>
      </c>
      <c r="D169" s="117">
        <v>1406</v>
      </c>
      <c r="E169" s="117">
        <f t="shared" si="24"/>
        <v>195</v>
      </c>
      <c r="F169" s="98">
        <f t="shared" si="25"/>
        <v>0.16102394715111479</v>
      </c>
    </row>
    <row r="170" spans="1:6" ht="18" customHeight="1" x14ac:dyDescent="0.25">
      <c r="A170" s="99">
        <v>3</v>
      </c>
      <c r="B170" s="100" t="s">
        <v>114</v>
      </c>
      <c r="C170" s="117">
        <v>2424</v>
      </c>
      <c r="D170" s="117">
        <v>6164</v>
      </c>
      <c r="E170" s="117">
        <f t="shared" si="24"/>
        <v>3740</v>
      </c>
      <c r="F170" s="98">
        <f t="shared" si="25"/>
        <v>1.5429042904290429</v>
      </c>
    </row>
    <row r="171" spans="1:6" ht="18" customHeight="1" x14ac:dyDescent="0.25">
      <c r="A171" s="99">
        <v>4</v>
      </c>
      <c r="B171" s="100" t="s">
        <v>115</v>
      </c>
      <c r="C171" s="117">
        <v>8770</v>
      </c>
      <c r="D171" s="117">
        <v>8974</v>
      </c>
      <c r="E171" s="117">
        <f t="shared" si="24"/>
        <v>204</v>
      </c>
      <c r="F171" s="98">
        <f t="shared" si="25"/>
        <v>2.3261117445838083E-2</v>
      </c>
    </row>
    <row r="172" spans="1:6" ht="18" customHeight="1" x14ac:dyDescent="0.25">
      <c r="A172" s="99">
        <v>5</v>
      </c>
      <c r="B172" s="100" t="s">
        <v>116</v>
      </c>
      <c r="C172" s="117">
        <v>298</v>
      </c>
      <c r="D172" s="117">
        <v>277</v>
      </c>
      <c r="E172" s="117">
        <f t="shared" si="24"/>
        <v>-21</v>
      </c>
      <c r="F172" s="98">
        <f t="shared" si="25"/>
        <v>-7.0469798657718116E-2</v>
      </c>
    </row>
    <row r="173" spans="1:6" ht="18" customHeight="1" x14ac:dyDescent="0.25">
      <c r="A173" s="99">
        <v>6</v>
      </c>
      <c r="B173" s="100" t="s">
        <v>117</v>
      </c>
      <c r="C173" s="117">
        <v>1167</v>
      </c>
      <c r="D173" s="117">
        <v>1217</v>
      </c>
      <c r="E173" s="117">
        <f t="shared" si="24"/>
        <v>50</v>
      </c>
      <c r="F173" s="98">
        <f t="shared" si="25"/>
        <v>4.2844901456726647E-2</v>
      </c>
    </row>
    <row r="174" spans="1:6" ht="18" customHeight="1" x14ac:dyDescent="0.25">
      <c r="A174" s="99">
        <v>7</v>
      </c>
      <c r="B174" s="100" t="s">
        <v>118</v>
      </c>
      <c r="C174" s="117">
        <v>12403</v>
      </c>
      <c r="D174" s="117">
        <v>12328</v>
      </c>
      <c r="E174" s="117">
        <f t="shared" si="24"/>
        <v>-75</v>
      </c>
      <c r="F174" s="98">
        <f t="shared" si="25"/>
        <v>-6.046924131258566E-3</v>
      </c>
    </row>
    <row r="175" spans="1:6" ht="18" customHeight="1" x14ac:dyDescent="0.25">
      <c r="A175" s="99">
        <v>8</v>
      </c>
      <c r="B175" s="100" t="s">
        <v>119</v>
      </c>
      <c r="C175" s="117">
        <v>995</v>
      </c>
      <c r="D175" s="117">
        <v>1014</v>
      </c>
      <c r="E175" s="117">
        <f t="shared" si="24"/>
        <v>19</v>
      </c>
      <c r="F175" s="98">
        <f t="shared" si="25"/>
        <v>1.9095477386934675E-2</v>
      </c>
    </row>
    <row r="176" spans="1:6" ht="18" customHeight="1" x14ac:dyDescent="0.25">
      <c r="A176" s="99">
        <v>9</v>
      </c>
      <c r="B176" s="100" t="s">
        <v>120</v>
      </c>
      <c r="C176" s="117">
        <v>3694</v>
      </c>
      <c r="D176" s="117">
        <v>4009</v>
      </c>
      <c r="E176" s="117">
        <f t="shared" si="24"/>
        <v>315</v>
      </c>
      <c r="F176" s="98">
        <f t="shared" si="25"/>
        <v>8.5273416350839196E-2</v>
      </c>
    </row>
    <row r="177" spans="1:6" ht="18" customHeight="1" x14ac:dyDescent="0.25">
      <c r="A177" s="99">
        <v>10</v>
      </c>
      <c r="B177" s="100" t="s">
        <v>121</v>
      </c>
      <c r="C177" s="117">
        <v>3119</v>
      </c>
      <c r="D177" s="117">
        <v>0</v>
      </c>
      <c r="E177" s="117">
        <f t="shared" si="24"/>
        <v>-3119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40946</v>
      </c>
      <c r="D179" s="118">
        <f>SUM(D168:D178)</f>
        <v>42502</v>
      </c>
      <c r="E179" s="118">
        <f t="shared" si="24"/>
        <v>1556</v>
      </c>
      <c r="F179" s="104">
        <f t="shared" si="25"/>
        <v>3.8001269965320175E-2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FILING&amp;RMANCHESTER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2.5703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25806971</v>
      </c>
      <c r="D15" s="146">
        <v>26184283</v>
      </c>
      <c r="E15" s="146">
        <f>+D15-C15</f>
        <v>377312</v>
      </c>
      <c r="F15" s="150">
        <f>IF(C15=0,0,E15/C15)</f>
        <v>1.4620545743241235E-2</v>
      </c>
    </row>
    <row r="16" spans="1:7" ht="15" customHeight="1" x14ac:dyDescent="0.2">
      <c r="A16" s="141">
        <v>2</v>
      </c>
      <c r="B16" s="149" t="s">
        <v>158</v>
      </c>
      <c r="C16" s="146">
        <v>5482881</v>
      </c>
      <c r="D16" s="146">
        <v>5856368</v>
      </c>
      <c r="E16" s="146">
        <f>+D16-C16</f>
        <v>373487</v>
      </c>
      <c r="F16" s="150">
        <f>IF(C16=0,0,E16/C16)</f>
        <v>6.8118749978341678E-2</v>
      </c>
    </row>
    <row r="17" spans="1:7" ht="15" customHeight="1" x14ac:dyDescent="0.2">
      <c r="A17" s="141">
        <v>3</v>
      </c>
      <c r="B17" s="149" t="s">
        <v>159</v>
      </c>
      <c r="C17" s="146">
        <v>43826502</v>
      </c>
      <c r="D17" s="146">
        <v>45540909</v>
      </c>
      <c r="E17" s="146">
        <f>+D17-C17</f>
        <v>1714407</v>
      </c>
      <c r="F17" s="150">
        <f>IF(C17=0,0,E17/C17)</f>
        <v>3.9118043233292953E-2</v>
      </c>
    </row>
    <row r="18" spans="1:7" ht="15.75" customHeight="1" x14ac:dyDescent="0.25">
      <c r="A18" s="141"/>
      <c r="B18" s="151" t="s">
        <v>160</v>
      </c>
      <c r="C18" s="147">
        <f>SUM(C15:C17)</f>
        <v>75116354</v>
      </c>
      <c r="D18" s="147">
        <f>SUM(D15:D17)</f>
        <v>77581560</v>
      </c>
      <c r="E18" s="147">
        <f>+D18-C18</f>
        <v>2465206</v>
      </c>
      <c r="F18" s="148">
        <f>IF(C18=0,0,E18/C18)</f>
        <v>3.281849915132995E-2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7915769</v>
      </c>
      <c r="D21" s="146">
        <v>8134838</v>
      </c>
      <c r="E21" s="146">
        <f>+D21-C21</f>
        <v>219069</v>
      </c>
      <c r="F21" s="150">
        <f>IF(C21=0,0,E21/C21)</f>
        <v>2.7675011739225843E-2</v>
      </c>
    </row>
    <row r="22" spans="1:7" ht="15" customHeight="1" x14ac:dyDescent="0.2">
      <c r="A22" s="141">
        <v>2</v>
      </c>
      <c r="B22" s="149" t="s">
        <v>163</v>
      </c>
      <c r="C22" s="146">
        <v>1592038</v>
      </c>
      <c r="D22" s="146">
        <v>1698577</v>
      </c>
      <c r="E22" s="146">
        <f>+D22-C22</f>
        <v>106539</v>
      </c>
      <c r="F22" s="150">
        <f>IF(C22=0,0,E22/C22)</f>
        <v>6.6919885078119995E-2</v>
      </c>
    </row>
    <row r="23" spans="1:7" ht="15" customHeight="1" x14ac:dyDescent="0.2">
      <c r="A23" s="141">
        <v>3</v>
      </c>
      <c r="B23" s="149" t="s">
        <v>164</v>
      </c>
      <c r="C23" s="146">
        <v>11482677</v>
      </c>
      <c r="D23" s="146">
        <v>11946049</v>
      </c>
      <c r="E23" s="146">
        <f>+D23-C23</f>
        <v>463372</v>
      </c>
      <c r="F23" s="150">
        <f>IF(C23=0,0,E23/C23)</f>
        <v>4.0354004558344717E-2</v>
      </c>
    </row>
    <row r="24" spans="1:7" ht="15.75" customHeight="1" x14ac:dyDescent="0.25">
      <c r="A24" s="141"/>
      <c r="B24" s="151" t="s">
        <v>165</v>
      </c>
      <c r="C24" s="147">
        <f>SUM(C21:C23)</f>
        <v>20990484</v>
      </c>
      <c r="D24" s="147">
        <f>SUM(D21:D23)</f>
        <v>21779464</v>
      </c>
      <c r="E24" s="147">
        <f>+D24-C24</f>
        <v>788980</v>
      </c>
      <c r="F24" s="148">
        <f>IF(C24=0,0,E24/C24)</f>
        <v>3.7587508701562099E-2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6002814</v>
      </c>
      <c r="D28" s="146">
        <v>6685874</v>
      </c>
      <c r="E28" s="146">
        <f>+D28-C28</f>
        <v>683060</v>
      </c>
      <c r="F28" s="150">
        <f>IF(C28=0,0,E28/C28)</f>
        <v>0.11378996583935468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6002814</v>
      </c>
      <c r="D30" s="147">
        <f>SUM(D27:D29)</f>
        <v>6685874</v>
      </c>
      <c r="E30" s="147">
        <f>+D30-C30</f>
        <v>683060</v>
      </c>
      <c r="F30" s="148">
        <f>IF(C30=0,0,E30/C30)</f>
        <v>0.11378996583935468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21028632</v>
      </c>
      <c r="D33" s="146">
        <v>20212082</v>
      </c>
      <c r="E33" s="146">
        <f>+D33-C33</f>
        <v>-816550</v>
      </c>
      <c r="F33" s="150">
        <f>IF(C33=0,0,E33/C33)</f>
        <v>-3.8830390868982823E-2</v>
      </c>
    </row>
    <row r="34" spans="1:7" ht="15" customHeight="1" x14ac:dyDescent="0.2">
      <c r="A34" s="141">
        <v>2</v>
      </c>
      <c r="B34" s="149" t="s">
        <v>174</v>
      </c>
      <c r="C34" s="146">
        <v>5576051</v>
      </c>
      <c r="D34" s="146">
        <v>4666797</v>
      </c>
      <c r="E34" s="146">
        <f>+D34-C34</f>
        <v>-909254</v>
      </c>
      <c r="F34" s="150">
        <f>IF(C34=0,0,E34/C34)</f>
        <v>-0.16306414701013316</v>
      </c>
    </row>
    <row r="35" spans="1:7" ht="15.75" customHeight="1" x14ac:dyDescent="0.25">
      <c r="A35" s="141"/>
      <c r="B35" s="151" t="s">
        <v>175</v>
      </c>
      <c r="C35" s="147">
        <f>SUM(C33:C34)</f>
        <v>26604683</v>
      </c>
      <c r="D35" s="147">
        <f>SUM(D33:D34)</f>
        <v>24878879</v>
      </c>
      <c r="E35" s="147">
        <f>+D35-C35</f>
        <v>-1725804</v>
      </c>
      <c r="F35" s="148">
        <f>IF(C35=0,0,E35/C35)</f>
        <v>-6.4868429366363806E-2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3954728</v>
      </c>
      <c r="D38" s="146">
        <v>3507682</v>
      </c>
      <c r="E38" s="146">
        <f>+D38-C38</f>
        <v>-447046</v>
      </c>
      <c r="F38" s="150">
        <f>IF(C38=0,0,E38/C38)</f>
        <v>-0.11304089687078353</v>
      </c>
    </row>
    <row r="39" spans="1:7" ht="15" customHeight="1" x14ac:dyDescent="0.2">
      <c r="A39" s="141">
        <v>2</v>
      </c>
      <c r="B39" s="149" t="s">
        <v>179</v>
      </c>
      <c r="C39" s="146">
        <v>3711300</v>
      </c>
      <c r="D39" s="146">
        <v>3600222</v>
      </c>
      <c r="E39" s="146">
        <f>+D39-C39</f>
        <v>-111078</v>
      </c>
      <c r="F39" s="150">
        <f>IF(C39=0,0,E39/C39)</f>
        <v>-2.9929674238137579E-2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7666028</v>
      </c>
      <c r="D41" s="147">
        <f>SUM(D38:D40)</f>
        <v>7107904</v>
      </c>
      <c r="E41" s="147">
        <f>+D41-C41</f>
        <v>-558124</v>
      </c>
      <c r="F41" s="148">
        <f>IF(C41=0,0,E41/C41)</f>
        <v>-7.2804847569040973E-2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6712599</v>
      </c>
      <c r="D44" s="146">
        <v>6164670</v>
      </c>
      <c r="E44" s="146">
        <f>+D44-C44</f>
        <v>-547929</v>
      </c>
      <c r="F44" s="150">
        <f>IF(C44=0,0,E44/C44)</f>
        <v>-8.162695254103515E-2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2528633</v>
      </c>
      <c r="D47" s="146">
        <v>2539198</v>
      </c>
      <c r="E47" s="146">
        <f>+D47-C47</f>
        <v>10565</v>
      </c>
      <c r="F47" s="150">
        <f>IF(C47=0,0,E47/C47)</f>
        <v>4.1781468485145926E-3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2281064</v>
      </c>
      <c r="D50" s="146">
        <v>1786350</v>
      </c>
      <c r="E50" s="146">
        <f>+D50-C50</f>
        <v>-494714</v>
      </c>
      <c r="F50" s="150">
        <f>IF(C50=0,0,E50/C50)</f>
        <v>-0.21687861454128424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168659</v>
      </c>
      <c r="D53" s="146">
        <v>186654</v>
      </c>
      <c r="E53" s="146">
        <f t="shared" ref="E53:E59" si="0">+D53-C53</f>
        <v>17995</v>
      </c>
      <c r="F53" s="150">
        <f t="shared" ref="F53:F59" si="1">IF(C53=0,0,E53/C53)</f>
        <v>0.10669457307347963</v>
      </c>
    </row>
    <row r="54" spans="1:7" ht="15" customHeight="1" x14ac:dyDescent="0.2">
      <c r="A54" s="141">
        <v>2</v>
      </c>
      <c r="B54" s="149" t="s">
        <v>193</v>
      </c>
      <c r="C54" s="146">
        <v>806536</v>
      </c>
      <c r="D54" s="146">
        <v>778801</v>
      </c>
      <c r="E54" s="146">
        <f t="shared" si="0"/>
        <v>-27735</v>
      </c>
      <c r="F54" s="150">
        <f t="shared" si="1"/>
        <v>-3.4387801660434252E-2</v>
      </c>
    </row>
    <row r="55" spans="1:7" ht="15" customHeight="1" x14ac:dyDescent="0.2">
      <c r="A55" s="141">
        <v>3</v>
      </c>
      <c r="B55" s="149" t="s">
        <v>194</v>
      </c>
      <c r="C55" s="146">
        <v>130117</v>
      </c>
      <c r="D55" s="146">
        <v>104052</v>
      </c>
      <c r="E55" s="146">
        <f t="shared" si="0"/>
        <v>-26065</v>
      </c>
      <c r="F55" s="150">
        <f t="shared" si="1"/>
        <v>-0.20031971225896694</v>
      </c>
    </row>
    <row r="56" spans="1:7" ht="15" customHeight="1" x14ac:dyDescent="0.2">
      <c r="A56" s="141">
        <v>4</v>
      </c>
      <c r="B56" s="149" t="s">
        <v>195</v>
      </c>
      <c r="C56" s="146">
        <v>1551002</v>
      </c>
      <c r="D56" s="146">
        <v>1619181</v>
      </c>
      <c r="E56" s="146">
        <f t="shared" si="0"/>
        <v>68179</v>
      </c>
      <c r="F56" s="150">
        <f t="shared" si="1"/>
        <v>4.3958034870361228E-2</v>
      </c>
    </row>
    <row r="57" spans="1:7" ht="15" customHeight="1" x14ac:dyDescent="0.2">
      <c r="A57" s="141">
        <v>5</v>
      </c>
      <c r="B57" s="149" t="s">
        <v>196</v>
      </c>
      <c r="C57" s="146">
        <v>461603</v>
      </c>
      <c r="D57" s="146">
        <v>566451</v>
      </c>
      <c r="E57" s="146">
        <f t="shared" si="0"/>
        <v>104848</v>
      </c>
      <c r="F57" s="150">
        <f t="shared" si="1"/>
        <v>0.22713890507644013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3097</v>
      </c>
      <c r="E58" s="146">
        <f t="shared" si="0"/>
        <v>3097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3117917</v>
      </c>
      <c r="D59" s="147">
        <f>SUM(D53:D58)</f>
        <v>3258236</v>
      </c>
      <c r="E59" s="147">
        <f t="shared" si="0"/>
        <v>140319</v>
      </c>
      <c r="F59" s="148">
        <f t="shared" si="1"/>
        <v>4.5004084457668375E-2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219607</v>
      </c>
      <c r="D62" s="146">
        <v>119311</v>
      </c>
      <c r="E62" s="146">
        <f t="shared" ref="E62:E78" si="2">+D62-C62</f>
        <v>-100296</v>
      </c>
      <c r="F62" s="150">
        <f t="shared" ref="F62:F78" si="3">IF(C62=0,0,E62/C62)</f>
        <v>-0.45670675342771405</v>
      </c>
    </row>
    <row r="63" spans="1:7" ht="15" customHeight="1" x14ac:dyDescent="0.2">
      <c r="A63" s="141">
        <v>2</v>
      </c>
      <c r="B63" s="149" t="s">
        <v>202</v>
      </c>
      <c r="C63" s="146">
        <v>750736</v>
      </c>
      <c r="D63" s="146">
        <v>717065</v>
      </c>
      <c r="E63" s="146">
        <f t="shared" si="2"/>
        <v>-33671</v>
      </c>
      <c r="F63" s="150">
        <f t="shared" si="3"/>
        <v>-4.4850653225634578E-2</v>
      </c>
    </row>
    <row r="64" spans="1:7" ht="15" customHeight="1" x14ac:dyDescent="0.2">
      <c r="A64" s="141">
        <v>3</v>
      </c>
      <c r="B64" s="149" t="s">
        <v>203</v>
      </c>
      <c r="C64" s="146">
        <v>636387</v>
      </c>
      <c r="D64" s="146">
        <v>493555</v>
      </c>
      <c r="E64" s="146">
        <f t="shared" si="2"/>
        <v>-142832</v>
      </c>
      <c r="F64" s="150">
        <f t="shared" si="3"/>
        <v>-0.22444204548490149</v>
      </c>
    </row>
    <row r="65" spans="1:7" ht="15" customHeight="1" x14ac:dyDescent="0.2">
      <c r="A65" s="141">
        <v>4</v>
      </c>
      <c r="B65" s="149" t="s">
        <v>204</v>
      </c>
      <c r="C65" s="146">
        <v>286437</v>
      </c>
      <c r="D65" s="146">
        <v>292333</v>
      </c>
      <c r="E65" s="146">
        <f t="shared" si="2"/>
        <v>5896</v>
      </c>
      <c r="F65" s="150">
        <f t="shared" si="3"/>
        <v>2.0583932941624163E-2</v>
      </c>
    </row>
    <row r="66" spans="1:7" ht="15" customHeight="1" x14ac:dyDescent="0.2">
      <c r="A66" s="141">
        <v>5</v>
      </c>
      <c r="B66" s="149" t="s">
        <v>205</v>
      </c>
      <c r="C66" s="146">
        <v>513798</v>
      </c>
      <c r="D66" s="146">
        <v>446125</v>
      </c>
      <c r="E66" s="146">
        <f t="shared" si="2"/>
        <v>-67673</v>
      </c>
      <c r="F66" s="150">
        <f t="shared" si="3"/>
        <v>-0.1317112951004091</v>
      </c>
    </row>
    <row r="67" spans="1:7" ht="15" customHeight="1" x14ac:dyDescent="0.2">
      <c r="A67" s="141">
        <v>6</v>
      </c>
      <c r="B67" s="149" t="s">
        <v>206</v>
      </c>
      <c r="C67" s="146">
        <v>1006014</v>
      </c>
      <c r="D67" s="146">
        <v>1301432</v>
      </c>
      <c r="E67" s="146">
        <f t="shared" si="2"/>
        <v>295418</v>
      </c>
      <c r="F67" s="150">
        <f t="shared" si="3"/>
        <v>0.2936519770102603</v>
      </c>
    </row>
    <row r="68" spans="1:7" ht="15" customHeight="1" x14ac:dyDescent="0.2">
      <c r="A68" s="141">
        <v>7</v>
      </c>
      <c r="B68" s="149" t="s">
        <v>207</v>
      </c>
      <c r="C68" s="146">
        <v>1966637</v>
      </c>
      <c r="D68" s="146">
        <v>2441052</v>
      </c>
      <c r="E68" s="146">
        <f t="shared" si="2"/>
        <v>474415</v>
      </c>
      <c r="F68" s="150">
        <f t="shared" si="3"/>
        <v>0.24123160501912655</v>
      </c>
    </row>
    <row r="69" spans="1:7" ht="15" customHeight="1" x14ac:dyDescent="0.2">
      <c r="A69" s="141">
        <v>8</v>
      </c>
      <c r="B69" s="149" t="s">
        <v>208</v>
      </c>
      <c r="C69" s="146">
        <v>770691</v>
      </c>
      <c r="D69" s="146">
        <v>660129</v>
      </c>
      <c r="E69" s="146">
        <f t="shared" si="2"/>
        <v>-110562</v>
      </c>
      <c r="F69" s="150">
        <f t="shared" si="3"/>
        <v>-0.14345827316006027</v>
      </c>
    </row>
    <row r="70" spans="1:7" ht="15" customHeight="1" x14ac:dyDescent="0.2">
      <c r="A70" s="141">
        <v>9</v>
      </c>
      <c r="B70" s="149" t="s">
        <v>209</v>
      </c>
      <c r="C70" s="146">
        <v>78882</v>
      </c>
      <c r="D70" s="146">
        <v>103143</v>
      </c>
      <c r="E70" s="146">
        <f t="shared" si="2"/>
        <v>24261</v>
      </c>
      <c r="F70" s="150">
        <f t="shared" si="3"/>
        <v>0.30756066022666767</v>
      </c>
    </row>
    <row r="71" spans="1:7" ht="15" customHeight="1" x14ac:dyDescent="0.2">
      <c r="A71" s="141">
        <v>10</v>
      </c>
      <c r="B71" s="149" t="s">
        <v>210</v>
      </c>
      <c r="C71" s="146">
        <v>9790</v>
      </c>
      <c r="D71" s="146">
        <v>12010</v>
      </c>
      <c r="E71" s="146">
        <f t="shared" si="2"/>
        <v>2220</v>
      </c>
      <c r="F71" s="150">
        <f t="shared" si="3"/>
        <v>0.22676200204290092</v>
      </c>
    </row>
    <row r="72" spans="1:7" ht="15" customHeight="1" x14ac:dyDescent="0.2">
      <c r="A72" s="141">
        <v>11</v>
      </c>
      <c r="B72" s="149" t="s">
        <v>211</v>
      </c>
      <c r="C72" s="146">
        <v>5565</v>
      </c>
      <c r="D72" s="146">
        <v>10571</v>
      </c>
      <c r="E72" s="146">
        <f t="shared" si="2"/>
        <v>5006</v>
      </c>
      <c r="F72" s="150">
        <f t="shared" si="3"/>
        <v>0.89955076370170706</v>
      </c>
    </row>
    <row r="73" spans="1:7" ht="15" customHeight="1" x14ac:dyDescent="0.2">
      <c r="A73" s="141">
        <v>12</v>
      </c>
      <c r="B73" s="149" t="s">
        <v>212</v>
      </c>
      <c r="C73" s="146">
        <v>665780</v>
      </c>
      <c r="D73" s="146">
        <v>492085</v>
      </c>
      <c r="E73" s="146">
        <f t="shared" si="2"/>
        <v>-173695</v>
      </c>
      <c r="F73" s="150">
        <f t="shared" si="3"/>
        <v>-0.2608894830124065</v>
      </c>
    </row>
    <row r="74" spans="1:7" ht="15" customHeight="1" x14ac:dyDescent="0.2">
      <c r="A74" s="141">
        <v>13</v>
      </c>
      <c r="B74" s="149" t="s">
        <v>213</v>
      </c>
      <c r="C74" s="146">
        <v>352265</v>
      </c>
      <c r="D74" s="146">
        <v>349296</v>
      </c>
      <c r="E74" s="146">
        <f t="shared" si="2"/>
        <v>-2969</v>
      </c>
      <c r="F74" s="150">
        <f t="shared" si="3"/>
        <v>-8.4283139114019277E-3</v>
      </c>
    </row>
    <row r="75" spans="1:7" ht="15" customHeight="1" x14ac:dyDescent="0.2">
      <c r="A75" s="141">
        <v>14</v>
      </c>
      <c r="B75" s="149" t="s">
        <v>214</v>
      </c>
      <c r="C75" s="146">
        <v>161411</v>
      </c>
      <c r="D75" s="146">
        <v>181283</v>
      </c>
      <c r="E75" s="146">
        <f t="shared" si="2"/>
        <v>19872</v>
      </c>
      <c r="F75" s="150">
        <f t="shared" si="3"/>
        <v>0.12311428589129614</v>
      </c>
    </row>
    <row r="76" spans="1:7" ht="15" customHeight="1" x14ac:dyDescent="0.2">
      <c r="A76" s="141">
        <v>15</v>
      </c>
      <c r="B76" s="149" t="s">
        <v>215</v>
      </c>
      <c r="C76" s="146">
        <v>526803</v>
      </c>
      <c r="D76" s="146">
        <v>1083720</v>
      </c>
      <c r="E76" s="146">
        <f t="shared" si="2"/>
        <v>556917</v>
      </c>
      <c r="F76" s="150">
        <f t="shared" si="3"/>
        <v>1.0571636835781117</v>
      </c>
    </row>
    <row r="77" spans="1:7" ht="15" customHeight="1" x14ac:dyDescent="0.2">
      <c r="A77" s="141">
        <v>16</v>
      </c>
      <c r="B77" s="149" t="s">
        <v>216</v>
      </c>
      <c r="C77" s="146">
        <v>11263369</v>
      </c>
      <c r="D77" s="146">
        <v>12837421</v>
      </c>
      <c r="E77" s="146">
        <f t="shared" si="2"/>
        <v>1574052</v>
      </c>
      <c r="F77" s="150">
        <f t="shared" si="3"/>
        <v>0.13974966104724085</v>
      </c>
    </row>
    <row r="78" spans="1:7" ht="15.75" customHeight="1" x14ac:dyDescent="0.25">
      <c r="A78" s="141"/>
      <c r="B78" s="151" t="s">
        <v>217</v>
      </c>
      <c r="C78" s="147">
        <f>SUM(C62:C77)</f>
        <v>19214172</v>
      </c>
      <c r="D78" s="147">
        <f>SUM(D62:D77)</f>
        <v>21540531</v>
      </c>
      <c r="E78" s="147">
        <f t="shared" si="2"/>
        <v>2326359</v>
      </c>
      <c r="F78" s="148">
        <f t="shared" si="3"/>
        <v>0.12107516264557223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170234748</v>
      </c>
      <c r="D83" s="147">
        <f>+D81+D78+D59+D50+D47+D44+D41+D35+D30+D24+D18</f>
        <v>173322666</v>
      </c>
      <c r="E83" s="147">
        <f>+D83-C83</f>
        <v>3087918</v>
      </c>
      <c r="F83" s="148">
        <f>IF(C83=0,0,E83/C83)</f>
        <v>1.813917567522701E-2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660" t="s">
        <v>982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4067221</v>
      </c>
      <c r="D91" s="146">
        <v>4203805</v>
      </c>
      <c r="E91" s="146">
        <f t="shared" ref="E91:E109" si="4">D91-C91</f>
        <v>136584</v>
      </c>
      <c r="F91" s="150">
        <f t="shared" ref="F91:F109" si="5">IF(C91=0,0,E91/C91)</f>
        <v>3.3581651943673581E-2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1648454</v>
      </c>
      <c r="D92" s="146">
        <v>1750207</v>
      </c>
      <c r="E92" s="146">
        <f t="shared" si="4"/>
        <v>101753</v>
      </c>
      <c r="F92" s="150">
        <f t="shared" si="5"/>
        <v>6.1726320540336582E-2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1586066</v>
      </c>
      <c r="D93" s="146">
        <v>1734569</v>
      </c>
      <c r="E93" s="146">
        <f t="shared" si="4"/>
        <v>148503</v>
      </c>
      <c r="F93" s="150">
        <f t="shared" si="5"/>
        <v>9.3629773288122942E-2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1660437</v>
      </c>
      <c r="D94" s="146">
        <v>1669664</v>
      </c>
      <c r="E94" s="146">
        <f t="shared" si="4"/>
        <v>9227</v>
      </c>
      <c r="F94" s="150">
        <f t="shared" si="5"/>
        <v>5.5569708456267835E-3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4309116</v>
      </c>
      <c r="D95" s="146">
        <v>4601371</v>
      </c>
      <c r="E95" s="146">
        <f t="shared" si="4"/>
        <v>292255</v>
      </c>
      <c r="F95" s="150">
        <f t="shared" si="5"/>
        <v>6.7822495379562767E-2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1512766</v>
      </c>
      <c r="D96" s="146">
        <v>1564098</v>
      </c>
      <c r="E96" s="146">
        <f t="shared" si="4"/>
        <v>51332</v>
      </c>
      <c r="F96" s="150">
        <f t="shared" si="5"/>
        <v>3.3932544755765265E-2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16147288</v>
      </c>
      <c r="D97" s="146">
        <v>16848079</v>
      </c>
      <c r="E97" s="146">
        <f t="shared" si="4"/>
        <v>700791</v>
      </c>
      <c r="F97" s="150">
        <f t="shared" si="5"/>
        <v>4.339991954066838E-2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131419</v>
      </c>
      <c r="D98" s="146">
        <v>285449</v>
      </c>
      <c r="E98" s="146">
        <f t="shared" si="4"/>
        <v>154030</v>
      </c>
      <c r="F98" s="150">
        <f t="shared" si="5"/>
        <v>1.1720527473196418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1211439</v>
      </c>
      <c r="D99" s="146">
        <v>1331330</v>
      </c>
      <c r="E99" s="146">
        <f t="shared" si="4"/>
        <v>119891</v>
      </c>
      <c r="F99" s="150">
        <f t="shared" si="5"/>
        <v>9.8965775412546572E-2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3161874</v>
      </c>
      <c r="D100" s="146">
        <v>3312347</v>
      </c>
      <c r="E100" s="146">
        <f t="shared" si="4"/>
        <v>150473</v>
      </c>
      <c r="F100" s="150">
        <f t="shared" si="5"/>
        <v>4.7589815406939052E-2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1764333</v>
      </c>
      <c r="D101" s="146">
        <v>1865988</v>
      </c>
      <c r="E101" s="146">
        <f t="shared" si="4"/>
        <v>101655</v>
      </c>
      <c r="F101" s="150">
        <f t="shared" si="5"/>
        <v>5.761667440330142E-2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864367</v>
      </c>
      <c r="D102" s="146">
        <v>850483</v>
      </c>
      <c r="E102" s="146">
        <f t="shared" si="4"/>
        <v>-13884</v>
      </c>
      <c r="F102" s="150">
        <f t="shared" si="5"/>
        <v>-1.606262154848577E-2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2676417</v>
      </c>
      <c r="D103" s="146">
        <v>2646007</v>
      </c>
      <c r="E103" s="146">
        <f t="shared" si="4"/>
        <v>-30410</v>
      </c>
      <c r="F103" s="150">
        <f t="shared" si="5"/>
        <v>-1.136220551580714E-2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826251</v>
      </c>
      <c r="D104" s="146">
        <v>854551</v>
      </c>
      <c r="E104" s="146">
        <f t="shared" si="4"/>
        <v>28300</v>
      </c>
      <c r="F104" s="150">
        <f t="shared" si="5"/>
        <v>3.4251093190810059E-2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1103552</v>
      </c>
      <c r="D105" s="146">
        <v>1271247</v>
      </c>
      <c r="E105" s="146">
        <f t="shared" si="4"/>
        <v>167695</v>
      </c>
      <c r="F105" s="150">
        <f t="shared" si="5"/>
        <v>0.15195930957489995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965486</v>
      </c>
      <c r="D106" s="146">
        <v>1034580</v>
      </c>
      <c r="E106" s="146">
        <f t="shared" si="4"/>
        <v>69094</v>
      </c>
      <c r="F106" s="150">
        <f t="shared" si="5"/>
        <v>7.156395846237025E-2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7240037</v>
      </c>
      <c r="D107" s="146">
        <v>6166867</v>
      </c>
      <c r="E107" s="146">
        <f t="shared" si="4"/>
        <v>-1073170</v>
      </c>
      <c r="F107" s="150">
        <f t="shared" si="5"/>
        <v>-0.14822714303808115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28913307</v>
      </c>
      <c r="D108" s="146">
        <v>27893205</v>
      </c>
      <c r="E108" s="146">
        <f t="shared" si="4"/>
        <v>-1020102</v>
      </c>
      <c r="F108" s="150">
        <f t="shared" si="5"/>
        <v>-3.5281401743494784E-2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79789830</v>
      </c>
      <c r="D109" s="147">
        <f>SUM(D91:D108)</f>
        <v>79883847</v>
      </c>
      <c r="E109" s="147">
        <f t="shared" si="4"/>
        <v>94017</v>
      </c>
      <c r="F109" s="148">
        <f t="shared" si="5"/>
        <v>1.1783080625688762E-3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5875800</v>
      </c>
      <c r="D112" s="146">
        <v>6685581</v>
      </c>
      <c r="E112" s="146">
        <f t="shared" ref="E112:E118" si="6">D112-C112</f>
        <v>809781</v>
      </c>
      <c r="F112" s="150">
        <f t="shared" ref="F112:F118" si="7">IF(C112=0,0,E112/C112)</f>
        <v>0.13781629735525375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1839620</v>
      </c>
      <c r="D114" s="146">
        <v>1840454</v>
      </c>
      <c r="E114" s="146">
        <f t="shared" si="6"/>
        <v>834</v>
      </c>
      <c r="F114" s="150">
        <f t="shared" si="7"/>
        <v>4.5335449712440614E-4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1685453</v>
      </c>
      <c r="D115" s="146">
        <v>1743218</v>
      </c>
      <c r="E115" s="146">
        <f t="shared" si="6"/>
        <v>57765</v>
      </c>
      <c r="F115" s="150">
        <f t="shared" si="7"/>
        <v>3.42726851475538E-2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348227</v>
      </c>
      <c r="D116" s="146">
        <v>369372</v>
      </c>
      <c r="E116" s="146">
        <f t="shared" si="6"/>
        <v>21145</v>
      </c>
      <c r="F116" s="150">
        <f t="shared" si="7"/>
        <v>6.0721885436798413E-2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9749100</v>
      </c>
      <c r="D118" s="147">
        <f>SUM(D112:D117)</f>
        <v>10638625</v>
      </c>
      <c r="E118" s="147">
        <f t="shared" si="6"/>
        <v>889525</v>
      </c>
      <c r="F118" s="148">
        <f t="shared" si="7"/>
        <v>9.124175564923942E-2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12190675</v>
      </c>
      <c r="D121" s="146">
        <v>11940513</v>
      </c>
      <c r="E121" s="146">
        <f t="shared" ref="E121:E155" si="8">D121-C121</f>
        <v>-250162</v>
      </c>
      <c r="F121" s="150">
        <f t="shared" ref="F121:F155" si="9">IF(C121=0,0,E121/C121)</f>
        <v>-2.0520766897649229E-2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1103082</v>
      </c>
      <c r="D122" s="146">
        <v>1111554</v>
      </c>
      <c r="E122" s="146">
        <f t="shared" si="8"/>
        <v>8472</v>
      </c>
      <c r="F122" s="150">
        <f t="shared" si="9"/>
        <v>7.6802993793752411E-3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600657</v>
      </c>
      <c r="D123" s="146">
        <v>495185</v>
      </c>
      <c r="E123" s="146">
        <f t="shared" si="8"/>
        <v>-105472</v>
      </c>
      <c r="F123" s="150">
        <f t="shared" si="9"/>
        <v>-0.1755943908087311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3034967</v>
      </c>
      <c r="D124" s="146">
        <v>3716232</v>
      </c>
      <c r="E124" s="146">
        <f t="shared" si="8"/>
        <v>681265</v>
      </c>
      <c r="F124" s="150">
        <f t="shared" si="9"/>
        <v>0.2244719629570931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2685918</v>
      </c>
      <c r="D125" s="146">
        <v>2677872</v>
      </c>
      <c r="E125" s="146">
        <f t="shared" si="8"/>
        <v>-8046</v>
      </c>
      <c r="F125" s="150">
        <f t="shared" si="9"/>
        <v>-2.9956238425744939E-3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425203</v>
      </c>
      <c r="D126" s="146">
        <v>651729</v>
      </c>
      <c r="E126" s="146">
        <f t="shared" si="8"/>
        <v>226526</v>
      </c>
      <c r="F126" s="150">
        <f t="shared" si="9"/>
        <v>0.53274788747962742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586510</v>
      </c>
      <c r="D128" s="146">
        <v>626616</v>
      </c>
      <c r="E128" s="146">
        <f t="shared" si="8"/>
        <v>40106</v>
      </c>
      <c r="F128" s="150">
        <f t="shared" si="9"/>
        <v>6.838076077134235E-2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872186</v>
      </c>
      <c r="D129" s="146">
        <v>857473</v>
      </c>
      <c r="E129" s="146">
        <f t="shared" si="8"/>
        <v>-14713</v>
      </c>
      <c r="F129" s="150">
        <f t="shared" si="9"/>
        <v>-1.6869108194811657E-2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11768560</v>
      </c>
      <c r="D130" s="146">
        <v>11956198</v>
      </c>
      <c r="E130" s="146">
        <f t="shared" si="8"/>
        <v>187638</v>
      </c>
      <c r="F130" s="150">
        <f t="shared" si="9"/>
        <v>1.5944006743390866E-2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1590064</v>
      </c>
      <c r="D132" s="146">
        <v>1643596</v>
      </c>
      <c r="E132" s="146">
        <f t="shared" si="8"/>
        <v>53532</v>
      </c>
      <c r="F132" s="150">
        <f t="shared" si="9"/>
        <v>3.3666569395948844E-2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266776</v>
      </c>
      <c r="D133" s="146">
        <v>198535</v>
      </c>
      <c r="E133" s="146">
        <f t="shared" si="8"/>
        <v>-68241</v>
      </c>
      <c r="F133" s="150">
        <f t="shared" si="9"/>
        <v>-0.25579887246229044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56100</v>
      </c>
      <c r="D134" s="146">
        <v>82771</v>
      </c>
      <c r="E134" s="146">
        <f t="shared" si="8"/>
        <v>26671</v>
      </c>
      <c r="F134" s="150">
        <f t="shared" si="9"/>
        <v>0.47541889483065952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53367</v>
      </c>
      <c r="D136" s="146">
        <v>67049</v>
      </c>
      <c r="E136" s="146">
        <f t="shared" si="8"/>
        <v>13682</v>
      </c>
      <c r="F136" s="150">
        <f t="shared" si="9"/>
        <v>0.25637566286281782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0</v>
      </c>
      <c r="D138" s="146">
        <v>0</v>
      </c>
      <c r="E138" s="146">
        <f t="shared" si="8"/>
        <v>0</v>
      </c>
      <c r="F138" s="150">
        <f t="shared" si="9"/>
        <v>0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4057969</v>
      </c>
      <c r="D142" s="146">
        <v>4534568</v>
      </c>
      <c r="E142" s="146">
        <f t="shared" si="8"/>
        <v>476599</v>
      </c>
      <c r="F142" s="150">
        <f t="shared" si="9"/>
        <v>0.11744766901866427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171858</v>
      </c>
      <c r="D143" s="146">
        <v>181157</v>
      </c>
      <c r="E143" s="146">
        <f t="shared" si="8"/>
        <v>9299</v>
      </c>
      <c r="F143" s="150">
        <f t="shared" si="9"/>
        <v>5.410862456213851E-2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8837507</v>
      </c>
      <c r="D144" s="146">
        <v>9425925</v>
      </c>
      <c r="E144" s="146">
        <f t="shared" si="8"/>
        <v>588418</v>
      </c>
      <c r="F144" s="150">
        <f t="shared" si="9"/>
        <v>6.6581899171338707E-2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293348</v>
      </c>
      <c r="D145" s="146">
        <v>301714</v>
      </c>
      <c r="E145" s="146">
        <f t="shared" si="8"/>
        <v>8366</v>
      </c>
      <c r="F145" s="150">
        <f t="shared" si="9"/>
        <v>2.8519028594024845E-2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378344</v>
      </c>
      <c r="D146" s="146">
        <v>453650</v>
      </c>
      <c r="E146" s="146">
        <f t="shared" si="8"/>
        <v>75306</v>
      </c>
      <c r="F146" s="150">
        <f t="shared" si="9"/>
        <v>0.19904108430423106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2292469</v>
      </c>
      <c r="D148" s="146">
        <v>2191726</v>
      </c>
      <c r="E148" s="146">
        <f t="shared" si="8"/>
        <v>-100743</v>
      </c>
      <c r="F148" s="150">
        <f t="shared" si="9"/>
        <v>-4.3945196205488493E-2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944715</v>
      </c>
      <c r="D149" s="146">
        <v>864162</v>
      </c>
      <c r="E149" s="146">
        <f t="shared" si="8"/>
        <v>-80553</v>
      </c>
      <c r="F149" s="150">
        <f t="shared" si="9"/>
        <v>-8.5266985281275312E-2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1658756</v>
      </c>
      <c r="D152" s="146">
        <v>1746537</v>
      </c>
      <c r="E152" s="146">
        <f t="shared" si="8"/>
        <v>87781</v>
      </c>
      <c r="F152" s="150">
        <f t="shared" si="9"/>
        <v>5.2919778436370392E-2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5753916</v>
      </c>
      <c r="D154" s="146">
        <v>6416241</v>
      </c>
      <c r="E154" s="146">
        <f t="shared" si="8"/>
        <v>662325</v>
      </c>
      <c r="F154" s="150">
        <f t="shared" si="9"/>
        <v>0.11510856258589802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59622947</v>
      </c>
      <c r="D155" s="147">
        <f>SUM(D121:D154)</f>
        <v>62141003</v>
      </c>
      <c r="E155" s="147">
        <f t="shared" si="8"/>
        <v>2518056</v>
      </c>
      <c r="F155" s="148">
        <f t="shared" si="9"/>
        <v>4.2233001330846662E-2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6858047</v>
      </c>
      <c r="D158" s="146">
        <v>6476320</v>
      </c>
      <c r="E158" s="146">
        <f t="shared" ref="E158:E171" si="10">D158-C158</f>
        <v>-381727</v>
      </c>
      <c r="F158" s="150">
        <f t="shared" ref="F158:F171" si="11">IF(C158=0,0,E158/C158)</f>
        <v>-5.5661181674607943E-2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6614451</v>
      </c>
      <c r="D159" s="146">
        <v>6439869</v>
      </c>
      <c r="E159" s="146">
        <f t="shared" si="10"/>
        <v>-174582</v>
      </c>
      <c r="F159" s="150">
        <f t="shared" si="11"/>
        <v>-2.6394027259405203E-2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3941312</v>
      </c>
      <c r="D161" s="146">
        <v>4007282</v>
      </c>
      <c r="E161" s="146">
        <f t="shared" si="10"/>
        <v>65970</v>
      </c>
      <c r="F161" s="150">
        <f t="shared" si="11"/>
        <v>1.6738081126284853E-2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1214994</v>
      </c>
      <c r="D163" s="146">
        <v>1251677</v>
      </c>
      <c r="E163" s="146">
        <f t="shared" si="10"/>
        <v>36683</v>
      </c>
      <c r="F163" s="150">
        <f t="shared" si="11"/>
        <v>3.0191918643219639E-2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1443173</v>
      </c>
      <c r="D167" s="146">
        <v>1448660</v>
      </c>
      <c r="E167" s="146">
        <f t="shared" si="10"/>
        <v>5487</v>
      </c>
      <c r="F167" s="150">
        <f t="shared" si="11"/>
        <v>3.8020389793877794E-3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1000894</v>
      </c>
      <c r="D170" s="146">
        <v>1035383</v>
      </c>
      <c r="E170" s="146">
        <f t="shared" si="10"/>
        <v>34489</v>
      </c>
      <c r="F170" s="150">
        <f t="shared" si="11"/>
        <v>3.4458194374229437E-2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21072871</v>
      </c>
      <c r="D171" s="147">
        <f>SUM(D158:D170)</f>
        <v>20659191</v>
      </c>
      <c r="E171" s="147">
        <f t="shared" si="10"/>
        <v>-413680</v>
      </c>
      <c r="F171" s="148">
        <f t="shared" si="11"/>
        <v>-1.9630927366280561E-2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170234748</v>
      </c>
      <c r="D176" s="147">
        <f>+D174+D171+D155+D118+D109</f>
        <v>173322666</v>
      </c>
      <c r="E176" s="147">
        <f>D176-C176</f>
        <v>3087918</v>
      </c>
      <c r="F176" s="148">
        <f>IF(C176=0,0,E176/C176)</f>
        <v>1.813917567522701E-2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660" t="s">
        <v>983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1" fitToHeight="0" orientation="portrait" horizontalDpi="1200" verticalDpi="1200" r:id="rId1"/>
  <headerFooter>
    <oddHeader>&amp;LOFFICE OF HEALTH CARE ACCESS&amp;CTWELVE MONTHS ACTUAL FILING&amp;RMANCHESTER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167264862</v>
      </c>
      <c r="D11" s="164">
        <v>166310748</v>
      </c>
      <c r="E11" s="51">
        <v>166602260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10165345</v>
      </c>
      <c r="D12" s="49">
        <v>10448262</v>
      </c>
      <c r="E12" s="49">
        <v>13148358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177430207</v>
      </c>
      <c r="D13" s="51">
        <f>+D11+D12</f>
        <v>176759010</v>
      </c>
      <c r="E13" s="51">
        <f>+E11+E12</f>
        <v>179750618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170017184</v>
      </c>
      <c r="D14" s="49">
        <v>170234748</v>
      </c>
      <c r="E14" s="49">
        <v>173322666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7413023</v>
      </c>
      <c r="D15" s="51">
        <f>+D13-D14</f>
        <v>6524262</v>
      </c>
      <c r="E15" s="51">
        <f>+E13-E14</f>
        <v>6427952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-1467453</v>
      </c>
      <c r="D16" s="49">
        <v>-842128</v>
      </c>
      <c r="E16" s="49">
        <v>-364307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5945570</v>
      </c>
      <c r="D17" s="51">
        <f>D15+D16</f>
        <v>5682134</v>
      </c>
      <c r="E17" s="51">
        <f>E15+E16</f>
        <v>6063645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4.2128364278726849E-2</v>
      </c>
      <c r="D20" s="169">
        <f>IF(+D27=0,0,+D24/+D27)</f>
        <v>3.7087185299248315E-2</v>
      </c>
      <c r="E20" s="169">
        <f>IF(+E27=0,0,+E24/+E27)</f>
        <v>3.5833012921482062E-2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-8.339565997017755E-3</v>
      </c>
      <c r="D21" s="169">
        <f>IF(D27=0,0,+D26/D27)</f>
        <v>-4.7870789342435022E-3</v>
      </c>
      <c r="E21" s="169">
        <f>IF(E27=0,0,+E26/E27)</f>
        <v>-2.0308517298178899E-3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3.3788798281709095E-2</v>
      </c>
      <c r="D22" s="169">
        <f>IF(D27=0,0,+D28/D27)</f>
        <v>3.2300106365004806E-2</v>
      </c>
      <c r="E22" s="169">
        <f>IF(E27=0,0,+E28/E27)</f>
        <v>3.3802161191664175E-2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7413023</v>
      </c>
      <c r="D24" s="51">
        <f>+D15</f>
        <v>6524262</v>
      </c>
      <c r="E24" s="51">
        <f>+E15</f>
        <v>6427952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177430207</v>
      </c>
      <c r="D25" s="51">
        <f>+D13</f>
        <v>176759010</v>
      </c>
      <c r="E25" s="51">
        <f>+E13</f>
        <v>179750618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-1467453</v>
      </c>
      <c r="D26" s="51">
        <f>+D16</f>
        <v>-842128</v>
      </c>
      <c r="E26" s="51">
        <f>+E16</f>
        <v>-364307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175962754</v>
      </c>
      <c r="D27" s="51">
        <f>+D25+D26</f>
        <v>175916882</v>
      </c>
      <c r="E27" s="51">
        <f>+E25+E26</f>
        <v>179386311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5945570</v>
      </c>
      <c r="D28" s="51">
        <f>+D17</f>
        <v>5682134</v>
      </c>
      <c r="E28" s="51">
        <f>+E17</f>
        <v>6063645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12898050</v>
      </c>
      <c r="D31" s="51">
        <v>5363698</v>
      </c>
      <c r="E31" s="51">
        <v>3473307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21927867</v>
      </c>
      <c r="D32" s="51">
        <v>15191387</v>
      </c>
      <c r="E32" s="51">
        <v>12141642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-16712029</v>
      </c>
      <c r="D33" s="51">
        <f>+D32-C32</f>
        <v>-6736480</v>
      </c>
      <c r="E33" s="51">
        <f>+E32-D32</f>
        <v>-3049745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0.56740000000000002</v>
      </c>
      <c r="D34" s="171">
        <f>IF(C32=0,0,+D33/C32)</f>
        <v>-0.307210911120539</v>
      </c>
      <c r="E34" s="171">
        <f>IF(D32=0,0,+E33/D32)</f>
        <v>-0.20075487511443163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0.40453577727559603</v>
      </c>
      <c r="D38" s="172">
        <f>IF((D40+D41)=0,0,+D39/(D40+D41))</f>
        <v>0.39622313501746625</v>
      </c>
      <c r="E38" s="172">
        <f>IF((E40+E41)=0,0,+E39/(E40+E41))</f>
        <v>0.39892967700006532</v>
      </c>
      <c r="F38" s="5"/>
    </row>
    <row r="39" spans="1:6" ht="24" customHeight="1" x14ac:dyDescent="0.2">
      <c r="A39" s="21">
        <v>2</v>
      </c>
      <c r="B39" s="48" t="s">
        <v>322</v>
      </c>
      <c r="C39" s="51">
        <v>170017184</v>
      </c>
      <c r="D39" s="51">
        <v>170234748</v>
      </c>
      <c r="E39" s="23">
        <v>173322666</v>
      </c>
      <c r="F39" s="5"/>
    </row>
    <row r="40" spans="1:6" ht="24" customHeight="1" x14ac:dyDescent="0.2">
      <c r="A40" s="21">
        <v>3</v>
      </c>
      <c r="B40" s="48" t="s">
        <v>323</v>
      </c>
      <c r="C40" s="51">
        <v>410211496</v>
      </c>
      <c r="D40" s="51">
        <v>419195373</v>
      </c>
      <c r="E40" s="23">
        <v>421320863</v>
      </c>
      <c r="F40" s="5"/>
    </row>
    <row r="41" spans="1:6" ht="24" customHeight="1" x14ac:dyDescent="0.2">
      <c r="A41" s="21">
        <v>4</v>
      </c>
      <c r="B41" s="48" t="s">
        <v>324</v>
      </c>
      <c r="C41" s="51">
        <v>10065754</v>
      </c>
      <c r="D41" s="51">
        <v>10448262</v>
      </c>
      <c r="E41" s="23">
        <v>13148358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1.1671052477052239</v>
      </c>
      <c r="D43" s="173">
        <f>IF(D38=0,0,IF((D46-D47)=0,0,((+D44-D45)/(D46-D47)/D38)))</f>
        <v>1.1929124848195167</v>
      </c>
      <c r="E43" s="173">
        <f>IF(E38=0,0,IF((E46-E47)=0,0,((+E44-E45)/(E46-E47)/E38)))</f>
        <v>1.2938166417528405</v>
      </c>
      <c r="F43" s="5"/>
    </row>
    <row r="44" spans="1:6" ht="24" customHeight="1" x14ac:dyDescent="0.2">
      <c r="A44" s="21">
        <v>6</v>
      </c>
      <c r="B44" s="48" t="s">
        <v>326</v>
      </c>
      <c r="C44" s="51">
        <v>82007197</v>
      </c>
      <c r="D44" s="51">
        <v>80684016</v>
      </c>
      <c r="E44" s="23">
        <v>85091498</v>
      </c>
      <c r="F44" s="5"/>
    </row>
    <row r="45" spans="1:6" ht="24" customHeight="1" x14ac:dyDescent="0.2">
      <c r="A45" s="21">
        <v>7</v>
      </c>
      <c r="B45" s="48" t="s">
        <v>327</v>
      </c>
      <c r="C45" s="51">
        <v>3455438</v>
      </c>
      <c r="D45" s="51">
        <v>3423922</v>
      </c>
      <c r="E45" s="23">
        <v>350457</v>
      </c>
      <c r="F45" s="5"/>
    </row>
    <row r="46" spans="1:6" ht="24" customHeight="1" x14ac:dyDescent="0.2">
      <c r="A46" s="21">
        <v>8</v>
      </c>
      <c r="B46" s="48" t="s">
        <v>328</v>
      </c>
      <c r="C46" s="51">
        <v>178865005</v>
      </c>
      <c r="D46" s="51">
        <v>175831222</v>
      </c>
      <c r="E46" s="23">
        <v>175535197</v>
      </c>
      <c r="F46" s="5"/>
    </row>
    <row r="47" spans="1:6" ht="24" customHeight="1" x14ac:dyDescent="0.2">
      <c r="A47" s="21">
        <v>9</v>
      </c>
      <c r="B47" s="48" t="s">
        <v>329</v>
      </c>
      <c r="C47" s="51">
        <v>12489665</v>
      </c>
      <c r="D47" s="51">
        <v>12372982</v>
      </c>
      <c r="E47" s="174">
        <v>11353509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0.83462253524734165</v>
      </c>
      <c r="D49" s="175">
        <f>IF(D38=0,0,IF(D51=0,0,(D50/D51)/D38))</f>
        <v>0.86485664021465658</v>
      </c>
      <c r="E49" s="175">
        <f>IF(E38=0,0,IF(E51=0,0,(E50/E51)/E38))</f>
        <v>0.80080544545769283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60626146</v>
      </c>
      <c r="D50" s="176">
        <v>61571207</v>
      </c>
      <c r="E50" s="176">
        <v>55001262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179561373</v>
      </c>
      <c r="D51" s="176">
        <v>179677507</v>
      </c>
      <c r="E51" s="176">
        <v>172166754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0.74893193330848118</v>
      </c>
      <c r="D53" s="175">
        <f>IF(D38=0,0,IF(D55=0,0,(D54/D55)/D38))</f>
        <v>0.6743063902462294</v>
      </c>
      <c r="E53" s="175">
        <f>IF(E38=0,0,IF(E55=0,0,(E54/E55)/E38))</f>
        <v>0.64654040944529889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11951453</v>
      </c>
      <c r="D54" s="176">
        <v>12838356</v>
      </c>
      <c r="E54" s="176">
        <v>18523993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39447676</v>
      </c>
      <c r="D55" s="176">
        <v>48052093</v>
      </c>
      <c r="E55" s="176">
        <v>71819535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3767738.6230281461</v>
      </c>
      <c r="D57" s="53">
        <f>+D60*D38</f>
        <v>3545884.8345759292</v>
      </c>
      <c r="E57" s="53">
        <f>+E60*E38</f>
        <v>4389439.5921484753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1418730</v>
      </c>
      <c r="D58" s="51">
        <v>2236613</v>
      </c>
      <c r="E58" s="52">
        <v>4838371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7895004</v>
      </c>
      <c r="D59" s="51">
        <v>6712599</v>
      </c>
      <c r="E59" s="52">
        <v>6164670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9313734</v>
      </c>
      <c r="D60" s="51">
        <v>8949212</v>
      </c>
      <c r="E60" s="52">
        <v>11003041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2.2160928291978688E-2</v>
      </c>
      <c r="D62" s="178">
        <f>IF(D63=0,0,+D57/D63)</f>
        <v>2.0829383402828718E-2</v>
      </c>
      <c r="E62" s="178">
        <f>IF(E63=0,0,+E57/E63)</f>
        <v>2.5325248528940095E-2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170017184</v>
      </c>
      <c r="D63" s="176">
        <v>170234748</v>
      </c>
      <c r="E63" s="176">
        <v>173322666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1.165222851594371</v>
      </c>
      <c r="D67" s="179">
        <f>IF(D69=0,0,D68/D69)</f>
        <v>0.98109353093216056</v>
      </c>
      <c r="E67" s="179">
        <f>IF(E69=0,0,E68/E69)</f>
        <v>1.0148625504618987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46072012</v>
      </c>
      <c r="D68" s="180">
        <v>45777884</v>
      </c>
      <c r="E68" s="180">
        <v>41209391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39539228</v>
      </c>
      <c r="D69" s="180">
        <v>46660061</v>
      </c>
      <c r="E69" s="180">
        <v>40605884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24.047916188400613</v>
      </c>
      <c r="D71" s="181">
        <f>IF((D77/365)=0,0,+D74/(D77/365))</f>
        <v>15.707636099982826</v>
      </c>
      <c r="E71" s="181">
        <f>IF((E77/365)=0,0,+E74/(E77/365))</f>
        <v>23.893604197441864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10660990</v>
      </c>
      <c r="D72" s="182">
        <v>6996083</v>
      </c>
      <c r="E72" s="182">
        <v>10880739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10660990</v>
      </c>
      <c r="D74" s="180">
        <f>+D72+D73</f>
        <v>6996083</v>
      </c>
      <c r="E74" s="180">
        <f>+E72+E73</f>
        <v>10880739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170017184</v>
      </c>
      <c r="D75" s="180">
        <f>+D14</f>
        <v>170234748</v>
      </c>
      <c r="E75" s="180">
        <f>+E14</f>
        <v>173322666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8204355</v>
      </c>
      <c r="D76" s="180">
        <v>7666028</v>
      </c>
      <c r="E76" s="180">
        <v>7107904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161812829</v>
      </c>
      <c r="D77" s="180">
        <f>+D75-D76</f>
        <v>162568720</v>
      </c>
      <c r="E77" s="180">
        <f>+E75-E76</f>
        <v>166214762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54.163906164583452</v>
      </c>
      <c r="D79" s="179">
        <f>IF((D84/365)=0,0,+D83/(D84/365))</f>
        <v>53.956659794471015</v>
      </c>
      <c r="E79" s="179">
        <f>IF((E84/365)=0,0,+E83/(E84/365))</f>
        <v>51.951852874024638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24557822</v>
      </c>
      <c r="D80" s="189">
        <v>24506769</v>
      </c>
      <c r="E80" s="189">
        <v>24700330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514722</v>
      </c>
      <c r="D81" s="190">
        <v>359760</v>
      </c>
      <c r="E81" s="190">
        <v>432832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251398</v>
      </c>
      <c r="D82" s="190">
        <v>281399</v>
      </c>
      <c r="E82" s="190">
        <v>1420022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24821146</v>
      </c>
      <c r="D83" s="191">
        <f>+D80+D81-D82</f>
        <v>24585130</v>
      </c>
      <c r="E83" s="191">
        <f>+E80+E81-E82</f>
        <v>23713140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167264862</v>
      </c>
      <c r="D84" s="191">
        <f>+D11</f>
        <v>166310748</v>
      </c>
      <c r="E84" s="191">
        <f>+E11</f>
        <v>166602260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89.188343774645958</v>
      </c>
      <c r="D86" s="179">
        <f>IF((D90/365)=0,0,+D87/(D90/365))</f>
        <v>104.7613726982657</v>
      </c>
      <c r="E86" s="179">
        <f>IF((E90/365)=0,0,+E87/(E90/365))</f>
        <v>89.168660362429179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39539228</v>
      </c>
      <c r="D87" s="51">
        <f>+D69</f>
        <v>46660061</v>
      </c>
      <c r="E87" s="51">
        <f>+E69</f>
        <v>40605884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170017184</v>
      </c>
      <c r="D88" s="51">
        <f t="shared" si="0"/>
        <v>170234748</v>
      </c>
      <c r="E88" s="51">
        <f t="shared" si="0"/>
        <v>173322666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8204355</v>
      </c>
      <c r="D89" s="52">
        <f t="shared" si="0"/>
        <v>7666028</v>
      </c>
      <c r="E89" s="52">
        <f t="shared" si="0"/>
        <v>7107904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161812829</v>
      </c>
      <c r="D90" s="51">
        <f>+D88-D89</f>
        <v>162568720</v>
      </c>
      <c r="E90" s="51">
        <f>+E88-E89</f>
        <v>166214762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14.55952708180755</v>
      </c>
      <c r="D94" s="192">
        <f>IF(D96=0,0,(D95/D96)*100)</f>
        <v>10.084412032352036</v>
      </c>
      <c r="E94" s="192">
        <f>IF(E96=0,0,(E95/E96)*100)</f>
        <v>8.20190089758003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21927867</v>
      </c>
      <c r="D95" s="51">
        <f>+D32</f>
        <v>15191387</v>
      </c>
      <c r="E95" s="51">
        <f>+E32</f>
        <v>12141642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150608374</v>
      </c>
      <c r="D96" s="51">
        <v>150642268</v>
      </c>
      <c r="E96" s="51">
        <v>148034488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15.939997924973017</v>
      </c>
      <c r="D98" s="192">
        <f>IF(D104=0,0,(D101/D104)*100)</f>
        <v>14.340413036699667</v>
      </c>
      <c r="E98" s="192">
        <f>IF(E104=0,0,(E101/E104)*100)</f>
        <v>14.584070317113298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5945570</v>
      </c>
      <c r="D99" s="51">
        <f>+D28</f>
        <v>5682134</v>
      </c>
      <c r="E99" s="51">
        <f>+E28</f>
        <v>6063645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8204355</v>
      </c>
      <c r="D100" s="52">
        <f>+D76</f>
        <v>7666028</v>
      </c>
      <c r="E100" s="52">
        <f>+E76</f>
        <v>7107904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14149925</v>
      </c>
      <c r="D101" s="51">
        <f>+D99+D100</f>
        <v>13348162</v>
      </c>
      <c r="E101" s="51">
        <f>+E99+E100</f>
        <v>13171549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39539228</v>
      </c>
      <c r="D102" s="180">
        <f>+D69</f>
        <v>46660061</v>
      </c>
      <c r="E102" s="180">
        <f>+E69</f>
        <v>40605884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49230702</v>
      </c>
      <c r="D103" s="194">
        <v>46420675</v>
      </c>
      <c r="E103" s="194">
        <v>49708745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88769930</v>
      </c>
      <c r="D104" s="180">
        <f>+D102+D103</f>
        <v>93080736</v>
      </c>
      <c r="E104" s="180">
        <f>+E102+E103</f>
        <v>90314629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69.184502571995239</v>
      </c>
      <c r="D106" s="197">
        <f>IF(D109=0,0,(D107/D109)*100)</f>
        <v>75.343485501264354</v>
      </c>
      <c r="E106" s="197">
        <f>IF(E109=0,0,(E107/E109)*100)</f>
        <v>80.369335441668298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49230702</v>
      </c>
      <c r="D107" s="180">
        <f>+D103</f>
        <v>46420675</v>
      </c>
      <c r="E107" s="180">
        <f>+E103</f>
        <v>49708745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21927867</v>
      </c>
      <c r="D108" s="180">
        <f>+D32</f>
        <v>15191387</v>
      </c>
      <c r="E108" s="180">
        <f>+E32</f>
        <v>12141642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71158569</v>
      </c>
      <c r="D109" s="180">
        <f>+D107+D108</f>
        <v>61612062</v>
      </c>
      <c r="E109" s="180">
        <f>+E107+E108</f>
        <v>61850387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2.8524237793699951</v>
      </c>
      <c r="D111" s="197">
        <f>IF((+D113+D115)=0,0,((+D112+D113+D114)/(+D113+D115)))</f>
        <v>2.9914303091555117</v>
      </c>
      <c r="E111" s="197">
        <f>IF((+E113+E115)=0,0,((+E112+E113+E114)/(+E113+E115)))</f>
        <v>2.1755668182982641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5945570</v>
      </c>
      <c r="D112" s="180">
        <f>+D17</f>
        <v>5682134</v>
      </c>
      <c r="E112" s="180">
        <f>+E17</f>
        <v>6063645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2265597</v>
      </c>
      <c r="D113" s="180">
        <v>2528633</v>
      </c>
      <c r="E113" s="180">
        <v>2539198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8204355</v>
      </c>
      <c r="D114" s="180">
        <v>7666028</v>
      </c>
      <c r="E114" s="180">
        <v>7107904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3489341</v>
      </c>
      <c r="D115" s="180">
        <v>2778793</v>
      </c>
      <c r="E115" s="180">
        <v>4682252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15.100087209780659</v>
      </c>
      <c r="D119" s="197">
        <f>IF(+D121=0,0,(+D120)/(+D121))</f>
        <v>17.084643703362421</v>
      </c>
      <c r="E119" s="197">
        <f>IF(+E121=0,0,(+E120)/(+E121))</f>
        <v>19.343894627727106</v>
      </c>
    </row>
    <row r="120" spans="1:8" ht="24" customHeight="1" x14ac:dyDescent="0.25">
      <c r="A120" s="17">
        <v>21</v>
      </c>
      <c r="B120" s="48" t="s">
        <v>367</v>
      </c>
      <c r="C120" s="180">
        <v>123886476</v>
      </c>
      <c r="D120" s="180">
        <v>130971357</v>
      </c>
      <c r="E120" s="180">
        <v>137494546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8204355</v>
      </c>
      <c r="D121" s="180">
        <v>7666028</v>
      </c>
      <c r="E121" s="180">
        <v>7107904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44631</v>
      </c>
      <c r="D124" s="198">
        <v>44935</v>
      </c>
      <c r="E124" s="198">
        <v>43475</v>
      </c>
    </row>
    <row r="125" spans="1:8" ht="24" customHeight="1" x14ac:dyDescent="0.2">
      <c r="A125" s="44">
        <v>2</v>
      </c>
      <c r="B125" s="48" t="s">
        <v>371</v>
      </c>
      <c r="C125" s="198">
        <v>8989</v>
      </c>
      <c r="D125" s="198">
        <v>9109</v>
      </c>
      <c r="E125" s="198">
        <v>9281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4.9650684169540549</v>
      </c>
      <c r="D126" s="199">
        <f>IF(D125=0,0,D124/D125)</f>
        <v>4.9330332638050276</v>
      </c>
      <c r="E126" s="199">
        <f>IF(E125=0,0,E124/E125)</f>
        <v>4.6843012606400176</v>
      </c>
    </row>
    <row r="127" spans="1:8" ht="24" customHeight="1" x14ac:dyDescent="0.2">
      <c r="A127" s="44">
        <v>4</v>
      </c>
      <c r="B127" s="48" t="s">
        <v>373</v>
      </c>
      <c r="C127" s="198">
        <v>140</v>
      </c>
      <c r="D127" s="198">
        <v>140</v>
      </c>
      <c r="E127" s="198">
        <v>171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283</v>
      </c>
      <c r="E128" s="198">
        <v>283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283</v>
      </c>
      <c r="D129" s="198">
        <v>283</v>
      </c>
      <c r="E129" s="198">
        <v>283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0.87339999999999995</v>
      </c>
      <c r="D130" s="171">
        <v>0.87929999999999997</v>
      </c>
      <c r="E130" s="171">
        <v>0.69650000000000001</v>
      </c>
    </row>
    <row r="131" spans="1:8" ht="24" customHeight="1" x14ac:dyDescent="0.2">
      <c r="A131" s="44">
        <v>7</v>
      </c>
      <c r="B131" s="48" t="s">
        <v>377</v>
      </c>
      <c r="C131" s="171">
        <v>0.432</v>
      </c>
      <c r="D131" s="171">
        <v>0.435</v>
      </c>
      <c r="E131" s="171">
        <v>0.42080000000000001</v>
      </c>
    </row>
    <row r="132" spans="1:8" ht="24" customHeight="1" x14ac:dyDescent="0.2">
      <c r="A132" s="44">
        <v>8</v>
      </c>
      <c r="B132" s="48" t="s">
        <v>378</v>
      </c>
      <c r="C132" s="199">
        <v>1155.3</v>
      </c>
      <c r="D132" s="199">
        <v>1146.9000000000001</v>
      </c>
      <c r="E132" s="199">
        <v>1138.9000000000001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0.4055842940101318</v>
      </c>
      <c r="D135" s="203">
        <f>IF(D149=0,0,D143/D149)</f>
        <v>0.38993331159692929</v>
      </c>
      <c r="E135" s="203">
        <f>IF(E149=0,0,E143/E149)</f>
        <v>0.38968326142444076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0.43772876857649062</v>
      </c>
      <c r="D136" s="203">
        <f>IF(D149=0,0,D144/D149)</f>
        <v>0.42862473818383484</v>
      </c>
      <c r="E136" s="203">
        <f>IF(E149=0,0,E144/E149)</f>
        <v>0.40863571951811939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9.6164238166548122E-2</v>
      </c>
      <c r="D137" s="203">
        <f>IF(D149=0,0,D145/D149)</f>
        <v>0.11462934968988792</v>
      </c>
      <c r="E137" s="203">
        <f>IF(E149=0,0,E145/E149)</f>
        <v>0.17046280236067968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2.75567240563146E-2</v>
      </c>
      <c r="D138" s="203">
        <f>IF(D149=0,0,D146/D149)</f>
        <v>3.3763991474209332E-2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3.04468917175349E-2</v>
      </c>
      <c r="D139" s="203">
        <f>IF(D149=0,0,D147/D149)</f>
        <v>2.9516027124660081E-2</v>
      </c>
      <c r="E139" s="203">
        <f>IF(E149=0,0,E147/E149)</f>
        <v>2.6947417033084356E-2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2.5190834729799968E-3</v>
      </c>
      <c r="D140" s="203">
        <f>IF(D149=0,0,D148/D149)</f>
        <v>3.5325819304785123E-3</v>
      </c>
      <c r="E140" s="203">
        <f>IF(E149=0,0,E148/E149)</f>
        <v>4.2707996636758049E-3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166375340</v>
      </c>
      <c r="D143" s="205">
        <f>+D46-D147</f>
        <v>163458240</v>
      </c>
      <c r="E143" s="205">
        <f>+E46-E147</f>
        <v>164181688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179561373</v>
      </c>
      <c r="D144" s="205">
        <f>+D51</f>
        <v>179677507</v>
      </c>
      <c r="E144" s="205">
        <f>+E51</f>
        <v>172166754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39447676</v>
      </c>
      <c r="D145" s="205">
        <f>+D55</f>
        <v>48052093</v>
      </c>
      <c r="E145" s="205">
        <f>+E55</f>
        <v>71819535</v>
      </c>
    </row>
    <row r="146" spans="1:7" ht="20.100000000000001" customHeight="1" x14ac:dyDescent="0.2">
      <c r="A146" s="202">
        <v>11</v>
      </c>
      <c r="B146" s="201" t="s">
        <v>390</v>
      </c>
      <c r="C146" s="204">
        <v>11304085</v>
      </c>
      <c r="D146" s="205">
        <v>14153709</v>
      </c>
      <c r="E146" s="205">
        <v>0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12489665</v>
      </c>
      <c r="D147" s="205">
        <f>+D47</f>
        <v>12372982</v>
      </c>
      <c r="E147" s="205">
        <f>+E47</f>
        <v>11353509</v>
      </c>
    </row>
    <row r="148" spans="1:7" ht="20.100000000000001" customHeight="1" x14ac:dyDescent="0.2">
      <c r="A148" s="202">
        <v>13</v>
      </c>
      <c r="B148" s="201" t="s">
        <v>392</v>
      </c>
      <c r="C148" s="206">
        <v>1033357</v>
      </c>
      <c r="D148" s="205">
        <v>1480842</v>
      </c>
      <c r="E148" s="205">
        <v>1799377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410211496</v>
      </c>
      <c r="D149" s="205">
        <f>SUM(D143:D148)</f>
        <v>419195373</v>
      </c>
      <c r="E149" s="205">
        <f>SUM(E143:E148)</f>
        <v>421320863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0.49502314683963439</v>
      </c>
      <c r="D152" s="203">
        <f>IF(D166=0,0,D160/D166)</f>
        <v>0.48606941596320485</v>
      </c>
      <c r="E152" s="203">
        <f>IF(E166=0,0,E160/E166)</f>
        <v>0.53005643924593249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0.38205822448456073</v>
      </c>
      <c r="D153" s="203">
        <f>IF(D166=0,0,D161/D166)</f>
        <v>0.38736531470748131</v>
      </c>
      <c r="E153" s="203">
        <f>IF(E166=0,0,E161/E166)</f>
        <v>0.34403369070899914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7.5316529491923773E-2</v>
      </c>
      <c r="D154" s="203">
        <f>IF(D166=0,0,D162/D166)</f>
        <v>8.0770445384750714E-2</v>
      </c>
      <c r="E154" s="203">
        <f>IF(E166=0,0,E162/E166)</f>
        <v>0.11586784460432317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2.1142560688384254E-2</v>
      </c>
      <c r="D155" s="203">
        <f>IF(D166=0,0,D163/D166)</f>
        <v>1.9210105570927533E-2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2.177572869462099E-2</v>
      </c>
      <c r="D156" s="203">
        <f>IF(D166=0,0,D164/D166)</f>
        <v>2.1541052834385215E-2</v>
      </c>
      <c r="E156" s="203">
        <f>IF(E166=0,0,E164/E166)</f>
        <v>2.1921136126804457E-3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4.6838098008758367E-3</v>
      </c>
      <c r="D157" s="203">
        <f>IF(D166=0,0,D165/D166)</f>
        <v>5.043665539250391E-3</v>
      </c>
      <c r="E157" s="203">
        <f>IF(E166=0,0,E165/E166)</f>
        <v>7.8499118280647637E-3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78551759</v>
      </c>
      <c r="D160" s="208">
        <f>+D44-D164</f>
        <v>77260094</v>
      </c>
      <c r="E160" s="208">
        <f>+E44-E164</f>
        <v>84741041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60626146</v>
      </c>
      <c r="D161" s="208">
        <f>+D50</f>
        <v>61571207</v>
      </c>
      <c r="E161" s="208">
        <f>+E50</f>
        <v>55001262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11951453</v>
      </c>
      <c r="D162" s="208">
        <f>+D54</f>
        <v>12838356</v>
      </c>
      <c r="E162" s="208">
        <f>+E54</f>
        <v>18523993</v>
      </c>
    </row>
    <row r="163" spans="1:6" ht="20.100000000000001" customHeight="1" x14ac:dyDescent="0.2">
      <c r="A163" s="202">
        <v>11</v>
      </c>
      <c r="B163" s="201" t="s">
        <v>406</v>
      </c>
      <c r="C163" s="207">
        <v>3354965</v>
      </c>
      <c r="D163" s="208">
        <v>3053421</v>
      </c>
      <c r="E163" s="208">
        <v>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3455438</v>
      </c>
      <c r="D164" s="208">
        <f>+D45</f>
        <v>3423922</v>
      </c>
      <c r="E164" s="208">
        <f>+E45</f>
        <v>350457</v>
      </c>
    </row>
    <row r="165" spans="1:6" ht="20.100000000000001" customHeight="1" x14ac:dyDescent="0.2">
      <c r="A165" s="202">
        <v>13</v>
      </c>
      <c r="B165" s="201" t="s">
        <v>408</v>
      </c>
      <c r="C165" s="209">
        <v>743241</v>
      </c>
      <c r="D165" s="208">
        <v>801684</v>
      </c>
      <c r="E165" s="208">
        <v>1254979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158683002</v>
      </c>
      <c r="D166" s="208">
        <f>SUM(D160:D165)</f>
        <v>158948684</v>
      </c>
      <c r="E166" s="208">
        <f>SUM(E160:E165)</f>
        <v>159871732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3712</v>
      </c>
      <c r="D169" s="198">
        <v>3650</v>
      </c>
      <c r="E169" s="198">
        <v>3754</v>
      </c>
    </row>
    <row r="170" spans="1:6" ht="20.100000000000001" customHeight="1" x14ac:dyDescent="0.2">
      <c r="A170" s="202">
        <v>2</v>
      </c>
      <c r="B170" s="201" t="s">
        <v>412</v>
      </c>
      <c r="C170" s="198">
        <v>3770</v>
      </c>
      <c r="D170" s="198">
        <v>3774</v>
      </c>
      <c r="E170" s="198">
        <v>3626</v>
      </c>
    </row>
    <row r="171" spans="1:6" ht="20.100000000000001" customHeight="1" x14ac:dyDescent="0.2">
      <c r="A171" s="202">
        <v>3</v>
      </c>
      <c r="B171" s="201" t="s">
        <v>413</v>
      </c>
      <c r="C171" s="198">
        <v>1488</v>
      </c>
      <c r="D171" s="198">
        <v>1651</v>
      </c>
      <c r="E171" s="198">
        <v>1854</v>
      </c>
    </row>
    <row r="172" spans="1:6" ht="20.100000000000001" customHeight="1" x14ac:dyDescent="0.2">
      <c r="A172" s="202">
        <v>4</v>
      </c>
      <c r="B172" s="201" t="s">
        <v>414</v>
      </c>
      <c r="C172" s="198">
        <v>1166</v>
      </c>
      <c r="D172" s="198">
        <v>1295</v>
      </c>
      <c r="E172" s="198">
        <v>1854</v>
      </c>
    </row>
    <row r="173" spans="1:6" ht="20.100000000000001" customHeight="1" x14ac:dyDescent="0.2">
      <c r="A173" s="202">
        <v>5</v>
      </c>
      <c r="B173" s="201" t="s">
        <v>415</v>
      </c>
      <c r="C173" s="198">
        <v>322</v>
      </c>
      <c r="D173" s="198">
        <v>356</v>
      </c>
      <c r="E173" s="198">
        <v>0</v>
      </c>
    </row>
    <row r="174" spans="1:6" ht="20.100000000000001" customHeight="1" x14ac:dyDescent="0.2">
      <c r="A174" s="202">
        <v>6</v>
      </c>
      <c r="B174" s="201" t="s">
        <v>416</v>
      </c>
      <c r="C174" s="198">
        <v>19</v>
      </c>
      <c r="D174" s="198">
        <v>34</v>
      </c>
      <c r="E174" s="198">
        <v>47</v>
      </c>
    </row>
    <row r="175" spans="1:6" ht="20.100000000000001" customHeight="1" x14ac:dyDescent="0.2">
      <c r="A175" s="202">
        <v>7</v>
      </c>
      <c r="B175" s="201" t="s">
        <v>417</v>
      </c>
      <c r="C175" s="198">
        <v>182</v>
      </c>
      <c r="D175" s="198">
        <v>185</v>
      </c>
      <c r="E175" s="198">
        <v>216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8989</v>
      </c>
      <c r="D176" s="198">
        <f>+D169+D170+D171+D174</f>
        <v>9109</v>
      </c>
      <c r="E176" s="198">
        <f>+E169+E170+E171+E174</f>
        <v>9281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1.0326500000000001</v>
      </c>
      <c r="D179" s="210">
        <v>1.01037</v>
      </c>
      <c r="E179" s="210">
        <v>0.98160000000000003</v>
      </c>
    </row>
    <row r="180" spans="1:6" ht="20.100000000000001" customHeight="1" x14ac:dyDescent="0.2">
      <c r="A180" s="202">
        <v>2</v>
      </c>
      <c r="B180" s="201" t="s">
        <v>412</v>
      </c>
      <c r="C180" s="210">
        <v>1.5306900000000001</v>
      </c>
      <c r="D180" s="210">
        <v>1.4590099999999999</v>
      </c>
      <c r="E180" s="210">
        <v>1.3673</v>
      </c>
    </row>
    <row r="181" spans="1:6" ht="20.100000000000001" customHeight="1" x14ac:dyDescent="0.2">
      <c r="A181" s="202">
        <v>3</v>
      </c>
      <c r="B181" s="201" t="s">
        <v>413</v>
      </c>
      <c r="C181" s="210">
        <v>0.97010600000000002</v>
      </c>
      <c r="D181" s="210">
        <v>0.93160600000000005</v>
      </c>
      <c r="E181" s="210">
        <v>0.92749999999999999</v>
      </c>
    </row>
    <row r="182" spans="1:6" ht="20.100000000000001" customHeight="1" x14ac:dyDescent="0.2">
      <c r="A182" s="202">
        <v>4</v>
      </c>
      <c r="B182" s="201" t="s">
        <v>414</v>
      </c>
      <c r="C182" s="210">
        <v>0.94313000000000002</v>
      </c>
      <c r="D182" s="210">
        <v>0.91630999999999996</v>
      </c>
      <c r="E182" s="210">
        <v>0.92749999999999999</v>
      </c>
    </row>
    <row r="183" spans="1:6" ht="20.100000000000001" customHeight="1" x14ac:dyDescent="0.2">
      <c r="A183" s="202">
        <v>5</v>
      </c>
      <c r="B183" s="201" t="s">
        <v>415</v>
      </c>
      <c r="C183" s="210">
        <v>1.06779</v>
      </c>
      <c r="D183" s="210">
        <v>0.98724999999999996</v>
      </c>
      <c r="E183" s="210">
        <v>0</v>
      </c>
    </row>
    <row r="184" spans="1:6" ht="20.100000000000001" customHeight="1" x14ac:dyDescent="0.2">
      <c r="A184" s="202">
        <v>6</v>
      </c>
      <c r="B184" s="201" t="s">
        <v>416</v>
      </c>
      <c r="C184" s="210">
        <v>1.31369</v>
      </c>
      <c r="D184" s="210">
        <v>0.89983000000000002</v>
      </c>
      <c r="E184" s="210">
        <v>0.84570000000000001</v>
      </c>
    </row>
    <row r="185" spans="1:6" ht="20.100000000000001" customHeight="1" x14ac:dyDescent="0.2">
      <c r="A185" s="202">
        <v>7</v>
      </c>
      <c r="B185" s="201" t="s">
        <v>417</v>
      </c>
      <c r="C185" s="210">
        <v>0.98663000000000001</v>
      </c>
      <c r="D185" s="210">
        <v>1.0976300000000001</v>
      </c>
      <c r="E185" s="210">
        <v>1.0310999999999999</v>
      </c>
    </row>
    <row r="186" spans="1:6" ht="20.100000000000001" customHeight="1" x14ac:dyDescent="0.2">
      <c r="A186" s="202">
        <v>8</v>
      </c>
      <c r="B186" s="201" t="s">
        <v>421</v>
      </c>
      <c r="C186" s="210">
        <v>1.2317689999999999</v>
      </c>
      <c r="D186" s="210">
        <v>1.1815599999999999</v>
      </c>
      <c r="E186" s="210">
        <v>1.1207929999999999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5142</v>
      </c>
      <c r="D189" s="198">
        <v>5340</v>
      </c>
      <c r="E189" s="198">
        <v>5332</v>
      </c>
    </row>
    <row r="190" spans="1:6" ht="20.100000000000001" customHeight="1" x14ac:dyDescent="0.2">
      <c r="A190" s="202">
        <v>2</v>
      </c>
      <c r="B190" s="201" t="s">
        <v>425</v>
      </c>
      <c r="C190" s="198">
        <v>40513</v>
      </c>
      <c r="D190" s="198">
        <v>40946</v>
      </c>
      <c r="E190" s="198">
        <v>42502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45655</v>
      </c>
      <c r="D191" s="198">
        <f>+D190+D189</f>
        <v>46286</v>
      </c>
      <c r="E191" s="198">
        <f>+E190+E189</f>
        <v>47834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FILING&amp;RMANCHESTER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427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7"/>
      <c r="D9" s="678"/>
      <c r="E9" s="678"/>
      <c r="F9" s="679"/>
      <c r="G9" s="212"/>
    </row>
    <row r="10" spans="1:7" ht="20.25" customHeight="1" x14ac:dyDescent="0.3">
      <c r="A10" s="680" t="s">
        <v>12</v>
      </c>
      <c r="B10" s="682" t="s">
        <v>113</v>
      </c>
      <c r="C10" s="684"/>
      <c r="D10" s="685"/>
      <c r="E10" s="685"/>
      <c r="F10" s="686"/>
    </row>
    <row r="11" spans="1:7" ht="20.25" customHeight="1" x14ac:dyDescent="0.3">
      <c r="A11" s="681"/>
      <c r="B11" s="683"/>
      <c r="C11" s="687"/>
      <c r="D11" s="688"/>
      <c r="E11" s="688"/>
      <c r="F11" s="689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193076</v>
      </c>
      <c r="D14" s="237">
        <v>260985</v>
      </c>
      <c r="E14" s="237">
        <f t="shared" ref="E14:E24" si="0">D14-C14</f>
        <v>67909</v>
      </c>
      <c r="F14" s="238">
        <f t="shared" ref="F14:F24" si="1">IF(C14=0,0,E14/C14)</f>
        <v>0.35172160185626383</v>
      </c>
    </row>
    <row r="15" spans="1:7" ht="20.25" customHeight="1" x14ac:dyDescent="0.3">
      <c r="A15" s="235">
        <v>2</v>
      </c>
      <c r="B15" s="236" t="s">
        <v>433</v>
      </c>
      <c r="C15" s="237">
        <v>100496</v>
      </c>
      <c r="D15" s="237">
        <v>114065</v>
      </c>
      <c r="E15" s="237">
        <f t="shared" si="0"/>
        <v>13569</v>
      </c>
      <c r="F15" s="238">
        <f t="shared" si="1"/>
        <v>0.13502029931539564</v>
      </c>
    </row>
    <row r="16" spans="1:7" ht="20.25" customHeight="1" x14ac:dyDescent="0.3">
      <c r="A16" s="235">
        <v>3</v>
      </c>
      <c r="B16" s="236" t="s">
        <v>434</v>
      </c>
      <c r="C16" s="237">
        <v>259409</v>
      </c>
      <c r="D16" s="237">
        <v>632208</v>
      </c>
      <c r="E16" s="237">
        <f t="shared" si="0"/>
        <v>372799</v>
      </c>
      <c r="F16" s="238">
        <f t="shared" si="1"/>
        <v>1.4371089669209627</v>
      </c>
    </row>
    <row r="17" spans="1:6" ht="20.25" customHeight="1" x14ac:dyDescent="0.3">
      <c r="A17" s="235">
        <v>4</v>
      </c>
      <c r="B17" s="236" t="s">
        <v>435</v>
      </c>
      <c r="C17" s="237">
        <v>81485</v>
      </c>
      <c r="D17" s="237">
        <v>143451</v>
      </c>
      <c r="E17" s="237">
        <f t="shared" si="0"/>
        <v>61966</v>
      </c>
      <c r="F17" s="238">
        <f t="shared" si="1"/>
        <v>0.76045898018040126</v>
      </c>
    </row>
    <row r="18" spans="1:6" ht="20.25" customHeight="1" x14ac:dyDescent="0.3">
      <c r="A18" s="235">
        <v>5</v>
      </c>
      <c r="B18" s="236" t="s">
        <v>371</v>
      </c>
      <c r="C18" s="239">
        <v>10</v>
      </c>
      <c r="D18" s="239">
        <v>17</v>
      </c>
      <c r="E18" s="239">
        <f t="shared" si="0"/>
        <v>7</v>
      </c>
      <c r="F18" s="238">
        <f t="shared" si="1"/>
        <v>0.7</v>
      </c>
    </row>
    <row r="19" spans="1:6" ht="20.25" customHeight="1" x14ac:dyDescent="0.3">
      <c r="A19" s="235">
        <v>6</v>
      </c>
      <c r="B19" s="236" t="s">
        <v>370</v>
      </c>
      <c r="C19" s="239">
        <v>38</v>
      </c>
      <c r="D19" s="239">
        <v>63</v>
      </c>
      <c r="E19" s="239">
        <f t="shared" si="0"/>
        <v>25</v>
      </c>
      <c r="F19" s="238">
        <f t="shared" si="1"/>
        <v>0.65789473684210531</v>
      </c>
    </row>
    <row r="20" spans="1:6" ht="20.25" customHeight="1" x14ac:dyDescent="0.3">
      <c r="A20" s="235">
        <v>7</v>
      </c>
      <c r="B20" s="236" t="s">
        <v>436</v>
      </c>
      <c r="C20" s="239">
        <v>290</v>
      </c>
      <c r="D20" s="239">
        <v>476</v>
      </c>
      <c r="E20" s="239">
        <f t="shared" si="0"/>
        <v>186</v>
      </c>
      <c r="F20" s="238">
        <f t="shared" si="1"/>
        <v>0.64137931034482754</v>
      </c>
    </row>
    <row r="21" spans="1:6" ht="20.25" customHeight="1" x14ac:dyDescent="0.3">
      <c r="A21" s="235">
        <v>8</v>
      </c>
      <c r="B21" s="236" t="s">
        <v>437</v>
      </c>
      <c r="C21" s="239">
        <v>18</v>
      </c>
      <c r="D21" s="239">
        <v>39</v>
      </c>
      <c r="E21" s="239">
        <f t="shared" si="0"/>
        <v>21</v>
      </c>
      <c r="F21" s="238">
        <f t="shared" si="1"/>
        <v>1.1666666666666667</v>
      </c>
    </row>
    <row r="22" spans="1:6" ht="20.25" customHeight="1" x14ac:dyDescent="0.3">
      <c r="A22" s="235">
        <v>9</v>
      </c>
      <c r="B22" s="236" t="s">
        <v>438</v>
      </c>
      <c r="C22" s="239">
        <v>7</v>
      </c>
      <c r="D22" s="239">
        <v>24</v>
      </c>
      <c r="E22" s="239">
        <f t="shared" si="0"/>
        <v>17</v>
      </c>
      <c r="F22" s="238">
        <f t="shared" si="1"/>
        <v>2.4285714285714284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452485</v>
      </c>
      <c r="D23" s="243">
        <f>+D14+D16</f>
        <v>893193</v>
      </c>
      <c r="E23" s="243">
        <f t="shared" si="0"/>
        <v>440708</v>
      </c>
      <c r="F23" s="244">
        <f t="shared" si="1"/>
        <v>0.97397261787683564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181981</v>
      </c>
      <c r="D24" s="243">
        <f>+D15+D17</f>
        <v>257516</v>
      </c>
      <c r="E24" s="243">
        <f t="shared" si="0"/>
        <v>75535</v>
      </c>
      <c r="F24" s="244">
        <f t="shared" si="1"/>
        <v>0.41507080409493297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30384</v>
      </c>
      <c r="D27" s="237">
        <v>43031</v>
      </c>
      <c r="E27" s="237">
        <f t="shared" ref="E27:E37" si="2">D27-C27</f>
        <v>12647</v>
      </c>
      <c r="F27" s="238">
        <f t="shared" ref="F27:F37" si="3">IF(C27=0,0,E27/C27)</f>
        <v>0.41623880989994733</v>
      </c>
    </row>
    <row r="28" spans="1:6" ht="20.25" customHeight="1" x14ac:dyDescent="0.3">
      <c r="A28" s="235">
        <v>2</v>
      </c>
      <c r="B28" s="236" t="s">
        <v>433</v>
      </c>
      <c r="C28" s="237">
        <v>21199</v>
      </c>
      <c r="D28" s="237">
        <v>21277</v>
      </c>
      <c r="E28" s="237">
        <f t="shared" si="2"/>
        <v>78</v>
      </c>
      <c r="F28" s="238">
        <f t="shared" si="3"/>
        <v>3.6794188405113448E-3</v>
      </c>
    </row>
    <row r="29" spans="1:6" ht="20.25" customHeight="1" x14ac:dyDescent="0.3">
      <c r="A29" s="235">
        <v>3</v>
      </c>
      <c r="B29" s="236" t="s">
        <v>434</v>
      </c>
      <c r="C29" s="237">
        <v>118633</v>
      </c>
      <c r="D29" s="237">
        <v>52331</v>
      </c>
      <c r="E29" s="237">
        <f t="shared" si="2"/>
        <v>-66302</v>
      </c>
      <c r="F29" s="238">
        <f t="shared" si="3"/>
        <v>-0.55888327868299714</v>
      </c>
    </row>
    <row r="30" spans="1:6" ht="20.25" customHeight="1" x14ac:dyDescent="0.3">
      <c r="A30" s="235">
        <v>4</v>
      </c>
      <c r="B30" s="236" t="s">
        <v>435</v>
      </c>
      <c r="C30" s="237">
        <v>42441</v>
      </c>
      <c r="D30" s="237">
        <v>15024</v>
      </c>
      <c r="E30" s="237">
        <f t="shared" si="2"/>
        <v>-27417</v>
      </c>
      <c r="F30" s="238">
        <f t="shared" si="3"/>
        <v>-0.64600268608185485</v>
      </c>
    </row>
    <row r="31" spans="1:6" ht="20.25" customHeight="1" x14ac:dyDescent="0.3">
      <c r="A31" s="235">
        <v>5</v>
      </c>
      <c r="B31" s="236" t="s">
        <v>371</v>
      </c>
      <c r="C31" s="239">
        <v>2</v>
      </c>
      <c r="D31" s="239">
        <v>2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370</v>
      </c>
      <c r="C32" s="239">
        <v>15</v>
      </c>
      <c r="D32" s="239">
        <v>13</v>
      </c>
      <c r="E32" s="239">
        <f t="shared" si="2"/>
        <v>-2</v>
      </c>
      <c r="F32" s="238">
        <f t="shared" si="3"/>
        <v>-0.13333333333333333</v>
      </c>
    </row>
    <row r="33" spans="1:6" ht="20.25" customHeight="1" x14ac:dyDescent="0.3">
      <c r="A33" s="235">
        <v>7</v>
      </c>
      <c r="B33" s="236" t="s">
        <v>436</v>
      </c>
      <c r="C33" s="239">
        <v>144</v>
      </c>
      <c r="D33" s="239">
        <v>42</v>
      </c>
      <c r="E33" s="239">
        <f t="shared" si="2"/>
        <v>-102</v>
      </c>
      <c r="F33" s="238">
        <f t="shared" si="3"/>
        <v>-0.70833333333333337</v>
      </c>
    </row>
    <row r="34" spans="1:6" ht="20.25" customHeight="1" x14ac:dyDescent="0.3">
      <c r="A34" s="235">
        <v>8</v>
      </c>
      <c r="B34" s="236" t="s">
        <v>437</v>
      </c>
      <c r="C34" s="239">
        <v>7</v>
      </c>
      <c r="D34" s="239">
        <v>1</v>
      </c>
      <c r="E34" s="239">
        <f t="shared" si="2"/>
        <v>-6</v>
      </c>
      <c r="F34" s="238">
        <f t="shared" si="3"/>
        <v>-0.8571428571428571</v>
      </c>
    </row>
    <row r="35" spans="1:6" ht="20.25" customHeight="1" x14ac:dyDescent="0.3">
      <c r="A35" s="235">
        <v>9</v>
      </c>
      <c r="B35" s="236" t="s">
        <v>438</v>
      </c>
      <c r="C35" s="239">
        <v>1</v>
      </c>
      <c r="D35" s="239">
        <v>1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149017</v>
      </c>
      <c r="D36" s="243">
        <f>+D27+D29</f>
        <v>95362</v>
      </c>
      <c r="E36" s="243">
        <f t="shared" si="2"/>
        <v>-53655</v>
      </c>
      <c r="F36" s="244">
        <f t="shared" si="3"/>
        <v>-0.36005959051651826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63640</v>
      </c>
      <c r="D37" s="243">
        <f>+D28+D30</f>
        <v>36301</v>
      </c>
      <c r="E37" s="243">
        <f t="shared" si="2"/>
        <v>-27339</v>
      </c>
      <c r="F37" s="244">
        <f t="shared" si="3"/>
        <v>-0.42958830923947205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2552303</v>
      </c>
      <c r="D40" s="237">
        <v>5718172</v>
      </c>
      <c r="E40" s="237">
        <f t="shared" ref="E40:E50" si="4">D40-C40</f>
        <v>3165869</v>
      </c>
      <c r="F40" s="238">
        <f t="shared" ref="F40:F50" si="5">IF(C40=0,0,E40/C40)</f>
        <v>1.2403970061548335</v>
      </c>
    </row>
    <row r="41" spans="1:6" ht="20.25" customHeight="1" x14ac:dyDescent="0.3">
      <c r="A41" s="235">
        <v>2</v>
      </c>
      <c r="B41" s="236" t="s">
        <v>433</v>
      </c>
      <c r="C41" s="237">
        <v>972715</v>
      </c>
      <c r="D41" s="237">
        <v>2328626</v>
      </c>
      <c r="E41" s="237">
        <f t="shared" si="4"/>
        <v>1355911</v>
      </c>
      <c r="F41" s="238">
        <f t="shared" si="5"/>
        <v>1.3939447834154917</v>
      </c>
    </row>
    <row r="42" spans="1:6" ht="20.25" customHeight="1" x14ac:dyDescent="0.3">
      <c r="A42" s="235">
        <v>3</v>
      </c>
      <c r="B42" s="236" t="s">
        <v>434</v>
      </c>
      <c r="C42" s="237">
        <v>3967192</v>
      </c>
      <c r="D42" s="237">
        <v>8498899</v>
      </c>
      <c r="E42" s="237">
        <f t="shared" si="4"/>
        <v>4531707</v>
      </c>
      <c r="F42" s="238">
        <f t="shared" si="5"/>
        <v>1.1422958606490434</v>
      </c>
    </row>
    <row r="43" spans="1:6" ht="20.25" customHeight="1" x14ac:dyDescent="0.3">
      <c r="A43" s="235">
        <v>4</v>
      </c>
      <c r="B43" s="236" t="s">
        <v>435</v>
      </c>
      <c r="C43" s="237">
        <v>1436194</v>
      </c>
      <c r="D43" s="237">
        <v>2344339</v>
      </c>
      <c r="E43" s="237">
        <f t="shared" si="4"/>
        <v>908145</v>
      </c>
      <c r="F43" s="238">
        <f t="shared" si="5"/>
        <v>0.63232752678259341</v>
      </c>
    </row>
    <row r="44" spans="1:6" ht="20.25" customHeight="1" x14ac:dyDescent="0.3">
      <c r="A44" s="235">
        <v>5</v>
      </c>
      <c r="B44" s="236" t="s">
        <v>371</v>
      </c>
      <c r="C44" s="239">
        <v>98</v>
      </c>
      <c r="D44" s="239">
        <v>229</v>
      </c>
      <c r="E44" s="239">
        <f t="shared" si="4"/>
        <v>131</v>
      </c>
      <c r="F44" s="238">
        <f t="shared" si="5"/>
        <v>1.3367346938775511</v>
      </c>
    </row>
    <row r="45" spans="1:6" ht="20.25" customHeight="1" x14ac:dyDescent="0.3">
      <c r="A45" s="235">
        <v>6</v>
      </c>
      <c r="B45" s="236" t="s">
        <v>370</v>
      </c>
      <c r="C45" s="239">
        <v>549</v>
      </c>
      <c r="D45" s="239">
        <v>1235</v>
      </c>
      <c r="E45" s="239">
        <f t="shared" si="4"/>
        <v>686</v>
      </c>
      <c r="F45" s="238">
        <f t="shared" si="5"/>
        <v>1.2495446265938068</v>
      </c>
    </row>
    <row r="46" spans="1:6" ht="20.25" customHeight="1" x14ac:dyDescent="0.3">
      <c r="A46" s="235">
        <v>7</v>
      </c>
      <c r="B46" s="236" t="s">
        <v>436</v>
      </c>
      <c r="C46" s="239">
        <v>3813</v>
      </c>
      <c r="D46" s="239">
        <v>8532</v>
      </c>
      <c r="E46" s="239">
        <f t="shared" si="4"/>
        <v>4719</v>
      </c>
      <c r="F46" s="238">
        <f t="shared" si="5"/>
        <v>1.2376081825334382</v>
      </c>
    </row>
    <row r="47" spans="1:6" ht="20.25" customHeight="1" x14ac:dyDescent="0.3">
      <c r="A47" s="235">
        <v>8</v>
      </c>
      <c r="B47" s="236" t="s">
        <v>437</v>
      </c>
      <c r="C47" s="239">
        <v>199</v>
      </c>
      <c r="D47" s="239">
        <v>520</v>
      </c>
      <c r="E47" s="239">
        <f t="shared" si="4"/>
        <v>321</v>
      </c>
      <c r="F47" s="238">
        <f t="shared" si="5"/>
        <v>1.6130653266331658</v>
      </c>
    </row>
    <row r="48" spans="1:6" ht="20.25" customHeight="1" x14ac:dyDescent="0.3">
      <c r="A48" s="235">
        <v>9</v>
      </c>
      <c r="B48" s="236" t="s">
        <v>438</v>
      </c>
      <c r="C48" s="239">
        <v>64</v>
      </c>
      <c r="D48" s="239">
        <v>275</v>
      </c>
      <c r="E48" s="239">
        <f t="shared" si="4"/>
        <v>211</v>
      </c>
      <c r="F48" s="238">
        <f t="shared" si="5"/>
        <v>3.296875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6519495</v>
      </c>
      <c r="D49" s="243">
        <f>+D40+D42</f>
        <v>14217071</v>
      </c>
      <c r="E49" s="243">
        <f t="shared" si="4"/>
        <v>7697576</v>
      </c>
      <c r="F49" s="244">
        <f t="shared" si="5"/>
        <v>1.1807012659722878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2408909</v>
      </c>
      <c r="D50" s="243">
        <f>+D41+D43</f>
        <v>4672965</v>
      </c>
      <c r="E50" s="243">
        <f t="shared" si="4"/>
        <v>2264056</v>
      </c>
      <c r="F50" s="244">
        <f t="shared" si="5"/>
        <v>0.93986779907418672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7624700</v>
      </c>
      <c r="D53" s="237">
        <v>2000376</v>
      </c>
      <c r="E53" s="237">
        <f t="shared" ref="E53:E63" si="6">D53-C53</f>
        <v>-5624324</v>
      </c>
      <c r="F53" s="238">
        <f t="shared" ref="F53:F63" si="7">IF(C53=0,0,E53/C53)</f>
        <v>-0.73764528440463228</v>
      </c>
    </row>
    <row r="54" spans="1:6" ht="20.25" customHeight="1" x14ac:dyDescent="0.3">
      <c r="A54" s="235">
        <v>2</v>
      </c>
      <c r="B54" s="236" t="s">
        <v>433</v>
      </c>
      <c r="C54" s="237">
        <v>3691831</v>
      </c>
      <c r="D54" s="237">
        <v>417050</v>
      </c>
      <c r="E54" s="237">
        <f t="shared" si="6"/>
        <v>-3274781</v>
      </c>
      <c r="F54" s="238">
        <f t="shared" si="7"/>
        <v>-0.8870343740003267</v>
      </c>
    </row>
    <row r="55" spans="1:6" ht="20.25" customHeight="1" x14ac:dyDescent="0.3">
      <c r="A55" s="235">
        <v>3</v>
      </c>
      <c r="B55" s="236" t="s">
        <v>434</v>
      </c>
      <c r="C55" s="237">
        <v>8063420</v>
      </c>
      <c r="D55" s="237">
        <v>2058689</v>
      </c>
      <c r="E55" s="237">
        <f t="shared" si="6"/>
        <v>-6004731</v>
      </c>
      <c r="F55" s="238">
        <f t="shared" si="7"/>
        <v>-0.74468786197419956</v>
      </c>
    </row>
    <row r="56" spans="1:6" ht="20.25" customHeight="1" x14ac:dyDescent="0.3">
      <c r="A56" s="235">
        <v>4</v>
      </c>
      <c r="B56" s="236" t="s">
        <v>435</v>
      </c>
      <c r="C56" s="237">
        <v>2564730</v>
      </c>
      <c r="D56" s="237">
        <v>356407</v>
      </c>
      <c r="E56" s="237">
        <f t="shared" si="6"/>
        <v>-2208323</v>
      </c>
      <c r="F56" s="238">
        <f t="shared" si="7"/>
        <v>-0.86103527466828866</v>
      </c>
    </row>
    <row r="57" spans="1:6" ht="20.25" customHeight="1" x14ac:dyDescent="0.3">
      <c r="A57" s="235">
        <v>5</v>
      </c>
      <c r="B57" s="236" t="s">
        <v>371</v>
      </c>
      <c r="C57" s="239">
        <v>301</v>
      </c>
      <c r="D57" s="239">
        <v>79</v>
      </c>
      <c r="E57" s="239">
        <f t="shared" si="6"/>
        <v>-222</v>
      </c>
      <c r="F57" s="238">
        <f t="shared" si="7"/>
        <v>-0.7375415282392026</v>
      </c>
    </row>
    <row r="58" spans="1:6" ht="20.25" customHeight="1" x14ac:dyDescent="0.3">
      <c r="A58" s="235">
        <v>6</v>
      </c>
      <c r="B58" s="236" t="s">
        <v>370</v>
      </c>
      <c r="C58" s="239">
        <v>1681</v>
      </c>
      <c r="D58" s="239">
        <v>482</v>
      </c>
      <c r="E58" s="239">
        <f t="shared" si="6"/>
        <v>-1199</v>
      </c>
      <c r="F58" s="238">
        <f t="shared" si="7"/>
        <v>-0.71326591314693633</v>
      </c>
    </row>
    <row r="59" spans="1:6" ht="20.25" customHeight="1" x14ac:dyDescent="0.3">
      <c r="A59" s="235">
        <v>7</v>
      </c>
      <c r="B59" s="236" t="s">
        <v>436</v>
      </c>
      <c r="C59" s="239">
        <v>7668</v>
      </c>
      <c r="D59" s="239">
        <v>2196</v>
      </c>
      <c r="E59" s="239">
        <f t="shared" si="6"/>
        <v>-5472</v>
      </c>
      <c r="F59" s="238">
        <f t="shared" si="7"/>
        <v>-0.71361502347417838</v>
      </c>
    </row>
    <row r="60" spans="1:6" ht="20.25" customHeight="1" x14ac:dyDescent="0.3">
      <c r="A60" s="235">
        <v>8</v>
      </c>
      <c r="B60" s="236" t="s">
        <v>437</v>
      </c>
      <c r="C60" s="239">
        <v>551</v>
      </c>
      <c r="D60" s="239">
        <v>115</v>
      </c>
      <c r="E60" s="239">
        <f t="shared" si="6"/>
        <v>-436</v>
      </c>
      <c r="F60" s="238">
        <f t="shared" si="7"/>
        <v>-0.79128856624319421</v>
      </c>
    </row>
    <row r="61" spans="1:6" ht="20.25" customHeight="1" x14ac:dyDescent="0.3">
      <c r="A61" s="235">
        <v>9</v>
      </c>
      <c r="B61" s="236" t="s">
        <v>438</v>
      </c>
      <c r="C61" s="239">
        <v>216</v>
      </c>
      <c r="D61" s="239">
        <v>86</v>
      </c>
      <c r="E61" s="239">
        <f t="shared" si="6"/>
        <v>-130</v>
      </c>
      <c r="F61" s="238">
        <f t="shared" si="7"/>
        <v>-0.60185185185185186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15688120</v>
      </c>
      <c r="D62" s="243">
        <f>+D53+D55</f>
        <v>4059065</v>
      </c>
      <c r="E62" s="243">
        <f t="shared" si="6"/>
        <v>-11629055</v>
      </c>
      <c r="F62" s="244">
        <f t="shared" si="7"/>
        <v>-0.74126504641728896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6256561</v>
      </c>
      <c r="D63" s="243">
        <f>+D54+D56</f>
        <v>773457</v>
      </c>
      <c r="E63" s="243">
        <f t="shared" si="6"/>
        <v>-5483104</v>
      </c>
      <c r="F63" s="244">
        <f t="shared" si="7"/>
        <v>-0.87637665484281224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1754349</v>
      </c>
      <c r="D66" s="237">
        <v>772212</v>
      </c>
      <c r="E66" s="237">
        <f t="shared" ref="E66:E76" si="8">D66-C66</f>
        <v>-982137</v>
      </c>
      <c r="F66" s="238">
        <f t="shared" ref="F66:F76" si="9">IF(C66=0,0,E66/C66)</f>
        <v>-0.55982988561568992</v>
      </c>
    </row>
    <row r="67" spans="1:6" ht="20.25" customHeight="1" x14ac:dyDescent="0.3">
      <c r="A67" s="235">
        <v>2</v>
      </c>
      <c r="B67" s="236" t="s">
        <v>433</v>
      </c>
      <c r="C67" s="237">
        <v>851770</v>
      </c>
      <c r="D67" s="237">
        <v>772212</v>
      </c>
      <c r="E67" s="237">
        <f t="shared" si="8"/>
        <v>-79558</v>
      </c>
      <c r="F67" s="238">
        <f t="shared" si="9"/>
        <v>-9.3403148737335198E-2</v>
      </c>
    </row>
    <row r="68" spans="1:6" ht="20.25" customHeight="1" x14ac:dyDescent="0.3">
      <c r="A68" s="235">
        <v>3</v>
      </c>
      <c r="B68" s="236" t="s">
        <v>434</v>
      </c>
      <c r="C68" s="237">
        <v>1930313</v>
      </c>
      <c r="D68" s="237">
        <v>908865</v>
      </c>
      <c r="E68" s="237">
        <f t="shared" si="8"/>
        <v>-1021448</v>
      </c>
      <c r="F68" s="238">
        <f t="shared" si="9"/>
        <v>-0.52916185095370538</v>
      </c>
    </row>
    <row r="69" spans="1:6" ht="20.25" customHeight="1" x14ac:dyDescent="0.3">
      <c r="A69" s="235">
        <v>4</v>
      </c>
      <c r="B69" s="236" t="s">
        <v>435</v>
      </c>
      <c r="C69" s="237">
        <v>637125</v>
      </c>
      <c r="D69" s="237">
        <v>237329</v>
      </c>
      <c r="E69" s="237">
        <f t="shared" si="8"/>
        <v>-399796</v>
      </c>
      <c r="F69" s="238">
        <f t="shared" si="9"/>
        <v>-0.62750009809691976</v>
      </c>
    </row>
    <row r="70" spans="1:6" ht="20.25" customHeight="1" x14ac:dyDescent="0.3">
      <c r="A70" s="235">
        <v>5</v>
      </c>
      <c r="B70" s="236" t="s">
        <v>371</v>
      </c>
      <c r="C70" s="239">
        <v>73</v>
      </c>
      <c r="D70" s="239">
        <v>41</v>
      </c>
      <c r="E70" s="239">
        <f t="shared" si="8"/>
        <v>-32</v>
      </c>
      <c r="F70" s="238">
        <f t="shared" si="9"/>
        <v>-0.43835616438356162</v>
      </c>
    </row>
    <row r="71" spans="1:6" ht="20.25" customHeight="1" x14ac:dyDescent="0.3">
      <c r="A71" s="235">
        <v>6</v>
      </c>
      <c r="B71" s="236" t="s">
        <v>370</v>
      </c>
      <c r="C71" s="239">
        <v>393</v>
      </c>
      <c r="D71" s="239">
        <v>181</v>
      </c>
      <c r="E71" s="239">
        <f t="shared" si="8"/>
        <v>-212</v>
      </c>
      <c r="F71" s="238">
        <f t="shared" si="9"/>
        <v>-0.53944020356234101</v>
      </c>
    </row>
    <row r="72" spans="1:6" ht="20.25" customHeight="1" x14ac:dyDescent="0.3">
      <c r="A72" s="235">
        <v>7</v>
      </c>
      <c r="B72" s="236" t="s">
        <v>436</v>
      </c>
      <c r="C72" s="239">
        <v>1509</v>
      </c>
      <c r="D72" s="239">
        <v>972</v>
      </c>
      <c r="E72" s="239">
        <f t="shared" si="8"/>
        <v>-537</v>
      </c>
      <c r="F72" s="238">
        <f t="shared" si="9"/>
        <v>-0.35586481113320079</v>
      </c>
    </row>
    <row r="73" spans="1:6" ht="20.25" customHeight="1" x14ac:dyDescent="0.3">
      <c r="A73" s="235">
        <v>8</v>
      </c>
      <c r="B73" s="236" t="s">
        <v>437</v>
      </c>
      <c r="C73" s="239">
        <v>225</v>
      </c>
      <c r="D73" s="239">
        <v>127</v>
      </c>
      <c r="E73" s="239">
        <f t="shared" si="8"/>
        <v>-98</v>
      </c>
      <c r="F73" s="238">
        <f t="shared" si="9"/>
        <v>-0.43555555555555553</v>
      </c>
    </row>
    <row r="74" spans="1:6" ht="20.25" customHeight="1" x14ac:dyDescent="0.3">
      <c r="A74" s="235">
        <v>9</v>
      </c>
      <c r="B74" s="236" t="s">
        <v>438</v>
      </c>
      <c r="C74" s="239">
        <v>58</v>
      </c>
      <c r="D74" s="239">
        <v>39</v>
      </c>
      <c r="E74" s="239">
        <f t="shared" si="8"/>
        <v>-19</v>
      </c>
      <c r="F74" s="238">
        <f t="shared" si="9"/>
        <v>-0.32758620689655171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3684662</v>
      </c>
      <c r="D75" s="243">
        <f>+D66+D68</f>
        <v>1681077</v>
      </c>
      <c r="E75" s="243">
        <f t="shared" si="8"/>
        <v>-2003585</v>
      </c>
      <c r="F75" s="244">
        <f t="shared" si="9"/>
        <v>-0.54376357994301783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1488895</v>
      </c>
      <c r="D76" s="243">
        <f>+D67+D69</f>
        <v>1009541</v>
      </c>
      <c r="E76" s="243">
        <f t="shared" si="8"/>
        <v>-479354</v>
      </c>
      <c r="F76" s="244">
        <f t="shared" si="9"/>
        <v>-0.32195285765618126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435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0</v>
      </c>
      <c r="D92" s="237">
        <v>2560771</v>
      </c>
      <c r="E92" s="237">
        <f t="shared" ref="E92:E102" si="12">D92-C92</f>
        <v>2560771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433</v>
      </c>
      <c r="C93" s="237">
        <v>0</v>
      </c>
      <c r="D93" s="237">
        <v>1123492</v>
      </c>
      <c r="E93" s="237">
        <f t="shared" si="12"/>
        <v>1123492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434</v>
      </c>
      <c r="C94" s="237">
        <v>0</v>
      </c>
      <c r="D94" s="237">
        <v>3434883</v>
      </c>
      <c r="E94" s="237">
        <f t="shared" si="12"/>
        <v>3434883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435</v>
      </c>
      <c r="C95" s="237">
        <v>0</v>
      </c>
      <c r="D95" s="237">
        <v>845939</v>
      </c>
      <c r="E95" s="237">
        <f t="shared" si="12"/>
        <v>845939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371</v>
      </c>
      <c r="C96" s="239">
        <v>0</v>
      </c>
      <c r="D96" s="239">
        <v>115</v>
      </c>
      <c r="E96" s="239">
        <f t="shared" si="12"/>
        <v>115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370</v>
      </c>
      <c r="C97" s="239">
        <v>0</v>
      </c>
      <c r="D97" s="239">
        <v>649</v>
      </c>
      <c r="E97" s="239">
        <f t="shared" si="12"/>
        <v>649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436</v>
      </c>
      <c r="C98" s="239">
        <v>0</v>
      </c>
      <c r="D98" s="239">
        <v>2636</v>
      </c>
      <c r="E98" s="239">
        <f t="shared" si="12"/>
        <v>2636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437</v>
      </c>
      <c r="C99" s="239">
        <v>0</v>
      </c>
      <c r="D99" s="239">
        <v>364</v>
      </c>
      <c r="E99" s="239">
        <f t="shared" si="12"/>
        <v>364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438</v>
      </c>
      <c r="C100" s="239">
        <v>0</v>
      </c>
      <c r="D100" s="239">
        <v>130</v>
      </c>
      <c r="E100" s="239">
        <f t="shared" si="12"/>
        <v>130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0</v>
      </c>
      <c r="D101" s="243">
        <f>+D92+D94</f>
        <v>5995654</v>
      </c>
      <c r="E101" s="243">
        <f t="shared" si="12"/>
        <v>5995654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0</v>
      </c>
      <c r="D102" s="243">
        <f>+D93+D95</f>
        <v>1969431</v>
      </c>
      <c r="E102" s="243">
        <f t="shared" si="12"/>
        <v>1969431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779167</v>
      </c>
      <c r="D105" s="237">
        <v>766378</v>
      </c>
      <c r="E105" s="237">
        <f t="shared" ref="E105:E115" si="14">D105-C105</f>
        <v>-12789</v>
      </c>
      <c r="F105" s="238">
        <f t="shared" ref="F105:F115" si="15">IF(C105=0,0,E105/C105)</f>
        <v>-1.6413682817675801E-2</v>
      </c>
    </row>
    <row r="106" spans="1:6" ht="20.25" customHeight="1" x14ac:dyDescent="0.3">
      <c r="A106" s="235">
        <v>2</v>
      </c>
      <c r="B106" s="236" t="s">
        <v>433</v>
      </c>
      <c r="C106" s="237">
        <v>433771</v>
      </c>
      <c r="D106" s="237">
        <v>255980</v>
      </c>
      <c r="E106" s="237">
        <f t="shared" si="14"/>
        <v>-177791</v>
      </c>
      <c r="F106" s="238">
        <f t="shared" si="15"/>
        <v>-0.4098729513960131</v>
      </c>
    </row>
    <row r="107" spans="1:6" ht="20.25" customHeight="1" x14ac:dyDescent="0.3">
      <c r="A107" s="235">
        <v>3</v>
      </c>
      <c r="B107" s="236" t="s">
        <v>434</v>
      </c>
      <c r="C107" s="237">
        <v>592109</v>
      </c>
      <c r="D107" s="237">
        <v>772307</v>
      </c>
      <c r="E107" s="237">
        <f t="shared" si="14"/>
        <v>180198</v>
      </c>
      <c r="F107" s="238">
        <f t="shared" si="15"/>
        <v>0.30433247932390828</v>
      </c>
    </row>
    <row r="108" spans="1:6" ht="20.25" customHeight="1" x14ac:dyDescent="0.3">
      <c r="A108" s="235">
        <v>4</v>
      </c>
      <c r="B108" s="236" t="s">
        <v>435</v>
      </c>
      <c r="C108" s="237">
        <v>171147</v>
      </c>
      <c r="D108" s="237">
        <v>157662</v>
      </c>
      <c r="E108" s="237">
        <f t="shared" si="14"/>
        <v>-13485</v>
      </c>
      <c r="F108" s="238">
        <f t="shared" si="15"/>
        <v>-7.8791915721572681E-2</v>
      </c>
    </row>
    <row r="109" spans="1:6" ht="20.25" customHeight="1" x14ac:dyDescent="0.3">
      <c r="A109" s="235">
        <v>5</v>
      </c>
      <c r="B109" s="236" t="s">
        <v>371</v>
      </c>
      <c r="C109" s="239">
        <v>19</v>
      </c>
      <c r="D109" s="239">
        <v>28</v>
      </c>
      <c r="E109" s="239">
        <f t="shared" si="14"/>
        <v>9</v>
      </c>
      <c r="F109" s="238">
        <f t="shared" si="15"/>
        <v>0.47368421052631576</v>
      </c>
    </row>
    <row r="110" spans="1:6" ht="20.25" customHeight="1" x14ac:dyDescent="0.3">
      <c r="A110" s="235">
        <v>6</v>
      </c>
      <c r="B110" s="236" t="s">
        <v>370</v>
      </c>
      <c r="C110" s="239">
        <v>150</v>
      </c>
      <c r="D110" s="239">
        <v>175</v>
      </c>
      <c r="E110" s="239">
        <f t="shared" si="14"/>
        <v>25</v>
      </c>
      <c r="F110" s="238">
        <f t="shared" si="15"/>
        <v>0.16666666666666666</v>
      </c>
    </row>
    <row r="111" spans="1:6" ht="20.25" customHeight="1" x14ac:dyDescent="0.3">
      <c r="A111" s="235">
        <v>7</v>
      </c>
      <c r="B111" s="236" t="s">
        <v>436</v>
      </c>
      <c r="C111" s="239">
        <v>494</v>
      </c>
      <c r="D111" s="239">
        <v>599</v>
      </c>
      <c r="E111" s="239">
        <f t="shared" si="14"/>
        <v>105</v>
      </c>
      <c r="F111" s="238">
        <f t="shared" si="15"/>
        <v>0.2125506072874494</v>
      </c>
    </row>
    <row r="112" spans="1:6" ht="20.25" customHeight="1" x14ac:dyDescent="0.3">
      <c r="A112" s="235">
        <v>8</v>
      </c>
      <c r="B112" s="236" t="s">
        <v>437</v>
      </c>
      <c r="C112" s="239">
        <v>70</v>
      </c>
      <c r="D112" s="239">
        <v>108</v>
      </c>
      <c r="E112" s="239">
        <f t="shared" si="14"/>
        <v>38</v>
      </c>
      <c r="F112" s="238">
        <f t="shared" si="15"/>
        <v>0.54285714285714282</v>
      </c>
    </row>
    <row r="113" spans="1:6" ht="20.25" customHeight="1" x14ac:dyDescent="0.3">
      <c r="A113" s="235">
        <v>9</v>
      </c>
      <c r="B113" s="236" t="s">
        <v>438</v>
      </c>
      <c r="C113" s="239">
        <v>16</v>
      </c>
      <c r="D113" s="239">
        <v>33</v>
      </c>
      <c r="E113" s="239">
        <f t="shared" si="14"/>
        <v>17</v>
      </c>
      <c r="F113" s="238">
        <f t="shared" si="15"/>
        <v>1.0625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1371276</v>
      </c>
      <c r="D114" s="243">
        <f>+D105+D107</f>
        <v>1538685</v>
      </c>
      <c r="E114" s="243">
        <f t="shared" si="14"/>
        <v>167409</v>
      </c>
      <c r="F114" s="244">
        <f t="shared" si="15"/>
        <v>0.1220826441941666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604918</v>
      </c>
      <c r="D115" s="243">
        <f>+D106+D108</f>
        <v>413642</v>
      </c>
      <c r="E115" s="243">
        <f t="shared" si="14"/>
        <v>-191276</v>
      </c>
      <c r="F115" s="244">
        <f t="shared" si="15"/>
        <v>-0.31620153475347074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1816288</v>
      </c>
      <c r="D118" s="237">
        <v>1233728</v>
      </c>
      <c r="E118" s="237">
        <f t="shared" ref="E118:E128" si="16">D118-C118</f>
        <v>-582560</v>
      </c>
      <c r="F118" s="238">
        <f t="shared" ref="F118:F128" si="17">IF(C118=0,0,E118/C118)</f>
        <v>-0.32074208495568984</v>
      </c>
    </row>
    <row r="119" spans="1:6" ht="20.25" customHeight="1" x14ac:dyDescent="0.3">
      <c r="A119" s="235">
        <v>2</v>
      </c>
      <c r="B119" s="236" t="s">
        <v>433</v>
      </c>
      <c r="C119" s="237">
        <v>770576</v>
      </c>
      <c r="D119" s="237">
        <v>554943</v>
      </c>
      <c r="E119" s="237">
        <f t="shared" si="16"/>
        <v>-215633</v>
      </c>
      <c r="F119" s="238">
        <f t="shared" si="17"/>
        <v>-0.279833527127759</v>
      </c>
    </row>
    <row r="120" spans="1:6" ht="20.25" customHeight="1" x14ac:dyDescent="0.3">
      <c r="A120" s="235">
        <v>3</v>
      </c>
      <c r="B120" s="236" t="s">
        <v>434</v>
      </c>
      <c r="C120" s="237">
        <v>1847831</v>
      </c>
      <c r="D120" s="237">
        <v>1978122</v>
      </c>
      <c r="E120" s="237">
        <f t="shared" si="16"/>
        <v>130291</v>
      </c>
      <c r="F120" s="238">
        <f t="shared" si="17"/>
        <v>7.0510236055137079E-2</v>
      </c>
    </row>
    <row r="121" spans="1:6" ht="20.25" customHeight="1" x14ac:dyDescent="0.3">
      <c r="A121" s="235">
        <v>4</v>
      </c>
      <c r="B121" s="236" t="s">
        <v>435</v>
      </c>
      <c r="C121" s="237">
        <v>583517</v>
      </c>
      <c r="D121" s="237">
        <v>445926</v>
      </c>
      <c r="E121" s="237">
        <f t="shared" si="16"/>
        <v>-137591</v>
      </c>
      <c r="F121" s="238">
        <f t="shared" si="17"/>
        <v>-0.2357960436456864</v>
      </c>
    </row>
    <row r="122" spans="1:6" ht="20.25" customHeight="1" x14ac:dyDescent="0.3">
      <c r="A122" s="235">
        <v>5</v>
      </c>
      <c r="B122" s="236" t="s">
        <v>371</v>
      </c>
      <c r="C122" s="239">
        <v>65</v>
      </c>
      <c r="D122" s="239">
        <v>58</v>
      </c>
      <c r="E122" s="239">
        <f t="shared" si="16"/>
        <v>-7</v>
      </c>
      <c r="F122" s="238">
        <f t="shared" si="17"/>
        <v>-0.1076923076923077</v>
      </c>
    </row>
    <row r="123" spans="1:6" ht="20.25" customHeight="1" x14ac:dyDescent="0.3">
      <c r="A123" s="235">
        <v>6</v>
      </c>
      <c r="B123" s="236" t="s">
        <v>370</v>
      </c>
      <c r="C123" s="239">
        <v>424</v>
      </c>
      <c r="D123" s="239">
        <v>282</v>
      </c>
      <c r="E123" s="239">
        <f t="shared" si="16"/>
        <v>-142</v>
      </c>
      <c r="F123" s="238">
        <f t="shared" si="17"/>
        <v>-0.33490566037735847</v>
      </c>
    </row>
    <row r="124" spans="1:6" ht="20.25" customHeight="1" x14ac:dyDescent="0.3">
      <c r="A124" s="235">
        <v>7</v>
      </c>
      <c r="B124" s="236" t="s">
        <v>436</v>
      </c>
      <c r="C124" s="239">
        <v>2313</v>
      </c>
      <c r="D124" s="239">
        <v>2082</v>
      </c>
      <c r="E124" s="239">
        <f t="shared" si="16"/>
        <v>-231</v>
      </c>
      <c r="F124" s="238">
        <f t="shared" si="17"/>
        <v>-9.9870298313878086E-2</v>
      </c>
    </row>
    <row r="125" spans="1:6" ht="20.25" customHeight="1" x14ac:dyDescent="0.3">
      <c r="A125" s="235">
        <v>8</v>
      </c>
      <c r="B125" s="236" t="s">
        <v>437</v>
      </c>
      <c r="C125" s="239">
        <v>133</v>
      </c>
      <c r="D125" s="239">
        <v>115</v>
      </c>
      <c r="E125" s="239">
        <f t="shared" si="16"/>
        <v>-18</v>
      </c>
      <c r="F125" s="238">
        <f t="shared" si="17"/>
        <v>-0.13533834586466165</v>
      </c>
    </row>
    <row r="126" spans="1:6" ht="20.25" customHeight="1" x14ac:dyDescent="0.3">
      <c r="A126" s="235">
        <v>9</v>
      </c>
      <c r="B126" s="236" t="s">
        <v>438</v>
      </c>
      <c r="C126" s="239">
        <v>50</v>
      </c>
      <c r="D126" s="239">
        <v>59</v>
      </c>
      <c r="E126" s="239">
        <f t="shared" si="16"/>
        <v>9</v>
      </c>
      <c r="F126" s="238">
        <f t="shared" si="17"/>
        <v>0.18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3664119</v>
      </c>
      <c r="D127" s="243">
        <f>+D118+D120</f>
        <v>3211850</v>
      </c>
      <c r="E127" s="243">
        <f t="shared" si="16"/>
        <v>-452269</v>
      </c>
      <c r="F127" s="244">
        <f t="shared" si="17"/>
        <v>-0.12343185360519132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1354093</v>
      </c>
      <c r="D128" s="243">
        <f>+D119+D121</f>
        <v>1000869</v>
      </c>
      <c r="E128" s="243">
        <f t="shared" si="16"/>
        <v>-353224</v>
      </c>
      <c r="F128" s="244">
        <f t="shared" si="17"/>
        <v>-0.26085652905671913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13899</v>
      </c>
      <c r="D131" s="237">
        <v>81410</v>
      </c>
      <c r="E131" s="237">
        <f t="shared" ref="E131:E141" si="18">D131-C131</f>
        <v>67511</v>
      </c>
      <c r="F131" s="238">
        <f t="shared" ref="F131:F141" si="19">IF(C131=0,0,E131/C131)</f>
        <v>4.8572559176919201</v>
      </c>
    </row>
    <row r="132" spans="1:6" ht="20.25" customHeight="1" x14ac:dyDescent="0.3">
      <c r="A132" s="235">
        <v>2</v>
      </c>
      <c r="B132" s="236" t="s">
        <v>433</v>
      </c>
      <c r="C132" s="237">
        <v>5613</v>
      </c>
      <c r="D132" s="237">
        <v>29142</v>
      </c>
      <c r="E132" s="237">
        <f t="shared" si="18"/>
        <v>23529</v>
      </c>
      <c r="F132" s="238">
        <f t="shared" si="19"/>
        <v>4.191876002137894</v>
      </c>
    </row>
    <row r="133" spans="1:6" ht="20.25" customHeight="1" x14ac:dyDescent="0.3">
      <c r="A133" s="235">
        <v>3</v>
      </c>
      <c r="B133" s="236" t="s">
        <v>434</v>
      </c>
      <c r="C133" s="237">
        <v>51749</v>
      </c>
      <c r="D133" s="237">
        <v>99222</v>
      </c>
      <c r="E133" s="237">
        <f t="shared" si="18"/>
        <v>47473</v>
      </c>
      <c r="F133" s="238">
        <f t="shared" si="19"/>
        <v>0.91737038396877235</v>
      </c>
    </row>
    <row r="134" spans="1:6" ht="20.25" customHeight="1" x14ac:dyDescent="0.3">
      <c r="A134" s="235">
        <v>4</v>
      </c>
      <c r="B134" s="236" t="s">
        <v>435</v>
      </c>
      <c r="C134" s="237">
        <v>12362</v>
      </c>
      <c r="D134" s="237">
        <v>25780</v>
      </c>
      <c r="E134" s="237">
        <f t="shared" si="18"/>
        <v>13418</v>
      </c>
      <c r="F134" s="238">
        <f t="shared" si="19"/>
        <v>1.0854230707005339</v>
      </c>
    </row>
    <row r="135" spans="1:6" ht="20.25" customHeight="1" x14ac:dyDescent="0.3">
      <c r="A135" s="235">
        <v>5</v>
      </c>
      <c r="B135" s="236" t="s">
        <v>371</v>
      </c>
      <c r="C135" s="239">
        <v>1</v>
      </c>
      <c r="D135" s="239">
        <v>6</v>
      </c>
      <c r="E135" s="239">
        <f t="shared" si="18"/>
        <v>5</v>
      </c>
      <c r="F135" s="238">
        <f t="shared" si="19"/>
        <v>5</v>
      </c>
    </row>
    <row r="136" spans="1:6" ht="20.25" customHeight="1" x14ac:dyDescent="0.3">
      <c r="A136" s="235">
        <v>6</v>
      </c>
      <c r="B136" s="236" t="s">
        <v>370</v>
      </c>
      <c r="C136" s="239">
        <v>5</v>
      </c>
      <c r="D136" s="239">
        <v>21</v>
      </c>
      <c r="E136" s="239">
        <f t="shared" si="18"/>
        <v>16</v>
      </c>
      <c r="F136" s="238">
        <f t="shared" si="19"/>
        <v>3.2</v>
      </c>
    </row>
    <row r="137" spans="1:6" ht="20.25" customHeight="1" x14ac:dyDescent="0.3">
      <c r="A137" s="235">
        <v>7</v>
      </c>
      <c r="B137" s="236" t="s">
        <v>436</v>
      </c>
      <c r="C137" s="239">
        <v>53</v>
      </c>
      <c r="D137" s="239">
        <v>96</v>
      </c>
      <c r="E137" s="239">
        <f t="shared" si="18"/>
        <v>43</v>
      </c>
      <c r="F137" s="238">
        <f t="shared" si="19"/>
        <v>0.81132075471698117</v>
      </c>
    </row>
    <row r="138" spans="1:6" ht="20.25" customHeight="1" x14ac:dyDescent="0.3">
      <c r="A138" s="235">
        <v>8</v>
      </c>
      <c r="B138" s="236" t="s">
        <v>437</v>
      </c>
      <c r="C138" s="239">
        <v>8</v>
      </c>
      <c r="D138" s="239">
        <v>17</v>
      </c>
      <c r="E138" s="239">
        <f t="shared" si="18"/>
        <v>9</v>
      </c>
      <c r="F138" s="238">
        <f t="shared" si="19"/>
        <v>1.125</v>
      </c>
    </row>
    <row r="139" spans="1:6" ht="20.25" customHeight="1" x14ac:dyDescent="0.3">
      <c r="A139" s="235">
        <v>9</v>
      </c>
      <c r="B139" s="236" t="s">
        <v>438</v>
      </c>
      <c r="C139" s="239">
        <v>1</v>
      </c>
      <c r="D139" s="239">
        <v>6</v>
      </c>
      <c r="E139" s="239">
        <f t="shared" si="18"/>
        <v>5</v>
      </c>
      <c r="F139" s="238">
        <f t="shared" si="19"/>
        <v>5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65648</v>
      </c>
      <c r="D140" s="243">
        <f>+D131+D133</f>
        <v>180632</v>
      </c>
      <c r="E140" s="243">
        <f t="shared" si="18"/>
        <v>114984</v>
      </c>
      <c r="F140" s="244">
        <f t="shared" si="19"/>
        <v>1.7515232756519621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17975</v>
      </c>
      <c r="D141" s="243">
        <f>+D132+D134</f>
        <v>54922</v>
      </c>
      <c r="E141" s="243">
        <f t="shared" si="18"/>
        <v>36947</v>
      </c>
      <c r="F141" s="244">
        <f t="shared" si="19"/>
        <v>2.0554659248956884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433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434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435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371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370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436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437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438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90" t="s">
        <v>44</v>
      </c>
      <c r="B195" s="691" t="s">
        <v>457</v>
      </c>
      <c r="C195" s="693"/>
      <c r="D195" s="694"/>
      <c r="E195" s="694"/>
      <c r="F195" s="695"/>
      <c r="G195" s="675"/>
      <c r="H195" s="675"/>
      <c r="I195" s="675"/>
    </row>
    <row r="196" spans="1:9" ht="20.25" customHeight="1" x14ac:dyDescent="0.3">
      <c r="A196" s="681"/>
      <c r="B196" s="692"/>
      <c r="C196" s="687"/>
      <c r="D196" s="688"/>
      <c r="E196" s="688"/>
      <c r="F196" s="689"/>
      <c r="G196" s="675"/>
      <c r="H196" s="675"/>
      <c r="I196" s="675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14764166</v>
      </c>
      <c r="D198" s="243">
        <f t="shared" si="28"/>
        <v>13437063</v>
      </c>
      <c r="E198" s="243">
        <f t="shared" ref="E198:E208" si="29">D198-C198</f>
        <v>-1327103</v>
      </c>
      <c r="F198" s="251">
        <f t="shared" ref="F198:F208" si="30">IF(C198=0,0,E198/C198)</f>
        <v>-8.9886756895038972E-2</v>
      </c>
    </row>
    <row r="199" spans="1:9" ht="20.25" customHeight="1" x14ac:dyDescent="0.3">
      <c r="A199" s="249"/>
      <c r="B199" s="250" t="s">
        <v>459</v>
      </c>
      <c r="C199" s="243">
        <f t="shared" si="28"/>
        <v>6847971</v>
      </c>
      <c r="D199" s="243">
        <f t="shared" si="28"/>
        <v>5616787</v>
      </c>
      <c r="E199" s="243">
        <f t="shared" si="29"/>
        <v>-1231184</v>
      </c>
      <c r="F199" s="251">
        <f t="shared" si="30"/>
        <v>-0.17978814454675698</v>
      </c>
    </row>
    <row r="200" spans="1:9" ht="20.25" customHeight="1" x14ac:dyDescent="0.3">
      <c r="A200" s="249"/>
      <c r="B200" s="250" t="s">
        <v>460</v>
      </c>
      <c r="C200" s="243">
        <f t="shared" si="28"/>
        <v>16830656</v>
      </c>
      <c r="D200" s="243">
        <f t="shared" si="28"/>
        <v>18435526</v>
      </c>
      <c r="E200" s="243">
        <f t="shared" si="29"/>
        <v>1604870</v>
      </c>
      <c r="F200" s="251">
        <f t="shared" si="30"/>
        <v>9.535397788416565E-2</v>
      </c>
    </row>
    <row r="201" spans="1:9" ht="20.25" customHeight="1" x14ac:dyDescent="0.3">
      <c r="A201" s="249"/>
      <c r="B201" s="250" t="s">
        <v>461</v>
      </c>
      <c r="C201" s="243">
        <f t="shared" si="28"/>
        <v>5529001</v>
      </c>
      <c r="D201" s="243">
        <f t="shared" si="28"/>
        <v>4571857</v>
      </c>
      <c r="E201" s="243">
        <f t="shared" si="29"/>
        <v>-957144</v>
      </c>
      <c r="F201" s="251">
        <f t="shared" si="30"/>
        <v>-0.17311337075178682</v>
      </c>
    </row>
    <row r="202" spans="1:9" ht="20.25" customHeight="1" x14ac:dyDescent="0.3">
      <c r="A202" s="249"/>
      <c r="B202" s="250" t="s">
        <v>462</v>
      </c>
      <c r="C202" s="252">
        <f t="shared" si="28"/>
        <v>569</v>
      </c>
      <c r="D202" s="252">
        <f t="shared" si="28"/>
        <v>575</v>
      </c>
      <c r="E202" s="252">
        <f t="shared" si="29"/>
        <v>6</v>
      </c>
      <c r="F202" s="251">
        <f t="shared" si="30"/>
        <v>1.054481546572935E-2</v>
      </c>
    </row>
    <row r="203" spans="1:9" ht="20.25" customHeight="1" x14ac:dyDescent="0.3">
      <c r="A203" s="249"/>
      <c r="B203" s="250" t="s">
        <v>463</v>
      </c>
      <c r="C203" s="252">
        <f t="shared" si="28"/>
        <v>3255</v>
      </c>
      <c r="D203" s="252">
        <f t="shared" si="28"/>
        <v>3101</v>
      </c>
      <c r="E203" s="252">
        <f t="shared" si="29"/>
        <v>-154</v>
      </c>
      <c r="F203" s="251">
        <f t="shared" si="30"/>
        <v>-4.7311827956989246E-2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16284</v>
      </c>
      <c r="D204" s="252">
        <f t="shared" si="28"/>
        <v>17631</v>
      </c>
      <c r="E204" s="252">
        <f t="shared" si="29"/>
        <v>1347</v>
      </c>
      <c r="F204" s="251">
        <f t="shared" si="30"/>
        <v>8.2719233603537209E-2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1211</v>
      </c>
      <c r="D205" s="252">
        <f t="shared" si="28"/>
        <v>1406</v>
      </c>
      <c r="E205" s="252">
        <f t="shared" si="29"/>
        <v>195</v>
      </c>
      <c r="F205" s="251">
        <f t="shared" si="30"/>
        <v>0.16102394715111479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413</v>
      </c>
      <c r="D206" s="252">
        <f t="shared" si="28"/>
        <v>653</v>
      </c>
      <c r="E206" s="252">
        <f t="shared" si="29"/>
        <v>240</v>
      </c>
      <c r="F206" s="251">
        <f t="shared" si="30"/>
        <v>0.58111380145278446</v>
      </c>
    </row>
    <row r="207" spans="1:9" ht="20.25" customHeight="1" x14ac:dyDescent="0.3">
      <c r="A207" s="249"/>
      <c r="B207" s="242" t="s">
        <v>467</v>
      </c>
      <c r="C207" s="243">
        <f>+C198+C200</f>
        <v>31594822</v>
      </c>
      <c r="D207" s="243">
        <f>+D198+D200</f>
        <v>31872589</v>
      </c>
      <c r="E207" s="243">
        <f t="shared" si="29"/>
        <v>277767</v>
      </c>
      <c r="F207" s="251">
        <f t="shared" si="30"/>
        <v>8.7915355243970046E-3</v>
      </c>
    </row>
    <row r="208" spans="1:9" ht="20.25" customHeight="1" x14ac:dyDescent="0.3">
      <c r="A208" s="249"/>
      <c r="B208" s="242" t="s">
        <v>468</v>
      </c>
      <c r="C208" s="243">
        <f>+C199+C201</f>
        <v>12376972</v>
      </c>
      <c r="D208" s="243">
        <f>+D199+D201</f>
        <v>10188644</v>
      </c>
      <c r="E208" s="243">
        <f t="shared" si="29"/>
        <v>-2188328</v>
      </c>
      <c r="F208" s="251">
        <f t="shared" si="30"/>
        <v>-0.17680641113189882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FILING&amp;RMANCHESTER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469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90" t="s">
        <v>12</v>
      </c>
      <c r="B10" s="691" t="s">
        <v>115</v>
      </c>
      <c r="C10" s="693"/>
      <c r="D10" s="694"/>
      <c r="E10" s="694"/>
      <c r="F10" s="695"/>
    </row>
    <row r="11" spans="1:7" ht="20.25" customHeight="1" x14ac:dyDescent="0.3">
      <c r="A11" s="681"/>
      <c r="B11" s="692"/>
      <c r="C11" s="687"/>
      <c r="D11" s="688"/>
      <c r="E11" s="688"/>
      <c r="F11" s="689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3745277</v>
      </c>
      <c r="D26" s="237">
        <v>4683026</v>
      </c>
      <c r="E26" s="237">
        <f t="shared" ref="E26:E36" si="2">D26-C26</f>
        <v>937749</v>
      </c>
      <c r="F26" s="238">
        <f t="shared" ref="F26:F36" si="3">IF(C26=0,0,E26/C26)</f>
        <v>0.25038174746487374</v>
      </c>
    </row>
    <row r="27" spans="1:6" ht="20.25" customHeight="1" x14ac:dyDescent="0.3">
      <c r="A27" s="235">
        <v>2</v>
      </c>
      <c r="B27" s="236" t="s">
        <v>433</v>
      </c>
      <c r="C27" s="237">
        <v>1442361</v>
      </c>
      <c r="D27" s="237">
        <v>2101485</v>
      </c>
      <c r="E27" s="237">
        <f t="shared" si="2"/>
        <v>659124</v>
      </c>
      <c r="F27" s="238">
        <f t="shared" si="3"/>
        <v>0.45697575017627351</v>
      </c>
    </row>
    <row r="28" spans="1:6" ht="20.25" customHeight="1" x14ac:dyDescent="0.3">
      <c r="A28" s="235">
        <v>3</v>
      </c>
      <c r="B28" s="236" t="s">
        <v>434</v>
      </c>
      <c r="C28" s="237">
        <v>11861257</v>
      </c>
      <c r="D28" s="237">
        <v>13095155</v>
      </c>
      <c r="E28" s="237">
        <f t="shared" si="2"/>
        <v>1233898</v>
      </c>
      <c r="F28" s="238">
        <f t="shared" si="3"/>
        <v>0.10402759167936416</v>
      </c>
    </row>
    <row r="29" spans="1:6" ht="20.25" customHeight="1" x14ac:dyDescent="0.3">
      <c r="A29" s="235">
        <v>4</v>
      </c>
      <c r="B29" s="236" t="s">
        <v>435</v>
      </c>
      <c r="C29" s="237">
        <v>3219251</v>
      </c>
      <c r="D29" s="237">
        <v>2922337</v>
      </c>
      <c r="E29" s="237">
        <f t="shared" si="2"/>
        <v>-296914</v>
      </c>
      <c r="F29" s="238">
        <f t="shared" si="3"/>
        <v>-9.2230770449399563E-2</v>
      </c>
    </row>
    <row r="30" spans="1:6" ht="20.25" customHeight="1" x14ac:dyDescent="0.3">
      <c r="A30" s="235">
        <v>5</v>
      </c>
      <c r="B30" s="236" t="s">
        <v>371</v>
      </c>
      <c r="C30" s="239">
        <v>431</v>
      </c>
      <c r="D30" s="239">
        <v>482</v>
      </c>
      <c r="E30" s="239">
        <f t="shared" si="2"/>
        <v>51</v>
      </c>
      <c r="F30" s="238">
        <f t="shared" si="3"/>
        <v>0.11832946635730858</v>
      </c>
    </row>
    <row r="31" spans="1:6" ht="20.25" customHeight="1" x14ac:dyDescent="0.3">
      <c r="A31" s="235">
        <v>6</v>
      </c>
      <c r="B31" s="236" t="s">
        <v>370</v>
      </c>
      <c r="C31" s="239">
        <v>1517</v>
      </c>
      <c r="D31" s="239">
        <v>1897</v>
      </c>
      <c r="E31" s="239">
        <f t="shared" si="2"/>
        <v>380</v>
      </c>
      <c r="F31" s="238">
        <f t="shared" si="3"/>
        <v>0.25049439683586028</v>
      </c>
    </row>
    <row r="32" spans="1:6" ht="20.25" customHeight="1" x14ac:dyDescent="0.3">
      <c r="A32" s="235">
        <v>7</v>
      </c>
      <c r="B32" s="236" t="s">
        <v>436</v>
      </c>
      <c r="C32" s="239">
        <v>5199</v>
      </c>
      <c r="D32" s="239">
        <v>5450</v>
      </c>
      <c r="E32" s="239">
        <f t="shared" si="2"/>
        <v>251</v>
      </c>
      <c r="F32" s="238">
        <f t="shared" si="3"/>
        <v>4.8278515099057513E-2</v>
      </c>
    </row>
    <row r="33" spans="1:6" ht="20.25" customHeight="1" x14ac:dyDescent="0.3">
      <c r="A33" s="235">
        <v>8</v>
      </c>
      <c r="B33" s="236" t="s">
        <v>437</v>
      </c>
      <c r="C33" s="239">
        <v>4608</v>
      </c>
      <c r="D33" s="239">
        <v>4787</v>
      </c>
      <c r="E33" s="239">
        <f t="shared" si="2"/>
        <v>179</v>
      </c>
      <c r="F33" s="238">
        <f t="shared" si="3"/>
        <v>3.8845486111111112E-2</v>
      </c>
    </row>
    <row r="34" spans="1:6" ht="20.25" customHeight="1" x14ac:dyDescent="0.3">
      <c r="A34" s="235">
        <v>9</v>
      </c>
      <c r="B34" s="236" t="s">
        <v>438</v>
      </c>
      <c r="C34" s="239">
        <v>132</v>
      </c>
      <c r="D34" s="239">
        <v>146</v>
      </c>
      <c r="E34" s="239">
        <f t="shared" si="2"/>
        <v>14</v>
      </c>
      <c r="F34" s="238">
        <f t="shared" si="3"/>
        <v>0.10606060606060606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15606534</v>
      </c>
      <c r="D35" s="243">
        <f>+D26+D28</f>
        <v>17778181</v>
      </c>
      <c r="E35" s="243">
        <f t="shared" si="2"/>
        <v>2171647</v>
      </c>
      <c r="F35" s="244">
        <f t="shared" si="3"/>
        <v>0.13914985864254037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4661612</v>
      </c>
      <c r="D36" s="243">
        <f>+D27+D29</f>
        <v>5023822</v>
      </c>
      <c r="E36" s="243">
        <f t="shared" si="2"/>
        <v>362210</v>
      </c>
      <c r="F36" s="244">
        <f t="shared" si="3"/>
        <v>7.7700589409843632E-2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433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434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435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371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370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436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437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438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1003933</v>
      </c>
      <c r="D86" s="237">
        <v>1160787</v>
      </c>
      <c r="E86" s="237">
        <f t="shared" ref="E86:E96" si="12">D86-C86</f>
        <v>156854</v>
      </c>
      <c r="F86" s="238">
        <f t="shared" ref="F86:F96" si="13">IF(C86=0,0,E86/C86)</f>
        <v>0.15623951000714192</v>
      </c>
    </row>
    <row r="87" spans="1:6" ht="20.25" customHeight="1" x14ac:dyDescent="0.3">
      <c r="A87" s="235">
        <v>2</v>
      </c>
      <c r="B87" s="236" t="s">
        <v>433</v>
      </c>
      <c r="C87" s="237">
        <v>326912</v>
      </c>
      <c r="D87" s="237">
        <v>456881</v>
      </c>
      <c r="E87" s="237">
        <f t="shared" si="12"/>
        <v>129969</v>
      </c>
      <c r="F87" s="238">
        <f t="shared" si="13"/>
        <v>0.39756570575567735</v>
      </c>
    </row>
    <row r="88" spans="1:6" ht="20.25" customHeight="1" x14ac:dyDescent="0.3">
      <c r="A88" s="235">
        <v>3</v>
      </c>
      <c r="B88" s="236" t="s">
        <v>434</v>
      </c>
      <c r="C88" s="237">
        <v>3062972</v>
      </c>
      <c r="D88" s="237">
        <v>3398568</v>
      </c>
      <c r="E88" s="237">
        <f t="shared" si="12"/>
        <v>335596</v>
      </c>
      <c r="F88" s="238">
        <f t="shared" si="13"/>
        <v>0.10956548084670706</v>
      </c>
    </row>
    <row r="89" spans="1:6" ht="20.25" customHeight="1" x14ac:dyDescent="0.3">
      <c r="A89" s="235">
        <v>4</v>
      </c>
      <c r="B89" s="236" t="s">
        <v>435</v>
      </c>
      <c r="C89" s="237">
        <v>685857</v>
      </c>
      <c r="D89" s="237">
        <v>795673</v>
      </c>
      <c r="E89" s="237">
        <f t="shared" si="12"/>
        <v>109816</v>
      </c>
      <c r="F89" s="238">
        <f t="shared" si="13"/>
        <v>0.16011500939700257</v>
      </c>
    </row>
    <row r="90" spans="1:6" ht="20.25" customHeight="1" x14ac:dyDescent="0.3">
      <c r="A90" s="235">
        <v>5</v>
      </c>
      <c r="B90" s="236" t="s">
        <v>371</v>
      </c>
      <c r="C90" s="239">
        <v>125</v>
      </c>
      <c r="D90" s="239">
        <v>143</v>
      </c>
      <c r="E90" s="239">
        <f t="shared" si="12"/>
        <v>18</v>
      </c>
      <c r="F90" s="238">
        <f t="shared" si="13"/>
        <v>0.14399999999999999</v>
      </c>
    </row>
    <row r="91" spans="1:6" ht="20.25" customHeight="1" x14ac:dyDescent="0.3">
      <c r="A91" s="235">
        <v>6</v>
      </c>
      <c r="B91" s="236" t="s">
        <v>370</v>
      </c>
      <c r="C91" s="239">
        <v>421</v>
      </c>
      <c r="D91" s="239">
        <v>477</v>
      </c>
      <c r="E91" s="239">
        <f t="shared" si="12"/>
        <v>56</v>
      </c>
      <c r="F91" s="238">
        <f t="shared" si="13"/>
        <v>0.1330166270783848</v>
      </c>
    </row>
    <row r="92" spans="1:6" ht="20.25" customHeight="1" x14ac:dyDescent="0.3">
      <c r="A92" s="235">
        <v>7</v>
      </c>
      <c r="B92" s="236" t="s">
        <v>436</v>
      </c>
      <c r="C92" s="239">
        <v>1168</v>
      </c>
      <c r="D92" s="239">
        <v>1318</v>
      </c>
      <c r="E92" s="239">
        <f t="shared" si="12"/>
        <v>150</v>
      </c>
      <c r="F92" s="238">
        <f t="shared" si="13"/>
        <v>0.12842465753424659</v>
      </c>
    </row>
    <row r="93" spans="1:6" ht="20.25" customHeight="1" x14ac:dyDescent="0.3">
      <c r="A93" s="235">
        <v>8</v>
      </c>
      <c r="B93" s="236" t="s">
        <v>437</v>
      </c>
      <c r="C93" s="239">
        <v>1267</v>
      </c>
      <c r="D93" s="239">
        <v>1228</v>
      </c>
      <c r="E93" s="239">
        <f t="shared" si="12"/>
        <v>-39</v>
      </c>
      <c r="F93" s="238">
        <f t="shared" si="13"/>
        <v>-3.0781373322809787E-2</v>
      </c>
    </row>
    <row r="94" spans="1:6" ht="20.25" customHeight="1" x14ac:dyDescent="0.3">
      <c r="A94" s="235">
        <v>9</v>
      </c>
      <c r="B94" s="236" t="s">
        <v>438</v>
      </c>
      <c r="C94" s="239">
        <v>34</v>
      </c>
      <c r="D94" s="239">
        <v>36</v>
      </c>
      <c r="E94" s="239">
        <f t="shared" si="12"/>
        <v>2</v>
      </c>
      <c r="F94" s="238">
        <f t="shared" si="13"/>
        <v>5.8823529411764705E-2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4066905</v>
      </c>
      <c r="D95" s="243">
        <f>+D86+D88</f>
        <v>4559355</v>
      </c>
      <c r="E95" s="243">
        <f t="shared" si="12"/>
        <v>492450</v>
      </c>
      <c r="F95" s="244">
        <f t="shared" si="13"/>
        <v>0.12108716579315229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1012769</v>
      </c>
      <c r="D96" s="243">
        <f>+D87+D89</f>
        <v>1252554</v>
      </c>
      <c r="E96" s="243">
        <f t="shared" si="12"/>
        <v>239785</v>
      </c>
      <c r="F96" s="244">
        <f t="shared" si="13"/>
        <v>0.23676178871983641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2583553</v>
      </c>
      <c r="D98" s="237">
        <v>2837775</v>
      </c>
      <c r="E98" s="237">
        <f t="shared" ref="E98:E108" si="14">D98-C98</f>
        <v>254222</v>
      </c>
      <c r="F98" s="238">
        <f t="shared" ref="F98:F108" si="15">IF(C98=0,0,E98/C98)</f>
        <v>9.8400148942173818E-2</v>
      </c>
    </row>
    <row r="99" spans="1:7" ht="20.25" customHeight="1" x14ac:dyDescent="0.3">
      <c r="A99" s="235">
        <v>2</v>
      </c>
      <c r="B99" s="236" t="s">
        <v>433</v>
      </c>
      <c r="C99" s="237">
        <v>889900</v>
      </c>
      <c r="D99" s="237">
        <v>1098727</v>
      </c>
      <c r="E99" s="237">
        <f t="shared" si="14"/>
        <v>208827</v>
      </c>
      <c r="F99" s="238">
        <f t="shared" si="15"/>
        <v>0.23466344533093605</v>
      </c>
    </row>
    <row r="100" spans="1:7" ht="20.25" customHeight="1" x14ac:dyDescent="0.3">
      <c r="A100" s="235">
        <v>3</v>
      </c>
      <c r="B100" s="236" t="s">
        <v>434</v>
      </c>
      <c r="C100" s="237">
        <v>8362489</v>
      </c>
      <c r="D100" s="237">
        <v>8731428</v>
      </c>
      <c r="E100" s="237">
        <f t="shared" si="14"/>
        <v>368939</v>
      </c>
      <c r="F100" s="238">
        <f t="shared" si="15"/>
        <v>4.4118324101831405E-2</v>
      </c>
    </row>
    <row r="101" spans="1:7" ht="20.25" customHeight="1" x14ac:dyDescent="0.3">
      <c r="A101" s="235">
        <v>4</v>
      </c>
      <c r="B101" s="236" t="s">
        <v>435</v>
      </c>
      <c r="C101" s="237">
        <v>1712858</v>
      </c>
      <c r="D101" s="237">
        <v>1910922</v>
      </c>
      <c r="E101" s="237">
        <f t="shared" si="14"/>
        <v>198064</v>
      </c>
      <c r="F101" s="238">
        <f t="shared" si="15"/>
        <v>0.11563363688058205</v>
      </c>
    </row>
    <row r="102" spans="1:7" ht="20.25" customHeight="1" x14ac:dyDescent="0.3">
      <c r="A102" s="235">
        <v>5</v>
      </c>
      <c r="B102" s="236" t="s">
        <v>371</v>
      </c>
      <c r="C102" s="239">
        <v>287</v>
      </c>
      <c r="D102" s="239">
        <v>335</v>
      </c>
      <c r="E102" s="239">
        <f t="shared" si="14"/>
        <v>48</v>
      </c>
      <c r="F102" s="238">
        <f t="shared" si="15"/>
        <v>0.1672473867595819</v>
      </c>
    </row>
    <row r="103" spans="1:7" ht="20.25" customHeight="1" x14ac:dyDescent="0.3">
      <c r="A103" s="235">
        <v>6</v>
      </c>
      <c r="B103" s="236" t="s">
        <v>370</v>
      </c>
      <c r="C103" s="239">
        <v>1082</v>
      </c>
      <c r="D103" s="239">
        <v>1092</v>
      </c>
      <c r="E103" s="239">
        <f t="shared" si="14"/>
        <v>10</v>
      </c>
      <c r="F103" s="238">
        <f t="shared" si="15"/>
        <v>9.242144177449169E-3</v>
      </c>
    </row>
    <row r="104" spans="1:7" ht="20.25" customHeight="1" x14ac:dyDescent="0.3">
      <c r="A104" s="235">
        <v>7</v>
      </c>
      <c r="B104" s="236" t="s">
        <v>436</v>
      </c>
      <c r="C104" s="239">
        <v>3706</v>
      </c>
      <c r="D104" s="239">
        <v>3886</v>
      </c>
      <c r="E104" s="239">
        <f t="shared" si="14"/>
        <v>180</v>
      </c>
      <c r="F104" s="238">
        <f t="shared" si="15"/>
        <v>4.8569886670264434E-2</v>
      </c>
    </row>
    <row r="105" spans="1:7" ht="20.25" customHeight="1" x14ac:dyDescent="0.3">
      <c r="A105" s="235">
        <v>8</v>
      </c>
      <c r="B105" s="236" t="s">
        <v>437</v>
      </c>
      <c r="C105" s="239">
        <v>2895</v>
      </c>
      <c r="D105" s="239">
        <v>2959</v>
      </c>
      <c r="E105" s="239">
        <f t="shared" si="14"/>
        <v>64</v>
      </c>
      <c r="F105" s="238">
        <f t="shared" si="15"/>
        <v>2.2107081174438686E-2</v>
      </c>
    </row>
    <row r="106" spans="1:7" ht="20.25" customHeight="1" x14ac:dyDescent="0.3">
      <c r="A106" s="235">
        <v>9</v>
      </c>
      <c r="B106" s="236" t="s">
        <v>438</v>
      </c>
      <c r="C106" s="239">
        <v>107</v>
      </c>
      <c r="D106" s="239">
        <v>98</v>
      </c>
      <c r="E106" s="239">
        <f t="shared" si="14"/>
        <v>-9</v>
      </c>
      <c r="F106" s="238">
        <f t="shared" si="15"/>
        <v>-8.4112149532710276E-2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10946042</v>
      </c>
      <c r="D107" s="243">
        <f>+D98+D100</f>
        <v>11569203</v>
      </c>
      <c r="E107" s="243">
        <f t="shared" si="14"/>
        <v>623161</v>
      </c>
      <c r="F107" s="244">
        <f t="shared" si="15"/>
        <v>5.6930258444102447E-2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2602758</v>
      </c>
      <c r="D108" s="243">
        <f>+D99+D101</f>
        <v>3009649</v>
      </c>
      <c r="E108" s="243">
        <f t="shared" si="14"/>
        <v>406891</v>
      </c>
      <c r="F108" s="244">
        <f t="shared" si="15"/>
        <v>0.1563307076570315</v>
      </c>
    </row>
    <row r="109" spans="1:7" s="240" customFormat="1" ht="20.25" customHeight="1" x14ac:dyDescent="0.3">
      <c r="A109" s="690" t="s">
        <v>44</v>
      </c>
      <c r="B109" s="691" t="s">
        <v>476</v>
      </c>
      <c r="C109" s="693"/>
      <c r="D109" s="694"/>
      <c r="E109" s="694"/>
      <c r="F109" s="695"/>
      <c r="G109" s="212"/>
    </row>
    <row r="110" spans="1:7" ht="20.25" customHeight="1" x14ac:dyDescent="0.3">
      <c r="A110" s="681"/>
      <c r="B110" s="692"/>
      <c r="C110" s="687"/>
      <c r="D110" s="688"/>
      <c r="E110" s="688"/>
      <c r="F110" s="689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7332763</v>
      </c>
      <c r="D112" s="243">
        <f t="shared" si="16"/>
        <v>8681588</v>
      </c>
      <c r="E112" s="243">
        <f t="shared" ref="E112:E122" si="17">D112-C112</f>
        <v>1348825</v>
      </c>
      <c r="F112" s="244">
        <f t="shared" ref="F112:F122" si="18">IF(C112=0,0,E112/C112)</f>
        <v>0.18394498772154508</v>
      </c>
    </row>
    <row r="113" spans="1:6" ht="20.25" customHeight="1" x14ac:dyDescent="0.3">
      <c r="A113" s="249"/>
      <c r="B113" s="250" t="s">
        <v>459</v>
      </c>
      <c r="C113" s="243">
        <f t="shared" si="16"/>
        <v>2659173</v>
      </c>
      <c r="D113" s="243">
        <f t="shared" si="16"/>
        <v>3657093</v>
      </c>
      <c r="E113" s="243">
        <f t="shared" si="17"/>
        <v>997920</v>
      </c>
      <c r="F113" s="244">
        <f t="shared" si="18"/>
        <v>0.37527456844665619</v>
      </c>
    </row>
    <row r="114" spans="1:6" ht="20.25" customHeight="1" x14ac:dyDescent="0.3">
      <c r="A114" s="249"/>
      <c r="B114" s="250" t="s">
        <v>460</v>
      </c>
      <c r="C114" s="243">
        <f t="shared" si="16"/>
        <v>23286718</v>
      </c>
      <c r="D114" s="243">
        <f t="shared" si="16"/>
        <v>25225151</v>
      </c>
      <c r="E114" s="243">
        <f t="shared" si="17"/>
        <v>1938433</v>
      </c>
      <c r="F114" s="244">
        <f t="shared" si="18"/>
        <v>8.3242000869336766E-2</v>
      </c>
    </row>
    <row r="115" spans="1:6" ht="20.25" customHeight="1" x14ac:dyDescent="0.3">
      <c r="A115" s="249"/>
      <c r="B115" s="250" t="s">
        <v>461</v>
      </c>
      <c r="C115" s="243">
        <f t="shared" si="16"/>
        <v>5617966</v>
      </c>
      <c r="D115" s="243">
        <f t="shared" si="16"/>
        <v>5628932</v>
      </c>
      <c r="E115" s="243">
        <f t="shared" si="17"/>
        <v>10966</v>
      </c>
      <c r="F115" s="244">
        <f t="shared" si="18"/>
        <v>1.9519520054055151E-3</v>
      </c>
    </row>
    <row r="116" spans="1:6" ht="20.25" customHeight="1" x14ac:dyDescent="0.3">
      <c r="A116" s="249"/>
      <c r="B116" s="250" t="s">
        <v>462</v>
      </c>
      <c r="C116" s="252">
        <f t="shared" si="16"/>
        <v>843</v>
      </c>
      <c r="D116" s="252">
        <f t="shared" si="16"/>
        <v>960</v>
      </c>
      <c r="E116" s="252">
        <f t="shared" si="17"/>
        <v>117</v>
      </c>
      <c r="F116" s="244">
        <f t="shared" si="18"/>
        <v>0.13879003558718861</v>
      </c>
    </row>
    <row r="117" spans="1:6" ht="20.25" customHeight="1" x14ac:dyDescent="0.3">
      <c r="A117" s="249"/>
      <c r="B117" s="250" t="s">
        <v>463</v>
      </c>
      <c r="C117" s="252">
        <f t="shared" si="16"/>
        <v>3020</v>
      </c>
      <c r="D117" s="252">
        <f t="shared" si="16"/>
        <v>3466</v>
      </c>
      <c r="E117" s="252">
        <f t="shared" si="17"/>
        <v>446</v>
      </c>
      <c r="F117" s="244">
        <f t="shared" si="18"/>
        <v>0.147682119205298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10073</v>
      </c>
      <c r="D118" s="252">
        <f t="shared" si="16"/>
        <v>10654</v>
      </c>
      <c r="E118" s="252">
        <f t="shared" si="17"/>
        <v>581</v>
      </c>
      <c r="F118" s="244">
        <f t="shared" si="18"/>
        <v>5.7678943710910355E-2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8770</v>
      </c>
      <c r="D119" s="252">
        <f t="shared" si="16"/>
        <v>8974</v>
      </c>
      <c r="E119" s="252">
        <f t="shared" si="17"/>
        <v>204</v>
      </c>
      <c r="F119" s="244">
        <f t="shared" si="18"/>
        <v>2.3261117445838083E-2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273</v>
      </c>
      <c r="D120" s="252">
        <f t="shared" si="16"/>
        <v>280</v>
      </c>
      <c r="E120" s="252">
        <f t="shared" si="17"/>
        <v>7</v>
      </c>
      <c r="F120" s="244">
        <f t="shared" si="18"/>
        <v>2.564102564102564E-2</v>
      </c>
    </row>
    <row r="121" spans="1:6" ht="39.950000000000003" customHeight="1" x14ac:dyDescent="0.3">
      <c r="A121" s="249"/>
      <c r="B121" s="242" t="s">
        <v>439</v>
      </c>
      <c r="C121" s="243">
        <f>+C112+C114</f>
        <v>30619481</v>
      </c>
      <c r="D121" s="243">
        <f>+D112+D114</f>
        <v>33906739</v>
      </c>
      <c r="E121" s="243">
        <f t="shared" si="17"/>
        <v>3287258</v>
      </c>
      <c r="F121" s="244">
        <f t="shared" si="18"/>
        <v>0.10735838403008856</v>
      </c>
    </row>
    <row r="122" spans="1:6" ht="39.950000000000003" customHeight="1" x14ac:dyDescent="0.3">
      <c r="A122" s="249"/>
      <c r="B122" s="242" t="s">
        <v>468</v>
      </c>
      <c r="C122" s="243">
        <f>+C113+C115</f>
        <v>8277139</v>
      </c>
      <c r="D122" s="243">
        <f>+D113+D115</f>
        <v>9286025</v>
      </c>
      <c r="E122" s="243">
        <f t="shared" si="17"/>
        <v>1008886</v>
      </c>
      <c r="F122" s="244">
        <f t="shared" si="18"/>
        <v>0.12188825148399707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2" fitToHeight="0" orientation="portrait" horizontalDpi="1200" verticalDpi="1200" r:id="rId1"/>
  <headerFooter>
    <oddHeader>&amp;LOFFICE OF HEALTH CARE ACCESS&amp;CTWELVE MONTHS ACTUAL FILING&amp;RMANCHESTER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19538406</v>
      </c>
      <c r="D13" s="23">
        <v>20991180</v>
      </c>
      <c r="E13" s="23">
        <f t="shared" ref="E13:E22" si="0">D13-C13</f>
        <v>1452774</v>
      </c>
      <c r="F13" s="24">
        <f t="shared" ref="F13:F22" si="1">IF(C13=0,0,E13/C13)</f>
        <v>7.4354786158092934E-2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39411447</v>
      </c>
      <c r="D15" s="23">
        <v>39643428</v>
      </c>
      <c r="E15" s="23">
        <f t="shared" si="0"/>
        <v>231981</v>
      </c>
      <c r="F15" s="24">
        <f t="shared" si="1"/>
        <v>5.8861325238832264E-3</v>
      </c>
    </row>
    <row r="16" spans="1:8" ht="35.1" customHeight="1" x14ac:dyDescent="0.2">
      <c r="A16" s="21">
        <v>4</v>
      </c>
      <c r="B16" s="22" t="s">
        <v>19</v>
      </c>
      <c r="C16" s="23">
        <v>1170661</v>
      </c>
      <c r="D16" s="23">
        <v>1504988</v>
      </c>
      <c r="E16" s="23">
        <f t="shared" si="0"/>
        <v>334327</v>
      </c>
      <c r="F16" s="24">
        <f t="shared" si="1"/>
        <v>0.28558822750565704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721274</v>
      </c>
      <c r="D18" s="23">
        <v>432832</v>
      </c>
      <c r="E18" s="23">
        <f t="shared" si="0"/>
        <v>-288442</v>
      </c>
      <c r="F18" s="24">
        <f t="shared" si="1"/>
        <v>-0.39990627694884329</v>
      </c>
    </row>
    <row r="19" spans="1:11" ht="24" customHeight="1" x14ac:dyDescent="0.2">
      <c r="A19" s="21">
        <v>7</v>
      </c>
      <c r="B19" s="22" t="s">
        <v>22</v>
      </c>
      <c r="C19" s="23">
        <v>4115275</v>
      </c>
      <c r="D19" s="23">
        <v>4228568</v>
      </c>
      <c r="E19" s="23">
        <f t="shared" si="0"/>
        <v>113293</v>
      </c>
      <c r="F19" s="24">
        <f t="shared" si="1"/>
        <v>2.7529873459246346E-2</v>
      </c>
    </row>
    <row r="20" spans="1:11" ht="24" customHeight="1" x14ac:dyDescent="0.2">
      <c r="A20" s="21">
        <v>8</v>
      </c>
      <c r="B20" s="22" t="s">
        <v>23</v>
      </c>
      <c r="C20" s="23">
        <v>4951462</v>
      </c>
      <c r="D20" s="23">
        <v>4345929</v>
      </c>
      <c r="E20" s="23">
        <f t="shared" si="0"/>
        <v>-605533</v>
      </c>
      <c r="F20" s="24">
        <f t="shared" si="1"/>
        <v>-0.12229377908989304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69908525</v>
      </c>
      <c r="D22" s="27">
        <f>SUM(D13:D21)</f>
        <v>71146925</v>
      </c>
      <c r="E22" s="27">
        <f t="shared" si="0"/>
        <v>1238400</v>
      </c>
      <c r="F22" s="28">
        <f t="shared" si="1"/>
        <v>1.7714577728538829E-2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7003197</v>
      </c>
      <c r="D25" s="23">
        <v>6688165</v>
      </c>
      <c r="E25" s="23">
        <f>D25-C25</f>
        <v>-315032</v>
      </c>
      <c r="F25" s="24">
        <f>IF(C25=0,0,E25/C25)</f>
        <v>-4.4984026581002937E-2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4944754</v>
      </c>
      <c r="D26" s="23">
        <v>5900811</v>
      </c>
      <c r="E26" s="23">
        <f>D26-C26</f>
        <v>956057</v>
      </c>
      <c r="F26" s="24">
        <f>IF(C26=0,0,E26/C26)</f>
        <v>0.19334773782477349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11193777</v>
      </c>
      <c r="D27" s="23">
        <v>8891170</v>
      </c>
      <c r="E27" s="23">
        <f>D27-C27</f>
        <v>-2302607</v>
      </c>
      <c r="F27" s="24">
        <f>IF(C27=0,0,E27/C27)</f>
        <v>-0.20570420511325177</v>
      </c>
    </row>
    <row r="28" spans="1:11" ht="35.1" customHeight="1" x14ac:dyDescent="0.2">
      <c r="A28" s="21">
        <v>4</v>
      </c>
      <c r="B28" s="22" t="s">
        <v>31</v>
      </c>
      <c r="C28" s="23">
        <v>26462596</v>
      </c>
      <c r="D28" s="23">
        <v>25643372</v>
      </c>
      <c r="E28" s="23">
        <f>D28-C28</f>
        <v>-819224</v>
      </c>
      <c r="F28" s="24">
        <f>IF(C28=0,0,E28/C28)</f>
        <v>-3.0957809279180321E-2</v>
      </c>
    </row>
    <row r="29" spans="1:11" ht="35.1" customHeight="1" x14ac:dyDescent="0.25">
      <c r="A29" s="25"/>
      <c r="B29" s="26" t="s">
        <v>32</v>
      </c>
      <c r="C29" s="27">
        <f>SUM(C25:C28)</f>
        <v>49604324</v>
      </c>
      <c r="D29" s="27">
        <f>SUM(D25:D28)</f>
        <v>47123518</v>
      </c>
      <c r="E29" s="27">
        <f>D29-C29</f>
        <v>-2480806</v>
      </c>
      <c r="F29" s="28">
        <f>IF(C29=0,0,E29/C29)</f>
        <v>-5.0011890092484676E-2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34840136</v>
      </c>
      <c r="D32" s="23">
        <v>33914265</v>
      </c>
      <c r="E32" s="23">
        <f>D32-C32</f>
        <v>-925871</v>
      </c>
      <c r="F32" s="24">
        <f>IF(C32=0,0,E32/C32)</f>
        <v>-2.6574838858263929E-2</v>
      </c>
    </row>
    <row r="33" spans="1:8" ht="24" customHeight="1" x14ac:dyDescent="0.2">
      <c r="A33" s="21">
        <v>7</v>
      </c>
      <c r="B33" s="22" t="s">
        <v>35</v>
      </c>
      <c r="C33" s="23">
        <v>11623875</v>
      </c>
      <c r="D33" s="23">
        <v>13915384</v>
      </c>
      <c r="E33" s="23">
        <f>D33-C33</f>
        <v>2291509</v>
      </c>
      <c r="F33" s="24">
        <f>IF(C33=0,0,E33/C33)</f>
        <v>0.19713813164714866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290908003</v>
      </c>
      <c r="D36" s="23">
        <v>298818948</v>
      </c>
      <c r="E36" s="23">
        <f>D36-C36</f>
        <v>7910945</v>
      </c>
      <c r="F36" s="24">
        <f>IF(C36=0,0,E36/C36)</f>
        <v>2.7193975134468886E-2</v>
      </c>
    </row>
    <row r="37" spans="1:8" ht="24" customHeight="1" x14ac:dyDescent="0.2">
      <c r="A37" s="21">
        <v>2</v>
      </c>
      <c r="B37" s="22" t="s">
        <v>39</v>
      </c>
      <c r="C37" s="23">
        <v>194035440</v>
      </c>
      <c r="D37" s="23">
        <v>205118802</v>
      </c>
      <c r="E37" s="23">
        <f>D37-C37</f>
        <v>11083362</v>
      </c>
      <c r="F37" s="23">
        <f>IF(C37=0,0,E37/C37)</f>
        <v>5.7120297199315752E-2</v>
      </c>
    </row>
    <row r="38" spans="1:8" ht="24" customHeight="1" x14ac:dyDescent="0.25">
      <c r="A38" s="25"/>
      <c r="B38" s="26" t="s">
        <v>40</v>
      </c>
      <c r="C38" s="27">
        <f>C36-C37</f>
        <v>96872563</v>
      </c>
      <c r="D38" s="27">
        <f>D36-D37</f>
        <v>93700146</v>
      </c>
      <c r="E38" s="27">
        <f>D38-C38</f>
        <v>-3172417</v>
      </c>
      <c r="F38" s="28">
        <f>IF(C38=0,0,E38/C38)</f>
        <v>-3.2748354144403094E-2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487299</v>
      </c>
      <c r="D40" s="23">
        <v>2489451</v>
      </c>
      <c r="E40" s="23">
        <f>D40-C40</f>
        <v>2002152</v>
      </c>
      <c r="F40" s="24">
        <f>IF(C40=0,0,E40/C40)</f>
        <v>4.1086724988148964</v>
      </c>
    </row>
    <row r="41" spans="1:8" ht="24" customHeight="1" x14ac:dyDescent="0.25">
      <c r="A41" s="25"/>
      <c r="B41" s="26" t="s">
        <v>42</v>
      </c>
      <c r="C41" s="27">
        <f>+C38+C40</f>
        <v>97359862</v>
      </c>
      <c r="D41" s="27">
        <f>+D38+D40</f>
        <v>96189597</v>
      </c>
      <c r="E41" s="27">
        <f>D41-C41</f>
        <v>-1170265</v>
      </c>
      <c r="F41" s="28">
        <f>IF(C41=0,0,E41/C41)</f>
        <v>-1.2019994440830246E-2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263336722</v>
      </c>
      <c r="D43" s="27">
        <f>D22+D29+D31+D32+D33+D41</f>
        <v>262289689</v>
      </c>
      <c r="E43" s="27">
        <f>D43-C43</f>
        <v>-1047033</v>
      </c>
      <c r="F43" s="28">
        <f>IF(C43=0,0,E43/C43)</f>
        <v>-3.9760235186644425E-3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22292837</v>
      </c>
      <c r="D49" s="23">
        <v>20356213</v>
      </c>
      <c r="E49" s="23">
        <f t="shared" ref="E49:E56" si="2">D49-C49</f>
        <v>-1936624</v>
      </c>
      <c r="F49" s="24">
        <f t="shared" ref="F49:F56" si="3">IF(C49=0,0,E49/C49)</f>
        <v>-8.687202979145274E-2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3978870</v>
      </c>
      <c r="D50" s="23">
        <v>3261932</v>
      </c>
      <c r="E50" s="23">
        <f t="shared" si="2"/>
        <v>-716938</v>
      </c>
      <c r="F50" s="24">
        <f t="shared" si="3"/>
        <v>-0.18018633431099784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423893</v>
      </c>
      <c r="D51" s="23">
        <v>2104534</v>
      </c>
      <c r="E51" s="23">
        <f t="shared" si="2"/>
        <v>1680641</v>
      </c>
      <c r="F51" s="24">
        <f t="shared" si="3"/>
        <v>3.9647764884062724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9778518</v>
      </c>
      <c r="D53" s="23">
        <v>10595265</v>
      </c>
      <c r="E53" s="23">
        <f t="shared" si="2"/>
        <v>816747</v>
      </c>
      <c r="F53" s="24">
        <f t="shared" si="3"/>
        <v>8.3524619988427695E-2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2216000</v>
      </c>
      <c r="D54" s="23">
        <v>3329824</v>
      </c>
      <c r="E54" s="23">
        <f t="shared" si="2"/>
        <v>1113824</v>
      </c>
      <c r="F54" s="24">
        <f t="shared" si="3"/>
        <v>0.5026281588447653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11650449</v>
      </c>
      <c r="D55" s="23">
        <v>17030017</v>
      </c>
      <c r="E55" s="23">
        <f t="shared" si="2"/>
        <v>5379568</v>
      </c>
      <c r="F55" s="24">
        <f t="shared" si="3"/>
        <v>0.46174769744925709</v>
      </c>
    </row>
    <row r="56" spans="1:6" ht="24" customHeight="1" x14ac:dyDescent="0.25">
      <c r="A56" s="25"/>
      <c r="B56" s="26" t="s">
        <v>54</v>
      </c>
      <c r="C56" s="27">
        <f>SUM(C49:C55)</f>
        <v>50340567</v>
      </c>
      <c r="D56" s="27">
        <f>SUM(D49:D55)</f>
        <v>56677785</v>
      </c>
      <c r="E56" s="27">
        <f t="shared" si="2"/>
        <v>6337218</v>
      </c>
      <c r="F56" s="28">
        <f t="shared" si="3"/>
        <v>0.12588690151225354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77603579</v>
      </c>
      <c r="D59" s="23">
        <v>78175743</v>
      </c>
      <c r="E59" s="23">
        <f>D59-C59</f>
        <v>572164</v>
      </c>
      <c r="F59" s="24">
        <f>IF(C59=0,0,E59/C59)</f>
        <v>7.3729073758312096E-3</v>
      </c>
    </row>
    <row r="60" spans="1:6" ht="24" customHeight="1" x14ac:dyDescent="0.2">
      <c r="A60" s="21">
        <v>2</v>
      </c>
      <c r="B60" s="22" t="s">
        <v>57</v>
      </c>
      <c r="C60" s="23">
        <v>4129503</v>
      </c>
      <c r="D60" s="23">
        <v>8459422</v>
      </c>
      <c r="E60" s="23">
        <f>D60-C60</f>
        <v>4329919</v>
      </c>
      <c r="F60" s="24">
        <f>IF(C60=0,0,E60/C60)</f>
        <v>1.0485327168911125</v>
      </c>
    </row>
    <row r="61" spans="1:6" ht="24" customHeight="1" x14ac:dyDescent="0.25">
      <c r="A61" s="25"/>
      <c r="B61" s="26" t="s">
        <v>58</v>
      </c>
      <c r="C61" s="27">
        <f>SUM(C59:C60)</f>
        <v>81733082</v>
      </c>
      <c r="D61" s="27">
        <f>SUM(D59:D60)</f>
        <v>86635165</v>
      </c>
      <c r="E61" s="27">
        <f>D61-C61</f>
        <v>4902083</v>
      </c>
      <c r="F61" s="28">
        <f>IF(C61=0,0,E61/C61)</f>
        <v>5.9976730107889481E-2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51990994</v>
      </c>
      <c r="D63" s="23">
        <v>56772305</v>
      </c>
      <c r="E63" s="23">
        <f>D63-C63</f>
        <v>4781311</v>
      </c>
      <c r="F63" s="24">
        <f>IF(C63=0,0,E63/C63)</f>
        <v>9.1964215956325049E-2</v>
      </c>
    </row>
    <row r="64" spans="1:6" ht="24" customHeight="1" x14ac:dyDescent="0.2">
      <c r="A64" s="21">
        <v>4</v>
      </c>
      <c r="B64" s="22" t="s">
        <v>60</v>
      </c>
      <c r="C64" s="23">
        <v>7795597</v>
      </c>
      <c r="D64" s="23">
        <v>7042777</v>
      </c>
      <c r="E64" s="23">
        <f>D64-C64</f>
        <v>-752820</v>
      </c>
      <c r="F64" s="24">
        <f>IF(C64=0,0,E64/C64)</f>
        <v>-9.6569897084213055E-2</v>
      </c>
    </row>
    <row r="65" spans="1:6" ht="24" customHeight="1" x14ac:dyDescent="0.25">
      <c r="A65" s="25"/>
      <c r="B65" s="26" t="s">
        <v>61</v>
      </c>
      <c r="C65" s="27">
        <f>SUM(C61:C64)</f>
        <v>141519673</v>
      </c>
      <c r="D65" s="27">
        <f>SUM(D61:D64)</f>
        <v>150450247</v>
      </c>
      <c r="E65" s="27">
        <f>D65-C65</f>
        <v>8930574</v>
      </c>
      <c r="F65" s="28">
        <f>IF(C65=0,0,E65/C65)</f>
        <v>6.3104823595797874E-2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54654325</v>
      </c>
      <c r="D70" s="23">
        <v>41815956</v>
      </c>
      <c r="E70" s="23">
        <f>D70-C70</f>
        <v>-12838369</v>
      </c>
      <c r="F70" s="24">
        <f>IF(C70=0,0,E70/C70)</f>
        <v>-0.23490124523539538</v>
      </c>
    </row>
    <row r="71" spans="1:6" ht="24" customHeight="1" x14ac:dyDescent="0.2">
      <c r="A71" s="21">
        <v>2</v>
      </c>
      <c r="B71" s="22" t="s">
        <v>65</v>
      </c>
      <c r="C71" s="23">
        <v>5411388</v>
      </c>
      <c r="D71" s="23">
        <v>2249963</v>
      </c>
      <c r="E71" s="23">
        <f>D71-C71</f>
        <v>-3161425</v>
      </c>
      <c r="F71" s="24">
        <f>IF(C71=0,0,E71/C71)</f>
        <v>-0.58421702528075981</v>
      </c>
    </row>
    <row r="72" spans="1:6" ht="24" customHeight="1" x14ac:dyDescent="0.2">
      <c r="A72" s="21">
        <v>3</v>
      </c>
      <c r="B72" s="22" t="s">
        <v>66</v>
      </c>
      <c r="C72" s="23">
        <v>11410769</v>
      </c>
      <c r="D72" s="23">
        <v>11095738</v>
      </c>
      <c r="E72" s="23">
        <f>D72-C72</f>
        <v>-315031</v>
      </c>
      <c r="F72" s="24">
        <f>IF(C72=0,0,E72/C72)</f>
        <v>-2.7608218166540747E-2</v>
      </c>
    </row>
    <row r="73" spans="1:6" ht="24" customHeight="1" x14ac:dyDescent="0.25">
      <c r="A73" s="21"/>
      <c r="B73" s="26" t="s">
        <v>67</v>
      </c>
      <c r="C73" s="27">
        <f>SUM(C70:C72)</f>
        <v>71476482</v>
      </c>
      <c r="D73" s="27">
        <f>SUM(D70:D72)</f>
        <v>55161657</v>
      </c>
      <c r="E73" s="27">
        <f>D73-C73</f>
        <v>-16314825</v>
      </c>
      <c r="F73" s="28">
        <f>IF(C73=0,0,E73/C73)</f>
        <v>-0.22825444878498638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263336722</v>
      </c>
      <c r="D75" s="27">
        <f>D56+D65+D67+D73</f>
        <v>262289689</v>
      </c>
      <c r="E75" s="27">
        <f>D75-C75</f>
        <v>-1047033</v>
      </c>
      <c r="F75" s="28">
        <f>IF(C75=0,0,E75/C75)</f>
        <v>-3.9760235186644425E-3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FILING&amp;REASTERN CONNECTICUT HEALTH NETWORK,INC.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6" t="s">
        <v>477</v>
      </c>
      <c r="B1" s="697"/>
      <c r="C1" s="697"/>
      <c r="D1" s="697"/>
      <c r="E1" s="697"/>
      <c r="F1" s="698"/>
    </row>
    <row r="2" spans="1:8" ht="23.1" customHeight="1" x14ac:dyDescent="0.25">
      <c r="A2" s="696" t="s">
        <v>1</v>
      </c>
      <c r="B2" s="697"/>
      <c r="C2" s="697"/>
      <c r="D2" s="697"/>
      <c r="E2" s="697"/>
      <c r="F2" s="698"/>
    </row>
    <row r="3" spans="1:8" ht="23.1" customHeight="1" x14ac:dyDescent="0.25">
      <c r="A3" s="696" t="s">
        <v>2</v>
      </c>
      <c r="B3" s="697"/>
      <c r="C3" s="697"/>
      <c r="D3" s="697"/>
      <c r="E3" s="697"/>
      <c r="F3" s="698"/>
    </row>
    <row r="4" spans="1:8" ht="23.1" customHeight="1" x14ac:dyDescent="0.25">
      <c r="A4" s="696" t="s">
        <v>479</v>
      </c>
      <c r="B4" s="697"/>
      <c r="C4" s="697"/>
      <c r="D4" s="697"/>
      <c r="E4" s="697"/>
      <c r="F4" s="69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634778869</v>
      </c>
      <c r="D12" s="51">
        <v>638835375</v>
      </c>
      <c r="E12" s="51">
        <f t="shared" ref="E12:E19" si="0">D12-C12</f>
        <v>4056506</v>
      </c>
      <c r="F12" s="70">
        <f t="shared" ref="F12:F19" si="1">IF(C12=0,0,E12/C12)</f>
        <v>6.3904238122961211E-3</v>
      </c>
    </row>
    <row r="13" spans="1:8" ht="23.1" customHeight="1" x14ac:dyDescent="0.2">
      <c r="A13" s="25">
        <v>2</v>
      </c>
      <c r="B13" s="48" t="s">
        <v>72</v>
      </c>
      <c r="C13" s="51">
        <v>368952121</v>
      </c>
      <c r="D13" s="51">
        <v>371826407</v>
      </c>
      <c r="E13" s="51">
        <f t="shared" si="0"/>
        <v>2874286</v>
      </c>
      <c r="F13" s="70">
        <f t="shared" si="1"/>
        <v>7.7904037852109271E-3</v>
      </c>
    </row>
    <row r="14" spans="1:8" ht="23.1" customHeight="1" x14ac:dyDescent="0.2">
      <c r="A14" s="25">
        <v>3</v>
      </c>
      <c r="B14" s="48" t="s">
        <v>73</v>
      </c>
      <c r="C14" s="51">
        <v>3008857</v>
      </c>
      <c r="D14" s="51">
        <v>5660092</v>
      </c>
      <c r="E14" s="51">
        <f t="shared" si="0"/>
        <v>2651235</v>
      </c>
      <c r="F14" s="70">
        <f t="shared" si="1"/>
        <v>0.88114357046546243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262817891</v>
      </c>
      <c r="D16" s="27">
        <f>D12-D13-D14-D15</f>
        <v>261348876</v>
      </c>
      <c r="E16" s="27">
        <f t="shared" si="0"/>
        <v>-1469015</v>
      </c>
      <c r="F16" s="28">
        <f t="shared" si="1"/>
        <v>-5.5894786858326929E-3</v>
      </c>
    </row>
    <row r="17" spans="1:7" ht="23.1" customHeight="1" x14ac:dyDescent="0.2">
      <c r="A17" s="25">
        <v>5</v>
      </c>
      <c r="B17" s="48" t="s">
        <v>76</v>
      </c>
      <c r="C17" s="51">
        <v>17287740</v>
      </c>
      <c r="D17" s="51">
        <v>18840186</v>
      </c>
      <c r="E17" s="51">
        <f t="shared" si="0"/>
        <v>1552446</v>
      </c>
      <c r="F17" s="70">
        <f t="shared" si="1"/>
        <v>8.9800401903314134E-2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539109</v>
      </c>
      <c r="D18" s="51">
        <v>801123</v>
      </c>
      <c r="E18" s="51">
        <f t="shared" si="0"/>
        <v>262014</v>
      </c>
      <c r="F18" s="70">
        <f t="shared" si="1"/>
        <v>0.48601303261492573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280644740</v>
      </c>
      <c r="D19" s="27">
        <f>SUM(D16:D18)</f>
        <v>280990185</v>
      </c>
      <c r="E19" s="27">
        <f t="shared" si="0"/>
        <v>345445</v>
      </c>
      <c r="F19" s="28">
        <f t="shared" si="1"/>
        <v>1.2308978247730566E-3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131341594</v>
      </c>
      <c r="D22" s="51">
        <v>134218139</v>
      </c>
      <c r="E22" s="51">
        <f t="shared" ref="E22:E31" si="2">D22-C22</f>
        <v>2876545</v>
      </c>
      <c r="F22" s="70">
        <f t="shared" ref="F22:F31" si="3">IF(C22=0,0,E22/C22)</f>
        <v>2.1901249348321446E-2</v>
      </c>
    </row>
    <row r="23" spans="1:7" ht="23.1" customHeight="1" x14ac:dyDescent="0.2">
      <c r="A23" s="25">
        <v>2</v>
      </c>
      <c r="B23" s="48" t="s">
        <v>81</v>
      </c>
      <c r="C23" s="51">
        <v>32963007</v>
      </c>
      <c r="D23" s="51">
        <v>35696855</v>
      </c>
      <c r="E23" s="51">
        <f t="shared" si="2"/>
        <v>2733848</v>
      </c>
      <c r="F23" s="70">
        <f t="shared" si="3"/>
        <v>8.2936850997847381E-2</v>
      </c>
    </row>
    <row r="24" spans="1:7" ht="23.1" customHeight="1" x14ac:dyDescent="0.2">
      <c r="A24" s="25">
        <v>3</v>
      </c>
      <c r="B24" s="48" t="s">
        <v>82</v>
      </c>
      <c r="C24" s="51">
        <v>9010309</v>
      </c>
      <c r="D24" s="51">
        <v>10277908</v>
      </c>
      <c r="E24" s="51">
        <f t="shared" si="2"/>
        <v>1267599</v>
      </c>
      <c r="F24" s="70">
        <f t="shared" si="3"/>
        <v>0.14068318855657447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36249132</v>
      </c>
      <c r="D25" s="51">
        <v>35184525</v>
      </c>
      <c r="E25" s="51">
        <f t="shared" si="2"/>
        <v>-1064607</v>
      </c>
      <c r="F25" s="70">
        <f t="shared" si="3"/>
        <v>-2.9369172205282047E-2</v>
      </c>
    </row>
    <row r="26" spans="1:7" ht="23.1" customHeight="1" x14ac:dyDescent="0.2">
      <c r="A26" s="25">
        <v>5</v>
      </c>
      <c r="B26" s="48" t="s">
        <v>84</v>
      </c>
      <c r="C26" s="51">
        <v>12555983</v>
      </c>
      <c r="D26" s="51">
        <v>11898918</v>
      </c>
      <c r="E26" s="51">
        <f t="shared" si="2"/>
        <v>-657065</v>
      </c>
      <c r="F26" s="70">
        <f t="shared" si="3"/>
        <v>-5.233082905575772E-2</v>
      </c>
    </row>
    <row r="27" spans="1:7" ht="23.1" customHeight="1" x14ac:dyDescent="0.2">
      <c r="A27" s="25">
        <v>6</v>
      </c>
      <c r="B27" s="48" t="s">
        <v>85</v>
      </c>
      <c r="C27" s="51">
        <v>11481356</v>
      </c>
      <c r="D27" s="51">
        <v>11106480</v>
      </c>
      <c r="E27" s="51">
        <f t="shared" si="2"/>
        <v>-374876</v>
      </c>
      <c r="F27" s="70">
        <f t="shared" si="3"/>
        <v>-3.2650847164742564E-2</v>
      </c>
    </row>
    <row r="28" spans="1:7" ht="23.1" customHeight="1" x14ac:dyDescent="0.2">
      <c r="A28" s="25">
        <v>7</v>
      </c>
      <c r="B28" s="48" t="s">
        <v>86</v>
      </c>
      <c r="C28" s="51">
        <v>4489986</v>
      </c>
      <c r="D28" s="51">
        <v>4224420</v>
      </c>
      <c r="E28" s="51">
        <f t="shared" si="2"/>
        <v>-265566</v>
      </c>
      <c r="F28" s="70">
        <f t="shared" si="3"/>
        <v>-5.9146286870382224E-2</v>
      </c>
    </row>
    <row r="29" spans="1:7" ht="23.1" customHeight="1" x14ac:dyDescent="0.2">
      <c r="A29" s="25">
        <v>8</v>
      </c>
      <c r="B29" s="48" t="s">
        <v>87</v>
      </c>
      <c r="C29" s="51">
        <v>3192627</v>
      </c>
      <c r="D29" s="51">
        <v>2961029</v>
      </c>
      <c r="E29" s="51">
        <f t="shared" si="2"/>
        <v>-231598</v>
      </c>
      <c r="F29" s="70">
        <f t="shared" si="3"/>
        <v>-7.2541515184830554E-2</v>
      </c>
    </row>
    <row r="30" spans="1:7" ht="23.1" customHeight="1" x14ac:dyDescent="0.2">
      <c r="A30" s="25">
        <v>9</v>
      </c>
      <c r="B30" s="48" t="s">
        <v>88</v>
      </c>
      <c r="C30" s="51">
        <v>32822418</v>
      </c>
      <c r="D30" s="51">
        <v>35379234</v>
      </c>
      <c r="E30" s="51">
        <f t="shared" si="2"/>
        <v>2556816</v>
      </c>
      <c r="F30" s="70">
        <f t="shared" si="3"/>
        <v>7.7898465615787352E-2</v>
      </c>
    </row>
    <row r="31" spans="1:7" ht="23.1" customHeight="1" x14ac:dyDescent="0.25">
      <c r="A31" s="29"/>
      <c r="B31" s="71" t="s">
        <v>89</v>
      </c>
      <c r="C31" s="27">
        <f>SUM(C22:C30)</f>
        <v>274106412</v>
      </c>
      <c r="D31" s="27">
        <f>SUM(D22:D30)</f>
        <v>280947508</v>
      </c>
      <c r="E31" s="27">
        <f t="shared" si="2"/>
        <v>6841096</v>
      </c>
      <c r="F31" s="28">
        <f t="shared" si="3"/>
        <v>2.4957810910311722E-2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6538328</v>
      </c>
      <c r="D33" s="27">
        <f>+D19-D31</f>
        <v>42677</v>
      </c>
      <c r="E33" s="27">
        <f>D33-C33</f>
        <v>-6495651</v>
      </c>
      <c r="F33" s="28">
        <f>IF(C33=0,0,E33/C33)</f>
        <v>-0.99347279610322392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31935</v>
      </c>
      <c r="D36" s="51">
        <v>64607</v>
      </c>
      <c r="E36" s="51">
        <f>D36-C36</f>
        <v>32672</v>
      </c>
      <c r="F36" s="70">
        <f>IF(C36=0,0,E36/C36)</f>
        <v>1.0230781274463754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-1817438</v>
      </c>
      <c r="D38" s="51">
        <v>-1406203</v>
      </c>
      <c r="E38" s="51">
        <f>D38-C38</f>
        <v>411235</v>
      </c>
      <c r="F38" s="70">
        <f>IF(C38=0,0,E38/C38)</f>
        <v>-0.22627181780066224</v>
      </c>
    </row>
    <row r="39" spans="1:6" ht="23.1" customHeight="1" x14ac:dyDescent="0.25">
      <c r="A39" s="20"/>
      <c r="B39" s="71" t="s">
        <v>95</v>
      </c>
      <c r="C39" s="27">
        <f>SUM(C36:C38)</f>
        <v>-1785503</v>
      </c>
      <c r="D39" s="27">
        <f>SUM(D36:D38)</f>
        <v>-1341596</v>
      </c>
      <c r="E39" s="27">
        <f>D39-C39</f>
        <v>443907</v>
      </c>
      <c r="F39" s="28">
        <f>IF(C39=0,0,E39/C39)</f>
        <v>-0.24861733640324324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4752825</v>
      </c>
      <c r="D41" s="27">
        <f>D33+D39</f>
        <v>-1298919</v>
      </c>
      <c r="E41" s="27">
        <f>D41-C41</f>
        <v>-6051744</v>
      </c>
      <c r="F41" s="28">
        <f>IF(C41=0,0,E41/C41)</f>
        <v>-1.2732940935128056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4752825</v>
      </c>
      <c r="D48" s="27">
        <f>D41+D46</f>
        <v>-1298919</v>
      </c>
      <c r="E48" s="27">
        <f>D48-C48</f>
        <v>-6051744</v>
      </c>
      <c r="F48" s="28">
        <f>IF(C48=0,0,E48/C48)</f>
        <v>-1.2732940935128056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2012-06-28T15:44:40Z</cp:lastPrinted>
  <dcterms:created xsi:type="dcterms:W3CDTF">2006-08-03T13:49:12Z</dcterms:created>
  <dcterms:modified xsi:type="dcterms:W3CDTF">2012-06-28T15:44:45Z</dcterms:modified>
</cp:coreProperties>
</file>