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67" i="14"/>
  <c r="D198" i="14"/>
  <c r="D274" i="14"/>
  <c r="D191" i="14"/>
  <c r="D189" i="14"/>
  <c r="D188" i="14"/>
  <c r="D214" i="14"/>
  <c r="D180" i="14"/>
  <c r="D179" i="14"/>
  <c r="D171" i="14"/>
  <c r="D172" i="14"/>
  <c r="D170" i="14"/>
  <c r="D165" i="14"/>
  <c r="D164" i="14"/>
  <c r="D158" i="14"/>
  <c r="D159" i="14"/>
  <c r="D155" i="14"/>
  <c r="D145" i="14"/>
  <c r="D144" i="14"/>
  <c r="D137" i="14"/>
  <c r="D136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D102" i="19"/>
  <c r="C83" i="19"/>
  <c r="C101" i="19"/>
  <c r="E76" i="19"/>
  <c r="D76" i="19"/>
  <c r="C76" i="19"/>
  <c r="E75" i="19"/>
  <c r="E77" i="19"/>
  <c r="D75" i="19"/>
  <c r="D77" i="19"/>
  <c r="C75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4" i="19"/>
  <c r="C12" i="19"/>
  <c r="D21" i="18"/>
  <c r="E21" i="18"/>
  <c r="F21" i="18"/>
  <c r="C21" i="18"/>
  <c r="D19" i="18"/>
  <c r="C19" i="18"/>
  <c r="E17" i="18"/>
  <c r="F17" i="18"/>
  <c r="E15" i="18"/>
  <c r="F15" i="18"/>
  <c r="D45" i="17"/>
  <c r="E45" i="17"/>
  <c r="C45" i="17"/>
  <c r="D44" i="17"/>
  <c r="C44" i="17"/>
  <c r="D43" i="17"/>
  <c r="D46" i="17"/>
  <c r="C43" i="17"/>
  <c r="D36" i="17"/>
  <c r="D40" i="17"/>
  <c r="C36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C19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36" i="16"/>
  <c r="C32" i="16"/>
  <c r="C33" i="16"/>
  <c r="C21" i="16"/>
  <c r="C37" i="16"/>
  <c r="E328" i="15"/>
  <c r="E325" i="15"/>
  <c r="D324" i="15"/>
  <c r="D326" i="15"/>
  <c r="D330" i="15"/>
  <c r="C324" i="15"/>
  <c r="E324" i="15"/>
  <c r="E318" i="15"/>
  <c r="E315" i="15"/>
  <c r="D314" i="15"/>
  <c r="E314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C292" i="15"/>
  <c r="E292" i="15"/>
  <c r="D291" i="15"/>
  <c r="E291" i="15"/>
  <c r="C291" i="15"/>
  <c r="D290" i="15"/>
  <c r="C290" i="15"/>
  <c r="E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C280" i="15"/>
  <c r="E280" i="15"/>
  <c r="D279" i="15"/>
  <c r="E279" i="15"/>
  <c r="C279" i="15"/>
  <c r="D278" i="15"/>
  <c r="C278" i="15"/>
  <c r="E278" i="15"/>
  <c r="D277" i="15"/>
  <c r="E277" i="15"/>
  <c r="C277" i="15"/>
  <c r="D276" i="15"/>
  <c r="C276" i="15"/>
  <c r="E276" i="15"/>
  <c r="E270" i="15"/>
  <c r="D265" i="15"/>
  <c r="E265" i="15"/>
  <c r="C265" i="15"/>
  <c r="C302" i="15"/>
  <c r="C303" i="15"/>
  <c r="C306" i="15"/>
  <c r="C310" i="15"/>
  <c r="D262" i="15"/>
  <c r="C262" i="15"/>
  <c r="E262" i="15"/>
  <c r="D251" i="15"/>
  <c r="C251" i="15"/>
  <c r="E251" i="15"/>
  <c r="D233" i="15"/>
  <c r="D253" i="15"/>
  <c r="E253" i="15"/>
  <c r="C233" i="15"/>
  <c r="E233" i="15"/>
  <c r="C253" i="15"/>
  <c r="D232" i="15"/>
  <c r="E232" i="15"/>
  <c r="C232" i="15"/>
  <c r="D231" i="15"/>
  <c r="C231" i="15"/>
  <c r="E231" i="15"/>
  <c r="D230" i="15"/>
  <c r="E230" i="15"/>
  <c r="C230" i="15"/>
  <c r="D228" i="15"/>
  <c r="E228" i="15"/>
  <c r="C228" i="15"/>
  <c r="D227" i="15"/>
  <c r="E227" i="15"/>
  <c r="C227" i="15"/>
  <c r="D221" i="15"/>
  <c r="E221" i="15"/>
  <c r="C221" i="15"/>
  <c r="C245" i="15"/>
  <c r="D220" i="15"/>
  <c r="D244" i="15"/>
  <c r="E244" i="15"/>
  <c r="C220" i="15"/>
  <c r="C244" i="15"/>
  <c r="D219" i="15"/>
  <c r="E219" i="15"/>
  <c r="C219" i="15"/>
  <c r="C243" i="15"/>
  <c r="D218" i="15"/>
  <c r="E218" i="15"/>
  <c r="C218" i="15"/>
  <c r="C217" i="15"/>
  <c r="D216" i="15"/>
  <c r="D240" i="15"/>
  <c r="C216" i="15"/>
  <c r="C222" i="15"/>
  <c r="C223" i="15"/>
  <c r="D215" i="15"/>
  <c r="E215" i="15"/>
  <c r="C215" i="15"/>
  <c r="C239" i="15"/>
  <c r="E209" i="15"/>
  <c r="E208" i="15"/>
  <c r="E207" i="15"/>
  <c r="E206" i="15"/>
  <c r="D205" i="15"/>
  <c r="D229" i="15"/>
  <c r="C205" i="15"/>
  <c r="C229" i="15"/>
  <c r="E204" i="15"/>
  <c r="E203" i="15"/>
  <c r="E197" i="15"/>
  <c r="E196" i="15"/>
  <c r="D195" i="15"/>
  <c r="C195" i="15"/>
  <c r="C260" i="15"/>
  <c r="E194" i="15"/>
  <c r="E193" i="15"/>
  <c r="E192" i="15"/>
  <c r="E191" i="15"/>
  <c r="E190" i="15"/>
  <c r="D188" i="15"/>
  <c r="D261" i="15"/>
  <c r="C188" i="15"/>
  <c r="E188" i="15"/>
  <c r="E186" i="15"/>
  <c r="E185" i="15"/>
  <c r="D179" i="15"/>
  <c r="E179" i="15"/>
  <c r="C179" i="15"/>
  <c r="D178" i="15"/>
  <c r="C178" i="15"/>
  <c r="E178" i="15"/>
  <c r="D177" i="15"/>
  <c r="E177" i="15"/>
  <c r="C177" i="15"/>
  <c r="D176" i="15"/>
  <c r="C176" i="15"/>
  <c r="E176" i="15"/>
  <c r="D174" i="15"/>
  <c r="C174" i="15"/>
  <c r="E174" i="15"/>
  <c r="D173" i="15"/>
  <c r="E173" i="15"/>
  <c r="C173" i="15"/>
  <c r="D167" i="15"/>
  <c r="C167" i="15"/>
  <c r="E167" i="15"/>
  <c r="D166" i="15"/>
  <c r="E166" i="15"/>
  <c r="C166" i="15"/>
  <c r="D165" i="15"/>
  <c r="C165" i="15"/>
  <c r="E165" i="15"/>
  <c r="D164" i="15"/>
  <c r="E164" i="15"/>
  <c r="C164" i="15"/>
  <c r="D162" i="15"/>
  <c r="E162" i="15"/>
  <c r="C162" i="15"/>
  <c r="D161" i="15"/>
  <c r="E161" i="15"/>
  <c r="C161" i="15"/>
  <c r="C156" i="15"/>
  <c r="C157" i="15"/>
  <c r="E155" i="15"/>
  <c r="E154" i="15"/>
  <c r="E153" i="15"/>
  <c r="E152" i="15"/>
  <c r="D151" i="15"/>
  <c r="C151" i="15"/>
  <c r="E150" i="15"/>
  <c r="E149" i="15"/>
  <c r="E143" i="15"/>
  <c r="E142" i="15"/>
  <c r="E141" i="15"/>
  <c r="E140" i="15"/>
  <c r="D139" i="15"/>
  <c r="D144" i="15"/>
  <c r="C139" i="15"/>
  <c r="C163" i="15"/>
  <c r="E138" i="15"/>
  <c r="E137" i="15"/>
  <c r="D75" i="15"/>
  <c r="E75" i="15"/>
  <c r="C75" i="15"/>
  <c r="D74" i="15"/>
  <c r="C74" i="15"/>
  <c r="E74" i="15"/>
  <c r="D73" i="15"/>
  <c r="E73" i="15"/>
  <c r="C73" i="15"/>
  <c r="D72" i="15"/>
  <c r="C72" i="15"/>
  <c r="E72" i="15"/>
  <c r="D71" i="15"/>
  <c r="D70" i="15"/>
  <c r="C70" i="15"/>
  <c r="D69" i="15"/>
  <c r="E69" i="15"/>
  <c r="C69" i="15"/>
  <c r="D65" i="15"/>
  <c r="E64" i="15"/>
  <c r="E63" i="15"/>
  <c r="E62" i="15"/>
  <c r="E61" i="15"/>
  <c r="D60" i="15"/>
  <c r="D289" i="15"/>
  <c r="C60" i="15"/>
  <c r="E60" i="15"/>
  <c r="E59" i="15"/>
  <c r="E58" i="15"/>
  <c r="D55" i="15"/>
  <c r="D54" i="15"/>
  <c r="C54" i="15"/>
  <c r="E54" i="15"/>
  <c r="E53" i="15"/>
  <c r="E52" i="15"/>
  <c r="E51" i="15"/>
  <c r="E50" i="15"/>
  <c r="E49" i="15"/>
  <c r="E48" i="15"/>
  <c r="E47" i="15"/>
  <c r="D42" i="15"/>
  <c r="C42" i="15"/>
  <c r="E42" i="15"/>
  <c r="D41" i="15"/>
  <c r="C41" i="15"/>
  <c r="D40" i="15"/>
  <c r="C40" i="15"/>
  <c r="E40" i="15"/>
  <c r="D39" i="15"/>
  <c r="C39" i="15"/>
  <c r="D38" i="15"/>
  <c r="C38" i="15"/>
  <c r="E38" i="15"/>
  <c r="D37" i="15"/>
  <c r="C37" i="15"/>
  <c r="C43" i="15"/>
  <c r="D36" i="15"/>
  <c r="C36" i="15"/>
  <c r="E36" i="15"/>
  <c r="D32" i="15"/>
  <c r="D294" i="15"/>
  <c r="C32" i="15"/>
  <c r="C33" i="15"/>
  <c r="E31" i="15"/>
  <c r="E30" i="15"/>
  <c r="E29" i="15"/>
  <c r="E28" i="15"/>
  <c r="E27" i="15"/>
  <c r="E26" i="15"/>
  <c r="E25" i="15"/>
  <c r="D21" i="15"/>
  <c r="D283" i="15"/>
  <c r="C21" i="15"/>
  <c r="C22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11" i="14"/>
  <c r="E308" i="14"/>
  <c r="F308" i="14"/>
  <c r="C307" i="14"/>
  <c r="E307" i="14"/>
  <c r="C299" i="14"/>
  <c r="C298" i="14"/>
  <c r="E298" i="14"/>
  <c r="C297" i="14"/>
  <c r="E297" i="14"/>
  <c r="F297" i="14"/>
  <c r="C296" i="14"/>
  <c r="C295" i="14"/>
  <c r="E294" i="14"/>
  <c r="C294" i="14"/>
  <c r="C250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E237" i="14"/>
  <c r="C237" i="14"/>
  <c r="F234" i="14"/>
  <c r="E234" i="14"/>
  <c r="F233" i="14"/>
  <c r="E233" i="14"/>
  <c r="C230" i="14"/>
  <c r="C229" i="14"/>
  <c r="E229" i="14"/>
  <c r="F229" i="14"/>
  <c r="E228" i="14"/>
  <c r="F228" i="14"/>
  <c r="C227" i="14"/>
  <c r="C226" i="14"/>
  <c r="E226" i="14"/>
  <c r="F226" i="14"/>
  <c r="E225" i="14"/>
  <c r="F225" i="14"/>
  <c r="E224" i="14"/>
  <c r="F224" i="14"/>
  <c r="C223" i="14"/>
  <c r="E223" i="14"/>
  <c r="E222" i="14"/>
  <c r="F222" i="14"/>
  <c r="E221" i="14"/>
  <c r="F221" i="14"/>
  <c r="C204" i="14"/>
  <c r="C203" i="14"/>
  <c r="E203" i="14"/>
  <c r="C198" i="14"/>
  <c r="E198" i="14"/>
  <c r="C191" i="14"/>
  <c r="C189" i="14"/>
  <c r="E189" i="14"/>
  <c r="C188" i="14"/>
  <c r="E188" i="14"/>
  <c r="C180" i="14"/>
  <c r="E180" i="14"/>
  <c r="C179" i="14"/>
  <c r="C171" i="14"/>
  <c r="C172" i="14"/>
  <c r="C173" i="14"/>
  <c r="E170" i="14"/>
  <c r="C170" i="14"/>
  <c r="E169" i="14"/>
  <c r="F169" i="14"/>
  <c r="E168" i="14"/>
  <c r="F168" i="14"/>
  <c r="C165" i="14"/>
  <c r="E165" i="14"/>
  <c r="C164" i="14"/>
  <c r="E164" i="14"/>
  <c r="E163" i="14"/>
  <c r="F163" i="14"/>
  <c r="E158" i="14"/>
  <c r="C158" i="14"/>
  <c r="E157" i="14"/>
  <c r="F157" i="14"/>
  <c r="E156" i="14"/>
  <c r="F156" i="14"/>
  <c r="C155" i="14"/>
  <c r="E154" i="14"/>
  <c r="F154" i="14"/>
  <c r="E153" i="14"/>
  <c r="F153" i="14"/>
  <c r="C145" i="14"/>
  <c r="E145" i="14"/>
  <c r="C144" i="14"/>
  <c r="C146" i="14"/>
  <c r="C136" i="14"/>
  <c r="E136" i="14"/>
  <c r="C135" i="14"/>
  <c r="E135" i="14"/>
  <c r="E134" i="14"/>
  <c r="F134" i="14"/>
  <c r="E133" i="14"/>
  <c r="F133" i="14"/>
  <c r="C130" i="14"/>
  <c r="E130" i="14"/>
  <c r="C129" i="14"/>
  <c r="E129" i="14"/>
  <c r="E128" i="14"/>
  <c r="F128" i="14"/>
  <c r="C123" i="14"/>
  <c r="C124" i="14"/>
  <c r="E122" i="14"/>
  <c r="F122" i="14"/>
  <c r="E121" i="14"/>
  <c r="F121" i="14"/>
  <c r="E120" i="14"/>
  <c r="C120" i="14"/>
  <c r="F119" i="14"/>
  <c r="E119" i="14"/>
  <c r="F118" i="14"/>
  <c r="E118" i="14"/>
  <c r="C110" i="14"/>
  <c r="E110" i="14"/>
  <c r="C109" i="14"/>
  <c r="C101" i="14"/>
  <c r="E101" i="14"/>
  <c r="C100" i="14"/>
  <c r="E100" i="14"/>
  <c r="F99" i="14"/>
  <c r="E99" i="14"/>
  <c r="E98" i="14"/>
  <c r="F98" i="14"/>
  <c r="C95" i="14"/>
  <c r="E95" i="14"/>
  <c r="F95" i="14"/>
  <c r="C94" i="14"/>
  <c r="E94" i="14"/>
  <c r="E93" i="14"/>
  <c r="F93" i="14"/>
  <c r="C88" i="14"/>
  <c r="E87" i="14"/>
  <c r="F87" i="14"/>
  <c r="E86" i="14"/>
  <c r="F86" i="14"/>
  <c r="C85" i="14"/>
  <c r="E85" i="14"/>
  <c r="F84" i="14"/>
  <c r="E84" i="14"/>
  <c r="E83" i="14"/>
  <c r="F83" i="14"/>
  <c r="C76" i="14"/>
  <c r="C77" i="14"/>
  <c r="E77" i="14"/>
  <c r="F74" i="14"/>
  <c r="E74" i="14"/>
  <c r="F73" i="14"/>
  <c r="E73" i="14"/>
  <c r="C67" i="14"/>
  <c r="C66" i="14"/>
  <c r="C68" i="14"/>
  <c r="C59" i="14"/>
  <c r="E59" i="14"/>
  <c r="C58" i="14"/>
  <c r="E58" i="14"/>
  <c r="E57" i="14"/>
  <c r="F57" i="14"/>
  <c r="E56" i="14"/>
  <c r="F56" i="14"/>
  <c r="C53" i="14"/>
  <c r="E53" i="14"/>
  <c r="F52" i="14"/>
  <c r="C52" i="14"/>
  <c r="E52" i="14"/>
  <c r="E51" i="14"/>
  <c r="F51" i="14"/>
  <c r="E47" i="14"/>
  <c r="C47" i="14"/>
  <c r="C48" i="14"/>
  <c r="F46" i="14"/>
  <c r="E46" i="14"/>
  <c r="F45" i="14"/>
  <c r="E45" i="14"/>
  <c r="C44" i="14"/>
  <c r="E44" i="14"/>
  <c r="E43" i="14"/>
  <c r="F43" i="14"/>
  <c r="E42" i="14"/>
  <c r="F42" i="14"/>
  <c r="C36" i="14"/>
  <c r="E36" i="14"/>
  <c r="E35" i="14"/>
  <c r="C35" i="14"/>
  <c r="C30" i="14"/>
  <c r="E30" i="14"/>
  <c r="E29" i="14"/>
  <c r="C29" i="14"/>
  <c r="F29" i="14"/>
  <c r="E28" i="14"/>
  <c r="F28" i="14"/>
  <c r="E27" i="14"/>
  <c r="F27" i="14"/>
  <c r="C24" i="14"/>
  <c r="E24" i="14"/>
  <c r="C23" i="14"/>
  <c r="E23" i="14"/>
  <c r="F23" i="14"/>
  <c r="F22" i="14"/>
  <c r="E22" i="14"/>
  <c r="C21" i="14"/>
  <c r="C20" i="14"/>
  <c r="E20" i="14"/>
  <c r="F20" i="14"/>
  <c r="E19" i="14"/>
  <c r="F19" i="14"/>
  <c r="E18" i="14"/>
  <c r="F18" i="14"/>
  <c r="C17" i="14"/>
  <c r="E17" i="14"/>
  <c r="F17" i="14"/>
  <c r="E16" i="14"/>
  <c r="F16" i="14"/>
  <c r="E15" i="14"/>
  <c r="F15" i="14"/>
  <c r="D23" i="13"/>
  <c r="C23" i="13"/>
  <c r="E23" i="13"/>
  <c r="E22" i="13"/>
  <c r="F22" i="13"/>
  <c r="E21" i="13"/>
  <c r="F21" i="13"/>
  <c r="D18" i="13"/>
  <c r="C18" i="13"/>
  <c r="E18" i="13"/>
  <c r="E17" i="13"/>
  <c r="F17" i="13"/>
  <c r="D14" i="13"/>
  <c r="E14" i="13"/>
  <c r="F14" i="13"/>
  <c r="C14" i="13"/>
  <c r="E13" i="13"/>
  <c r="F13" i="13"/>
  <c r="E12" i="13"/>
  <c r="F12" i="13"/>
  <c r="D99" i="12"/>
  <c r="C99" i="12"/>
  <c r="E98" i="12"/>
  <c r="F98" i="12"/>
  <c r="E97" i="12"/>
  <c r="F97" i="12"/>
  <c r="E96" i="12"/>
  <c r="F96" i="12"/>
  <c r="D92" i="12"/>
  <c r="C92" i="12"/>
  <c r="E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F83" i="12"/>
  <c r="E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C55" i="12"/>
  <c r="F54" i="12"/>
  <c r="E54" i="12"/>
  <c r="E53" i="12"/>
  <c r="F53" i="12"/>
  <c r="D50" i="12"/>
  <c r="C50" i="12"/>
  <c r="E49" i="12"/>
  <c r="F49" i="12"/>
  <c r="E48" i="12"/>
  <c r="F48" i="12"/>
  <c r="D45" i="12"/>
  <c r="C45" i="12"/>
  <c r="E44" i="12"/>
  <c r="F44" i="12"/>
  <c r="E43" i="12"/>
  <c r="F43" i="12"/>
  <c r="D37" i="12"/>
  <c r="E37" i="12"/>
  <c r="C37" i="12"/>
  <c r="F37" i="12"/>
  <c r="F36" i="12"/>
  <c r="E36" i="12"/>
  <c r="F35" i="12"/>
  <c r="E35" i="12"/>
  <c r="E34" i="12"/>
  <c r="F34" i="12"/>
  <c r="E33" i="12"/>
  <c r="F33" i="12"/>
  <c r="D30" i="12"/>
  <c r="C30" i="12"/>
  <c r="E30" i="12"/>
  <c r="F29" i="12"/>
  <c r="E29" i="12"/>
  <c r="F28" i="12"/>
  <c r="E28" i="12"/>
  <c r="F27" i="12"/>
  <c r="E27" i="12"/>
  <c r="F26" i="12"/>
  <c r="E26" i="12"/>
  <c r="D23" i="12"/>
  <c r="E23" i="12"/>
  <c r="F23" i="12"/>
  <c r="C23" i="12"/>
  <c r="F22" i="12"/>
  <c r="E22" i="12"/>
  <c r="E21" i="12"/>
  <c r="F21" i="12"/>
  <c r="E20" i="12"/>
  <c r="F20" i="12"/>
  <c r="E19" i="12"/>
  <c r="F19" i="12"/>
  <c r="D16" i="12"/>
  <c r="C16" i="12"/>
  <c r="E16" i="12"/>
  <c r="F15" i="12"/>
  <c r="E15" i="12"/>
  <c r="E14" i="12"/>
  <c r="F14" i="12"/>
  <c r="E13" i="12"/>
  <c r="F13" i="12"/>
  <c r="E12" i="12"/>
  <c r="F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I17" i="11"/>
  <c r="F17" i="11"/>
  <c r="F31" i="11"/>
  <c r="F33" i="11"/>
  <c r="E17" i="11"/>
  <c r="E31" i="11"/>
  <c r="D17" i="11"/>
  <c r="D31" i="11"/>
  <c r="D33" i="11"/>
  <c r="D36" i="11"/>
  <c r="D38" i="11"/>
  <c r="D40" i="11"/>
  <c r="C17" i="11"/>
  <c r="H17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D75" i="10"/>
  <c r="E73" i="10"/>
  <c r="E75" i="10"/>
  <c r="D73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C55" i="10"/>
  <c r="E54" i="10"/>
  <c r="D54" i="10"/>
  <c r="D50" i="10"/>
  <c r="C54" i="10"/>
  <c r="E50" i="10"/>
  <c r="C50" i="10"/>
  <c r="E46" i="10"/>
  <c r="E59" i="10"/>
  <c r="E61" i="10"/>
  <c r="E57" i="10"/>
  <c r="D46" i="10"/>
  <c r="D48" i="10"/>
  <c r="D42" i="10"/>
  <c r="C46" i="10"/>
  <c r="C48" i="10"/>
  <c r="C42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15" i="10"/>
  <c r="D13" i="10"/>
  <c r="D25" i="10"/>
  <c r="D27" i="10"/>
  <c r="C13" i="10"/>
  <c r="C25" i="10"/>
  <c r="C27" i="10"/>
  <c r="D46" i="9"/>
  <c r="C46" i="9"/>
  <c r="E46" i="9"/>
  <c r="F45" i="9"/>
  <c r="E45" i="9"/>
  <c r="F44" i="9"/>
  <c r="E44" i="9"/>
  <c r="D39" i="9"/>
  <c r="E39" i="9"/>
  <c r="F39" i="9"/>
  <c r="C39" i="9"/>
  <c r="E38" i="9"/>
  <c r="F38" i="9"/>
  <c r="F37" i="9"/>
  <c r="E37" i="9"/>
  <c r="E36" i="9"/>
  <c r="F36" i="9"/>
  <c r="D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E16" i="9"/>
  <c r="C16" i="9"/>
  <c r="C19" i="9"/>
  <c r="F15" i="9"/>
  <c r="E15" i="9"/>
  <c r="E14" i="9"/>
  <c r="F14" i="9"/>
  <c r="E13" i="9"/>
  <c r="F13" i="9"/>
  <c r="E12" i="9"/>
  <c r="F12" i="9"/>
  <c r="D73" i="8"/>
  <c r="C73" i="8"/>
  <c r="E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D65" i="8"/>
  <c r="D75" i="8"/>
  <c r="C61" i="8"/>
  <c r="C65" i="8"/>
  <c r="F60" i="8"/>
  <c r="E60" i="8"/>
  <c r="E59" i="8"/>
  <c r="F59" i="8"/>
  <c r="D56" i="8"/>
  <c r="E56" i="8"/>
  <c r="C56" i="8"/>
  <c r="E55" i="8"/>
  <c r="F55" i="8"/>
  <c r="F54" i="8"/>
  <c r="E54" i="8"/>
  <c r="E53" i="8"/>
  <c r="F53" i="8"/>
  <c r="E52" i="8"/>
  <c r="F52" i="8"/>
  <c r="E51" i="8"/>
  <c r="F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E38" i="8"/>
  <c r="C38" i="8"/>
  <c r="E37" i="8"/>
  <c r="F37" i="8"/>
  <c r="E36" i="8"/>
  <c r="F36" i="8"/>
  <c r="E33" i="8"/>
  <c r="F33" i="8"/>
  <c r="F32" i="8"/>
  <c r="E32" i="8"/>
  <c r="F31" i="8"/>
  <c r="E31" i="8"/>
  <c r="D29" i="8"/>
  <c r="C29" i="8"/>
  <c r="E28" i="8"/>
  <c r="F28" i="8"/>
  <c r="E27" i="8"/>
  <c r="F27" i="8"/>
  <c r="E26" i="8"/>
  <c r="F26" i="8"/>
  <c r="E25" i="8"/>
  <c r="F25" i="8"/>
  <c r="D22" i="8"/>
  <c r="C22" i="8"/>
  <c r="E21" i="8"/>
  <c r="F21" i="8"/>
  <c r="E20" i="8"/>
  <c r="F20" i="8"/>
  <c r="E19" i="8"/>
  <c r="F19" i="8"/>
  <c r="F18" i="8"/>
  <c r="E18" i="8"/>
  <c r="F17" i="8"/>
  <c r="E17" i="8"/>
  <c r="F16" i="8"/>
  <c r="E16" i="8"/>
  <c r="E15" i="8"/>
  <c r="F15" i="8"/>
  <c r="E14" i="8"/>
  <c r="F14" i="8"/>
  <c r="E13" i="8"/>
  <c r="F13" i="8"/>
  <c r="D120" i="7"/>
  <c r="E120" i="7"/>
  <c r="C120" i="7"/>
  <c r="D119" i="7"/>
  <c r="E119" i="7"/>
  <c r="C119" i="7"/>
  <c r="D118" i="7"/>
  <c r="C118" i="7"/>
  <c r="D117" i="7"/>
  <c r="C117" i="7"/>
  <c r="E117" i="7"/>
  <c r="D116" i="7"/>
  <c r="E116" i="7"/>
  <c r="C116" i="7"/>
  <c r="D115" i="7"/>
  <c r="E115" i="7"/>
  <c r="C115" i="7"/>
  <c r="D114" i="7"/>
  <c r="C114" i="7"/>
  <c r="D113" i="7"/>
  <c r="D122" i="7"/>
  <c r="C113" i="7"/>
  <c r="C122" i="7"/>
  <c r="D112" i="7"/>
  <c r="E112" i="7"/>
  <c r="C112" i="7"/>
  <c r="D108" i="7"/>
  <c r="E108" i="7"/>
  <c r="C108" i="7"/>
  <c r="D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D95" i="7"/>
  <c r="C95" i="7"/>
  <c r="E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E72" i="7"/>
  <c r="D71" i="7"/>
  <c r="C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F60" i="7"/>
  <c r="D59" i="7"/>
  <c r="C59" i="7"/>
  <c r="F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F24" i="7"/>
  <c r="D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C206" i="6"/>
  <c r="D205" i="6"/>
  <c r="E205" i="6"/>
  <c r="C205" i="6"/>
  <c r="F205" i="6"/>
  <c r="D204" i="6"/>
  <c r="E204" i="6"/>
  <c r="C204" i="6"/>
  <c r="D203" i="6"/>
  <c r="C203" i="6"/>
  <c r="E203" i="6"/>
  <c r="D202" i="6"/>
  <c r="E202" i="6"/>
  <c r="C202" i="6"/>
  <c r="D201" i="6"/>
  <c r="C201" i="6"/>
  <c r="E201" i="6"/>
  <c r="F201" i="6"/>
  <c r="D200" i="6"/>
  <c r="E200" i="6"/>
  <c r="C200" i="6"/>
  <c r="D199" i="6"/>
  <c r="D208" i="6"/>
  <c r="C199" i="6"/>
  <c r="D198" i="6"/>
  <c r="D207" i="6"/>
  <c r="C198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E180" i="6"/>
  <c r="D179" i="6"/>
  <c r="C179" i="6"/>
  <c r="E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D153" i="6"/>
  <c r="E153" i="6"/>
  <c r="C153" i="6"/>
  <c r="E152" i="6"/>
  <c r="F152" i="6"/>
  <c r="E151" i="6"/>
  <c r="F151" i="6"/>
  <c r="E150" i="6"/>
  <c r="F150" i="6"/>
  <c r="E149" i="6"/>
  <c r="F149" i="6"/>
  <c r="E148" i="6"/>
  <c r="F148" i="6"/>
  <c r="E147" i="6"/>
  <c r="F147" i="6"/>
  <c r="E146" i="6"/>
  <c r="F146" i="6"/>
  <c r="E145" i="6"/>
  <c r="F145" i="6"/>
  <c r="E144" i="6"/>
  <c r="F144" i="6"/>
  <c r="D141" i="6"/>
  <c r="E141" i="6"/>
  <c r="C141" i="6"/>
  <c r="D140" i="6"/>
  <c r="E140" i="6"/>
  <c r="C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E128" i="6"/>
  <c r="C128" i="6"/>
  <c r="F128" i="6"/>
  <c r="D127" i="6"/>
  <c r="E127" i="6"/>
  <c r="C127" i="6"/>
  <c r="F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E115" i="6"/>
  <c r="C115" i="6"/>
  <c r="F115" i="6"/>
  <c r="D114" i="6"/>
  <c r="E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E102" i="6"/>
  <c r="D101" i="6"/>
  <c r="C101" i="6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C89" i="6"/>
  <c r="D88" i="6"/>
  <c r="E88" i="6"/>
  <c r="C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E76" i="6"/>
  <c r="D75" i="6"/>
  <c r="C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C63" i="6"/>
  <c r="F63" i="6"/>
  <c r="D62" i="6"/>
  <c r="E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D49" i="6"/>
  <c r="E49" i="6"/>
  <c r="C49" i="6"/>
  <c r="F48" i="6"/>
  <c r="E48" i="6"/>
  <c r="F47" i="6"/>
  <c r="E47" i="6"/>
  <c r="F46" i="6"/>
  <c r="E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E37" i="6"/>
  <c r="C37" i="6"/>
  <c r="D36" i="6"/>
  <c r="E36" i="6"/>
  <c r="C36" i="6"/>
  <c r="F35" i="6"/>
  <c r="E35" i="6"/>
  <c r="E34" i="6"/>
  <c r="F34" i="6"/>
  <c r="E33" i="6"/>
  <c r="F33" i="6"/>
  <c r="F32" i="6"/>
  <c r="E32" i="6"/>
  <c r="F31" i="6"/>
  <c r="E31" i="6"/>
  <c r="E30" i="6"/>
  <c r="F30" i="6"/>
  <c r="E29" i="6"/>
  <c r="F29" i="6"/>
  <c r="F28" i="6"/>
  <c r="E28" i="6"/>
  <c r="F27" i="6"/>
  <c r="E27" i="6"/>
  <c r="D24" i="6"/>
  <c r="E24" i="6"/>
  <c r="C24" i="6"/>
  <c r="D23" i="6"/>
  <c r="E23" i="6"/>
  <c r="C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C164" i="5"/>
  <c r="C160" i="5"/>
  <c r="C166" i="5"/>
  <c r="E162" i="5"/>
  <c r="D162" i="5"/>
  <c r="C162" i="5"/>
  <c r="E161" i="5"/>
  <c r="D161" i="5"/>
  <c r="C161" i="5"/>
  <c r="E160" i="5"/>
  <c r="E166" i="5"/>
  <c r="D160" i="5"/>
  <c r="D166" i="5"/>
  <c r="E147" i="5"/>
  <c r="E143" i="5"/>
  <c r="E149" i="5"/>
  <c r="D147" i="5"/>
  <c r="C147" i="5"/>
  <c r="C143" i="5"/>
  <c r="C149" i="5"/>
  <c r="E145" i="5"/>
  <c r="D145" i="5"/>
  <c r="C145" i="5"/>
  <c r="E144" i="5"/>
  <c r="D144" i="5"/>
  <c r="C144" i="5"/>
  <c r="D143" i="5"/>
  <c r="D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D94" i="5"/>
  <c r="C95" i="5"/>
  <c r="C94" i="5"/>
  <c r="E89" i="5"/>
  <c r="D89" i="5"/>
  <c r="C89" i="5"/>
  <c r="E87" i="5"/>
  <c r="D87" i="5"/>
  <c r="C87" i="5"/>
  <c r="E84" i="5"/>
  <c r="D84" i="5"/>
  <c r="C84" i="5"/>
  <c r="C79" i="5"/>
  <c r="E83" i="5"/>
  <c r="D83" i="5"/>
  <c r="D79" i="5"/>
  <c r="C83" i="5"/>
  <c r="E79" i="5"/>
  <c r="E75" i="5"/>
  <c r="E77" i="5"/>
  <c r="E71" i="5"/>
  <c r="D75" i="5"/>
  <c r="D77" i="5"/>
  <c r="D71" i="5"/>
  <c r="C75" i="5"/>
  <c r="C88" i="5"/>
  <c r="C90" i="5"/>
  <c r="C86" i="5"/>
  <c r="E74" i="5"/>
  <c r="D74" i="5"/>
  <c r="C74" i="5"/>
  <c r="E67" i="5"/>
  <c r="D67" i="5"/>
  <c r="C67" i="5"/>
  <c r="E49" i="5"/>
  <c r="E43" i="5"/>
  <c r="C43" i="5"/>
  <c r="E38" i="5"/>
  <c r="E53" i="5"/>
  <c r="E57" i="5"/>
  <c r="E62" i="5"/>
  <c r="D38" i="5"/>
  <c r="D49" i="5"/>
  <c r="C38" i="5"/>
  <c r="C57" i="5"/>
  <c r="C62" i="5"/>
  <c r="E34" i="5"/>
  <c r="E33" i="5"/>
  <c r="D33" i="5"/>
  <c r="D34" i="5"/>
  <c r="E26" i="5"/>
  <c r="D26" i="5"/>
  <c r="C26" i="5"/>
  <c r="D15" i="5"/>
  <c r="D24" i="5"/>
  <c r="E13" i="5"/>
  <c r="E15" i="5"/>
  <c r="D13" i="5"/>
  <c r="D25" i="5"/>
  <c r="D27" i="5"/>
  <c r="C13" i="5"/>
  <c r="C25" i="5"/>
  <c r="C27" i="5"/>
  <c r="E186" i="4"/>
  <c r="F186" i="4"/>
  <c r="D183" i="4"/>
  <c r="E183" i="4"/>
  <c r="C183" i="4"/>
  <c r="E182" i="4"/>
  <c r="F182" i="4"/>
  <c r="F181" i="4"/>
  <c r="E181" i="4"/>
  <c r="F180" i="4"/>
  <c r="E180" i="4"/>
  <c r="E179" i="4"/>
  <c r="F179" i="4"/>
  <c r="E178" i="4"/>
  <c r="F178" i="4"/>
  <c r="E177" i="4"/>
  <c r="F177" i="4"/>
  <c r="F176" i="4"/>
  <c r="E176" i="4"/>
  <c r="E175" i="4"/>
  <c r="F175" i="4"/>
  <c r="F174" i="4"/>
  <c r="E174" i="4"/>
  <c r="E173" i="4"/>
  <c r="F173" i="4"/>
  <c r="E172" i="4"/>
  <c r="F172" i="4"/>
  <c r="E171" i="4"/>
  <c r="F171" i="4"/>
  <c r="E170" i="4"/>
  <c r="F170" i="4"/>
  <c r="D167" i="4"/>
  <c r="C167" i="4"/>
  <c r="E166" i="4"/>
  <c r="F166" i="4"/>
  <c r="F165" i="4"/>
  <c r="E165" i="4"/>
  <c r="E164" i="4"/>
  <c r="F164" i="4"/>
  <c r="E163" i="4"/>
  <c r="F163" i="4"/>
  <c r="F162" i="4"/>
  <c r="E162" i="4"/>
  <c r="E161" i="4"/>
  <c r="F161" i="4"/>
  <c r="E160" i="4"/>
  <c r="F160" i="4"/>
  <c r="F159" i="4"/>
  <c r="E159" i="4"/>
  <c r="F158" i="4"/>
  <c r="E158" i="4"/>
  <c r="E157" i="4"/>
  <c r="F157" i="4"/>
  <c r="E156" i="4"/>
  <c r="F156" i="4"/>
  <c r="E155" i="4"/>
  <c r="F155" i="4"/>
  <c r="E154" i="4"/>
  <c r="F154" i="4"/>
  <c r="F153" i="4"/>
  <c r="E153" i="4"/>
  <c r="E152" i="4"/>
  <c r="F152" i="4"/>
  <c r="F151" i="4"/>
  <c r="E151" i="4"/>
  <c r="E150" i="4"/>
  <c r="F150" i="4"/>
  <c r="E149" i="4"/>
  <c r="F149" i="4"/>
  <c r="E148" i="4"/>
  <c r="F148" i="4"/>
  <c r="E147" i="4"/>
  <c r="F147" i="4"/>
  <c r="E146" i="4"/>
  <c r="F146" i="4"/>
  <c r="E145" i="4"/>
  <c r="F145" i="4"/>
  <c r="E144" i="4"/>
  <c r="F144" i="4"/>
  <c r="F143" i="4"/>
  <c r="E143" i="4"/>
  <c r="E142" i="4"/>
  <c r="F142" i="4"/>
  <c r="E141" i="4"/>
  <c r="F141" i="4"/>
  <c r="E140" i="4"/>
  <c r="F140" i="4"/>
  <c r="E139" i="4"/>
  <c r="F139" i="4"/>
  <c r="E138" i="4"/>
  <c r="F138" i="4"/>
  <c r="E137" i="4"/>
  <c r="F137" i="4"/>
  <c r="E136" i="4"/>
  <c r="F136" i="4"/>
  <c r="E135" i="4"/>
  <c r="F135" i="4"/>
  <c r="E134" i="4"/>
  <c r="F134" i="4"/>
  <c r="E133" i="4"/>
  <c r="F133" i="4"/>
  <c r="D130" i="4"/>
  <c r="D188" i="4"/>
  <c r="C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D121" i="4"/>
  <c r="E121" i="4"/>
  <c r="C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F114" i="4"/>
  <c r="E114" i="4"/>
  <c r="E113" i="4"/>
  <c r="F113" i="4"/>
  <c r="E112" i="4"/>
  <c r="F112" i="4"/>
  <c r="E111" i="4"/>
  <c r="F111" i="4"/>
  <c r="E110" i="4"/>
  <c r="F110" i="4"/>
  <c r="E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E90" i="4"/>
  <c r="C90" i="4"/>
  <c r="F90" i="4"/>
  <c r="E89" i="4"/>
  <c r="F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E59" i="4"/>
  <c r="C59" i="4"/>
  <c r="F59" i="4"/>
  <c r="F58" i="4"/>
  <c r="E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C41" i="4"/>
  <c r="E40" i="4"/>
  <c r="F40" i="4"/>
  <c r="E39" i="4"/>
  <c r="F39" i="4"/>
  <c r="E38" i="4"/>
  <c r="F38" i="4"/>
  <c r="D35" i="4"/>
  <c r="E35" i="4"/>
  <c r="C35" i="4"/>
  <c r="F35" i="4"/>
  <c r="E34" i="4"/>
  <c r="F34" i="4"/>
  <c r="E33" i="4"/>
  <c r="F33" i="4"/>
  <c r="D30" i="4"/>
  <c r="E30" i="4"/>
  <c r="C30" i="4"/>
  <c r="F30" i="4"/>
  <c r="E29" i="4"/>
  <c r="F29" i="4"/>
  <c r="E28" i="4"/>
  <c r="F28" i="4"/>
  <c r="E27" i="4"/>
  <c r="F27" i="4"/>
  <c r="D24" i="4"/>
  <c r="E24" i="4"/>
  <c r="C24" i="4"/>
  <c r="F24" i="4"/>
  <c r="E23" i="4"/>
  <c r="F23" i="4"/>
  <c r="E22" i="4"/>
  <c r="F22" i="4"/>
  <c r="E21" i="4"/>
  <c r="F21" i="4"/>
  <c r="D18" i="4"/>
  <c r="E18" i="4"/>
  <c r="C18" i="4"/>
  <c r="F18" i="4"/>
  <c r="E17" i="4"/>
  <c r="F17" i="4"/>
  <c r="E16" i="4"/>
  <c r="F16" i="4"/>
  <c r="E15" i="4"/>
  <c r="F15" i="4"/>
  <c r="D179" i="3"/>
  <c r="E179" i="3"/>
  <c r="C179" i="3"/>
  <c r="F179" i="3"/>
  <c r="E178" i="3"/>
  <c r="F178" i="3"/>
  <c r="F177" i="3"/>
  <c r="E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6" i="3"/>
  <c r="E165" i="3"/>
  <c r="F165" i="3"/>
  <c r="F164" i="3"/>
  <c r="E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C153" i="3"/>
  <c r="F153" i="3"/>
  <c r="E152" i="3"/>
  <c r="F152" i="3"/>
  <c r="F151" i="3"/>
  <c r="E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E137" i="3"/>
  <c r="C137" i="3"/>
  <c r="F137" i="3"/>
  <c r="E136" i="3"/>
  <c r="F136" i="3"/>
  <c r="F135" i="3"/>
  <c r="E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E123" i="3"/>
  <c r="F123" i="3"/>
  <c r="F122" i="3"/>
  <c r="E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C111" i="3"/>
  <c r="E110" i="3"/>
  <c r="F110" i="3"/>
  <c r="F109" i="3"/>
  <c r="E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/>
  <c r="C94" i="3"/>
  <c r="D93" i="3"/>
  <c r="E93" i="3"/>
  <c r="C93" i="3"/>
  <c r="F93" i="3"/>
  <c r="D92" i="3"/>
  <c r="E92" i="3"/>
  <c r="C92" i="3"/>
  <c r="F92" i="3"/>
  <c r="D91" i="3"/>
  <c r="E91" i="3"/>
  <c r="C91" i="3"/>
  <c r="F91" i="3"/>
  <c r="D90" i="3"/>
  <c r="E90" i="3"/>
  <c r="C90" i="3"/>
  <c r="D89" i="3"/>
  <c r="E89" i="3"/>
  <c r="C89" i="3"/>
  <c r="F89" i="3"/>
  <c r="D88" i="3"/>
  <c r="E88" i="3"/>
  <c r="C88" i="3"/>
  <c r="F88" i="3"/>
  <c r="D87" i="3"/>
  <c r="E87" i="3"/>
  <c r="C87" i="3"/>
  <c r="F87" i="3"/>
  <c r="D86" i="3"/>
  <c r="E86" i="3"/>
  <c r="C86" i="3"/>
  <c r="D85" i="3"/>
  <c r="E85" i="3"/>
  <c r="C85" i="3"/>
  <c r="D84" i="3"/>
  <c r="D95" i="3"/>
  <c r="E95" i="3"/>
  <c r="C84" i="3"/>
  <c r="C95" i="3"/>
  <c r="D81" i="3"/>
  <c r="E81" i="3"/>
  <c r="C81" i="3"/>
  <c r="F81" i="3"/>
  <c r="E80" i="3"/>
  <c r="F80" i="3"/>
  <c r="F79" i="3"/>
  <c r="E79" i="3"/>
  <c r="F78" i="3"/>
  <c r="E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E67" i="3"/>
  <c r="F67" i="3"/>
  <c r="F66" i="3"/>
  <c r="E66" i="3"/>
  <c r="F65" i="3"/>
  <c r="E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F51" i="3"/>
  <c r="D50" i="3"/>
  <c r="E50" i="3"/>
  <c r="C50" i="3"/>
  <c r="F50" i="3"/>
  <c r="D49" i="3"/>
  <c r="E49" i="3"/>
  <c r="C49" i="3"/>
  <c r="F49" i="3"/>
  <c r="D48" i="3"/>
  <c r="E48" i="3"/>
  <c r="F48" i="3"/>
  <c r="C48" i="3"/>
  <c r="D47" i="3"/>
  <c r="E47" i="3"/>
  <c r="C47" i="3"/>
  <c r="F47" i="3"/>
  <c r="D46" i="3"/>
  <c r="E46" i="3"/>
  <c r="F46" i="3"/>
  <c r="C46" i="3"/>
  <c r="D45" i="3"/>
  <c r="E45" i="3"/>
  <c r="C45" i="3"/>
  <c r="F45" i="3"/>
  <c r="D44" i="3"/>
  <c r="E44" i="3"/>
  <c r="C44" i="3"/>
  <c r="D43" i="3"/>
  <c r="E43" i="3"/>
  <c r="C43" i="3"/>
  <c r="D42" i="3"/>
  <c r="E42" i="3"/>
  <c r="C42" i="3"/>
  <c r="D41" i="3"/>
  <c r="D52" i="3"/>
  <c r="C41" i="3"/>
  <c r="D38" i="3"/>
  <c r="E38" i="3"/>
  <c r="C38" i="3"/>
  <c r="F38" i="3"/>
  <c r="E37" i="3"/>
  <c r="F37" i="3"/>
  <c r="F36" i="3"/>
  <c r="E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E25" i="3"/>
  <c r="C25" i="3"/>
  <c r="F25" i="3"/>
  <c r="E24" i="3"/>
  <c r="F24" i="3"/>
  <c r="F23" i="3"/>
  <c r="E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E46" i="2"/>
  <c r="F45" i="2"/>
  <c r="E45" i="2"/>
  <c r="F44" i="2"/>
  <c r="E44" i="2"/>
  <c r="D39" i="2"/>
  <c r="E39" i="2"/>
  <c r="C39" i="2"/>
  <c r="F39" i="2"/>
  <c r="F38" i="2"/>
  <c r="E38" i="2"/>
  <c r="F37" i="2"/>
  <c r="E37" i="2"/>
  <c r="E36" i="2"/>
  <c r="F36" i="2"/>
  <c r="D31" i="2"/>
  <c r="E31" i="2"/>
  <c r="C31" i="2"/>
  <c r="F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E16" i="2"/>
  <c r="F16" i="2"/>
  <c r="D19" i="2"/>
  <c r="D33" i="2"/>
  <c r="D41" i="2"/>
  <c r="C16" i="2"/>
  <c r="C19" i="2"/>
  <c r="C33" i="2"/>
  <c r="C41" i="2"/>
  <c r="E15" i="2"/>
  <c r="F15" i="2"/>
  <c r="E14" i="2"/>
  <c r="F14" i="2"/>
  <c r="E13" i="2"/>
  <c r="F13" i="2"/>
  <c r="E12" i="2"/>
  <c r="F12" i="2"/>
  <c r="D73" i="1"/>
  <c r="C73" i="1"/>
  <c r="E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E61" i="1"/>
  <c r="F60" i="1"/>
  <c r="E60" i="1"/>
  <c r="E59" i="1"/>
  <c r="F59" i="1"/>
  <c r="D56" i="1"/>
  <c r="E56" i="1"/>
  <c r="F56" i="1"/>
  <c r="C56" i="1"/>
  <c r="F55" i="1"/>
  <c r="E55" i="1"/>
  <c r="F54" i="1"/>
  <c r="E54" i="1"/>
  <c r="E53" i="1"/>
  <c r="F53" i="1"/>
  <c r="E52" i="1"/>
  <c r="F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E38" i="1"/>
  <c r="C38" i="1"/>
  <c r="C41" i="1"/>
  <c r="F41" i="1"/>
  <c r="E37" i="1"/>
  <c r="F37" i="1"/>
  <c r="E36" i="1"/>
  <c r="F36" i="1"/>
  <c r="E33" i="1"/>
  <c r="F33" i="1"/>
  <c r="F32" i="1"/>
  <c r="E32" i="1"/>
  <c r="F31" i="1"/>
  <c r="E31" i="1"/>
  <c r="D29" i="1"/>
  <c r="C29" i="1"/>
  <c r="E29" i="1"/>
  <c r="F29" i="1"/>
  <c r="E28" i="1"/>
  <c r="F28" i="1"/>
  <c r="E27" i="1"/>
  <c r="F27" i="1"/>
  <c r="E26" i="1"/>
  <c r="F26" i="1"/>
  <c r="E25" i="1"/>
  <c r="F25" i="1"/>
  <c r="D22" i="1"/>
  <c r="C22" i="1"/>
  <c r="C43" i="1"/>
  <c r="E21" i="1"/>
  <c r="F21" i="1"/>
  <c r="E20" i="1"/>
  <c r="F20" i="1"/>
  <c r="E19" i="1"/>
  <c r="F19" i="1"/>
  <c r="F18" i="1"/>
  <c r="E18" i="1"/>
  <c r="E17" i="1"/>
  <c r="F17" i="1"/>
  <c r="F16" i="1"/>
  <c r="E16" i="1"/>
  <c r="E15" i="1"/>
  <c r="F15" i="1"/>
  <c r="E14" i="1"/>
  <c r="F14" i="1"/>
  <c r="E13" i="1"/>
  <c r="F13" i="1"/>
  <c r="D193" i="14"/>
  <c r="F120" i="14"/>
  <c r="D68" i="14"/>
  <c r="E68" i="14"/>
  <c r="F68" i="14"/>
  <c r="D124" i="14"/>
  <c r="D285" i="14"/>
  <c r="D200" i="14"/>
  <c r="D264" i="14"/>
  <c r="D300" i="14"/>
  <c r="D280" i="14"/>
  <c r="F47" i="14"/>
  <c r="F58" i="14"/>
  <c r="F101" i="14"/>
  <c r="F170" i="14"/>
  <c r="D125" i="14"/>
  <c r="D138" i="14"/>
  <c r="D139" i="14"/>
  <c r="D277" i="14"/>
  <c r="C21" i="5"/>
  <c r="E122" i="7"/>
  <c r="F122" i="7"/>
  <c r="D137" i="5"/>
  <c r="D140" i="5"/>
  <c r="D136" i="5"/>
  <c r="D139" i="5"/>
  <c r="D135" i="5"/>
  <c r="D138" i="5"/>
  <c r="C140" i="5"/>
  <c r="C136" i="5"/>
  <c r="C139" i="5"/>
  <c r="C135" i="5"/>
  <c r="C138" i="5"/>
  <c r="C137" i="5"/>
  <c r="E155" i="5"/>
  <c r="E154" i="5"/>
  <c r="E157" i="5"/>
  <c r="E153" i="5"/>
  <c r="E156" i="5"/>
  <c r="E152" i="5"/>
  <c r="F41" i="4"/>
  <c r="F36" i="6"/>
  <c r="F89" i="6"/>
  <c r="F86" i="3"/>
  <c r="F90" i="3"/>
  <c r="F121" i="4"/>
  <c r="F62" i="6"/>
  <c r="F200" i="6"/>
  <c r="F202" i="6"/>
  <c r="F204" i="6"/>
  <c r="F206" i="6"/>
  <c r="E19" i="2"/>
  <c r="C75" i="8"/>
  <c r="E138" i="5"/>
  <c r="E137" i="5"/>
  <c r="E140" i="5"/>
  <c r="E136" i="5"/>
  <c r="E139" i="5"/>
  <c r="E135" i="5"/>
  <c r="D21" i="5"/>
  <c r="D20" i="5"/>
  <c r="D154" i="5"/>
  <c r="D157" i="5"/>
  <c r="D153" i="5"/>
  <c r="D156" i="5"/>
  <c r="D152" i="5"/>
  <c r="D155" i="5"/>
  <c r="C157" i="5"/>
  <c r="C153" i="5"/>
  <c r="C156" i="5"/>
  <c r="C152" i="5"/>
  <c r="C155" i="5"/>
  <c r="C154" i="5"/>
  <c r="F44" i="3"/>
  <c r="F124" i="3"/>
  <c r="F141" i="6"/>
  <c r="E207" i="6"/>
  <c r="E75" i="8"/>
  <c r="D75" i="1"/>
  <c r="F88" i="6"/>
  <c r="F140" i="6"/>
  <c r="E65" i="8"/>
  <c r="F65" i="8"/>
  <c r="C33" i="9"/>
  <c r="E24" i="10"/>
  <c r="E17" i="10"/>
  <c r="E28" i="10"/>
  <c r="E70" i="10"/>
  <c r="E72" i="10"/>
  <c r="E69" i="10"/>
  <c r="E124" i="14"/>
  <c r="F124" i="14"/>
  <c r="C52" i="3"/>
  <c r="C95" i="4"/>
  <c r="C207" i="6"/>
  <c r="C208" i="6"/>
  <c r="E31" i="9"/>
  <c r="F31" i="9"/>
  <c r="C188" i="4"/>
  <c r="F38" i="1"/>
  <c r="D41" i="1"/>
  <c r="E41" i="1"/>
  <c r="C15" i="5"/>
  <c r="C24" i="5"/>
  <c r="D17" i="5"/>
  <c r="C49" i="5"/>
  <c r="D53" i="5"/>
  <c r="C77" i="5"/>
  <c r="C71" i="5"/>
  <c r="F35" i="7"/>
  <c r="F36" i="7"/>
  <c r="F71" i="7"/>
  <c r="F72" i="7"/>
  <c r="F108" i="7"/>
  <c r="E113" i="7"/>
  <c r="F115" i="7"/>
  <c r="F119" i="7"/>
  <c r="F56" i="8"/>
  <c r="E61" i="8"/>
  <c r="F16" i="9"/>
  <c r="C21" i="10"/>
  <c r="D21" i="10"/>
  <c r="F36" i="11"/>
  <c r="F38" i="11"/>
  <c r="F40" i="11"/>
  <c r="E41" i="3"/>
  <c r="F41" i="3"/>
  <c r="E41" i="4"/>
  <c r="E167" i="4"/>
  <c r="F167" i="4"/>
  <c r="C53" i="5"/>
  <c r="E198" i="6"/>
  <c r="F198" i="6"/>
  <c r="E199" i="6"/>
  <c r="F199" i="6"/>
  <c r="E59" i="7"/>
  <c r="E96" i="7"/>
  <c r="F96" i="7"/>
  <c r="E107" i="7"/>
  <c r="F107" i="7"/>
  <c r="F112" i="7"/>
  <c r="E114" i="7"/>
  <c r="F114" i="7"/>
  <c r="F116" i="7"/>
  <c r="E118" i="7"/>
  <c r="F118" i="7"/>
  <c r="F120" i="7"/>
  <c r="E29" i="8"/>
  <c r="F29" i="8"/>
  <c r="F38" i="8"/>
  <c r="C41" i="8"/>
  <c r="C43" i="8"/>
  <c r="F95" i="7"/>
  <c r="F113" i="7"/>
  <c r="F117" i="7"/>
  <c r="C121" i="7"/>
  <c r="F61" i="8"/>
  <c r="F73" i="8"/>
  <c r="C181" i="14"/>
  <c r="C264" i="14"/>
  <c r="E191" i="14"/>
  <c r="C280" i="14"/>
  <c r="D66" i="15"/>
  <c r="D145" i="15"/>
  <c r="D41" i="17"/>
  <c r="E39" i="17"/>
  <c r="F39" i="17"/>
  <c r="E102" i="19"/>
  <c r="E101" i="19"/>
  <c r="E103" i="19"/>
  <c r="E250" i="14"/>
  <c r="F250" i="14"/>
  <c r="D270" i="14"/>
  <c r="E33" i="11"/>
  <c r="E36" i="11"/>
  <c r="E38" i="11"/>
  <c r="E40" i="11"/>
  <c r="E84" i="12"/>
  <c r="F84" i="12"/>
  <c r="E99" i="12"/>
  <c r="F99" i="12"/>
  <c r="F24" i="14"/>
  <c r="F44" i="14"/>
  <c r="F53" i="14"/>
  <c r="F100" i="14"/>
  <c r="F110" i="14"/>
  <c r="C125" i="14"/>
  <c r="E125" i="14"/>
  <c r="F130" i="14"/>
  <c r="F180" i="14"/>
  <c r="C193" i="14"/>
  <c r="F223" i="14"/>
  <c r="C239" i="14"/>
  <c r="C261" i="14"/>
  <c r="C326" i="15"/>
  <c r="C330" i="15"/>
  <c r="E330" i="15"/>
  <c r="E230" i="14"/>
  <c r="F230" i="14"/>
  <c r="C282" i="14"/>
  <c r="C266" i="14"/>
  <c r="C278" i="14"/>
  <c r="C262" i="14"/>
  <c r="C255" i="14"/>
  <c r="C189" i="15"/>
  <c r="C261" i="15"/>
  <c r="E261" i="15"/>
  <c r="C64" i="16"/>
  <c r="C65" i="16"/>
  <c r="C114" i="16"/>
  <c r="C116" i="16"/>
  <c r="C119" i="16"/>
  <c r="C123" i="16"/>
  <c r="C49" i="16"/>
  <c r="F46" i="9"/>
  <c r="C15" i="10"/>
  <c r="E25" i="10"/>
  <c r="E27" i="10"/>
  <c r="E22" i="10"/>
  <c r="E48" i="10"/>
  <c r="E42" i="10"/>
  <c r="C59" i="10"/>
  <c r="C61" i="10"/>
  <c r="C57" i="10"/>
  <c r="C31" i="11"/>
  <c r="H31" i="11"/>
  <c r="G31" i="11"/>
  <c r="I31" i="11"/>
  <c r="F16" i="12"/>
  <c r="F30" i="12"/>
  <c r="F92" i="12"/>
  <c r="F18" i="13"/>
  <c r="F23" i="13"/>
  <c r="C31" i="14"/>
  <c r="F35" i="14"/>
  <c r="C37" i="14"/>
  <c r="C49" i="14"/>
  <c r="C60" i="14"/>
  <c r="E67" i="14"/>
  <c r="F67" i="14"/>
  <c r="E123" i="14"/>
  <c r="F123" i="14"/>
  <c r="C126" i="14"/>
  <c r="F145" i="14"/>
  <c r="F158" i="14"/>
  <c r="C199" i="14"/>
  <c r="C206" i="14"/>
  <c r="C215" i="14"/>
  <c r="F238" i="14"/>
  <c r="C283" i="14"/>
  <c r="F307" i="14"/>
  <c r="E70" i="15"/>
  <c r="D303" i="15"/>
  <c r="D306" i="15"/>
  <c r="E36" i="17"/>
  <c r="F36" i="17"/>
  <c r="F45" i="17"/>
  <c r="E155" i="14"/>
  <c r="F155" i="14"/>
  <c r="D181" i="14"/>
  <c r="D156" i="15"/>
  <c r="E151" i="15"/>
  <c r="C102" i="19"/>
  <c r="C77" i="19"/>
  <c r="C109" i="19"/>
  <c r="D104" i="14"/>
  <c r="D278" i="14"/>
  <c r="D279" i="14"/>
  <c r="D215" i="14"/>
  <c r="D216" i="14"/>
  <c r="D262" i="14"/>
  <c r="C33" i="11"/>
  <c r="C36" i="11"/>
  <c r="C38" i="11"/>
  <c r="C40" i="11"/>
  <c r="E75" i="12"/>
  <c r="F75" i="12"/>
  <c r="F30" i="14"/>
  <c r="F36" i="14"/>
  <c r="F59" i="14"/>
  <c r="F85" i="14"/>
  <c r="F94" i="14"/>
  <c r="F165" i="14"/>
  <c r="C192" i="14"/>
  <c r="C254" i="14"/>
  <c r="C44" i="15"/>
  <c r="D76" i="15"/>
  <c r="C241" i="15"/>
  <c r="C242" i="15"/>
  <c r="C20" i="17"/>
  <c r="E44" i="17"/>
  <c r="F44" i="17"/>
  <c r="E19" i="18"/>
  <c r="F19" i="18"/>
  <c r="E227" i="14"/>
  <c r="F227" i="14"/>
  <c r="D306" i="14"/>
  <c r="E306" i="14"/>
  <c r="C214" i="14"/>
  <c r="C190" i="14"/>
  <c r="F188" i="14"/>
  <c r="D22" i="15"/>
  <c r="E21" i="15"/>
  <c r="C71" i="15"/>
  <c r="C76" i="15"/>
  <c r="C65" i="15"/>
  <c r="C289" i="15"/>
  <c r="E289" i="15"/>
  <c r="C144" i="15"/>
  <c r="C175" i="15"/>
  <c r="D260" i="15"/>
  <c r="E195" i="15"/>
  <c r="C23" i="19"/>
  <c r="C22" i="19"/>
  <c r="C34" i="19"/>
  <c r="E109" i="19"/>
  <c r="E108" i="19"/>
  <c r="D109" i="19"/>
  <c r="D108" i="19"/>
  <c r="D282" i="14"/>
  <c r="D21" i="14"/>
  <c r="D266" i="14"/>
  <c r="E266" i="14"/>
  <c r="D140" i="14"/>
  <c r="D62" i="14"/>
  <c r="D105" i="14"/>
  <c r="D90" i="14"/>
  <c r="D160" i="14"/>
  <c r="E144" i="14"/>
  <c r="F144" i="14"/>
  <c r="D146" i="14"/>
  <c r="E146" i="14"/>
  <c r="F146" i="14"/>
  <c r="E172" i="14"/>
  <c r="F172" i="14"/>
  <c r="D173" i="14"/>
  <c r="E173" i="14"/>
  <c r="F173" i="14"/>
  <c r="D254" i="14"/>
  <c r="D283" i="14"/>
  <c r="D205" i="14"/>
  <c r="E48" i="14"/>
  <c r="F48" i="14"/>
  <c r="F135" i="14"/>
  <c r="F136" i="14"/>
  <c r="C159" i="14"/>
  <c r="F164" i="14"/>
  <c r="E179" i="14"/>
  <c r="F179" i="14"/>
  <c r="F189" i="14"/>
  <c r="F191" i="14"/>
  <c r="C200" i="14"/>
  <c r="F203" i="14"/>
  <c r="C205" i="14"/>
  <c r="E205" i="14"/>
  <c r="F205" i="14"/>
  <c r="F294" i="14"/>
  <c r="F298" i="14"/>
  <c r="C306" i="14"/>
  <c r="E32" i="15"/>
  <c r="D43" i="15"/>
  <c r="D44" i="15"/>
  <c r="D77" i="15"/>
  <c r="D217" i="15"/>
  <c r="E217" i="15"/>
  <c r="D239" i="15"/>
  <c r="E239" i="15"/>
  <c r="D243" i="15"/>
  <c r="E243" i="15"/>
  <c r="D245" i="15"/>
  <c r="E245" i="15"/>
  <c r="D302" i="15"/>
  <c r="E302" i="15"/>
  <c r="D316" i="15"/>
  <c r="E16" i="17"/>
  <c r="F16" i="17"/>
  <c r="E19" i="17"/>
  <c r="F19" i="17"/>
  <c r="E25" i="17"/>
  <c r="F25" i="17"/>
  <c r="C40" i="17"/>
  <c r="E40" i="17"/>
  <c r="C46" i="17"/>
  <c r="C33" i="19"/>
  <c r="C103" i="19"/>
  <c r="D194" i="14"/>
  <c r="E295" i="14"/>
  <c r="F295" i="14"/>
  <c r="E299" i="14"/>
  <c r="F299" i="14"/>
  <c r="D222" i="15"/>
  <c r="D206" i="14"/>
  <c r="E206" i="14"/>
  <c r="E43" i="17"/>
  <c r="E46" i="17"/>
  <c r="D23" i="19"/>
  <c r="D199" i="14"/>
  <c r="E199" i="14"/>
  <c r="D261" i="14"/>
  <c r="F237" i="14"/>
  <c r="D190" i="14"/>
  <c r="D96" i="15"/>
  <c r="D85" i="15"/>
  <c r="D258" i="15"/>
  <c r="D87" i="15"/>
  <c r="D101" i="15"/>
  <c r="D99" i="15"/>
  <c r="D97" i="15"/>
  <c r="D86" i="15"/>
  <c r="D95" i="15"/>
  <c r="D141" i="14"/>
  <c r="E192" i="14"/>
  <c r="E264" i="14"/>
  <c r="C265" i="14"/>
  <c r="E33" i="2"/>
  <c r="D127" i="15"/>
  <c r="D123" i="15"/>
  <c r="D112" i="15"/>
  <c r="D125" i="15"/>
  <c r="D121" i="15"/>
  <c r="D114" i="15"/>
  <c r="D110" i="15"/>
  <c r="D124" i="15"/>
  <c r="D113" i="15"/>
  <c r="D122" i="15"/>
  <c r="D111" i="15"/>
  <c r="D109" i="15"/>
  <c r="D126" i="15"/>
  <c r="D115" i="15"/>
  <c r="E200" i="14"/>
  <c r="D286" i="14"/>
  <c r="D63" i="14"/>
  <c r="D126" i="14"/>
  <c r="D91" i="14"/>
  <c r="D49" i="14"/>
  <c r="D196" i="14"/>
  <c r="D161" i="14"/>
  <c r="E21" i="14"/>
  <c r="F21" i="14"/>
  <c r="C46" i="19"/>
  <c r="C40" i="19"/>
  <c r="C36" i="19"/>
  <c r="C30" i="19"/>
  <c r="C111" i="19"/>
  <c r="C54" i="19"/>
  <c r="E260" i="15"/>
  <c r="D272" i="14"/>
  <c r="E262" i="14"/>
  <c r="F262" i="14"/>
  <c r="C20" i="5"/>
  <c r="D265" i="14"/>
  <c r="D195" i="14"/>
  <c r="C294" i="15"/>
  <c r="E294" i="15"/>
  <c r="F199" i="14"/>
  <c r="E71" i="15"/>
  <c r="E41" i="17"/>
  <c r="E208" i="6"/>
  <c r="F208" i="6"/>
  <c r="F95" i="3"/>
  <c r="D158" i="5"/>
  <c r="E141" i="5"/>
  <c r="D43" i="1"/>
  <c r="E43" i="1"/>
  <c r="D268" i="14"/>
  <c r="D271" i="14"/>
  <c r="D304" i="14"/>
  <c r="D255" i="14"/>
  <c r="E255" i="14"/>
  <c r="F255" i="14"/>
  <c r="C32" i="14"/>
  <c r="E31" i="14"/>
  <c r="F31" i="14"/>
  <c r="D112" i="5"/>
  <c r="D111" i="5"/>
  <c r="D28" i="5"/>
  <c r="D99" i="5"/>
  <c r="C41" i="9"/>
  <c r="F33" i="2"/>
  <c r="F40" i="17"/>
  <c r="C158" i="5"/>
  <c r="D141" i="5"/>
  <c r="E316" i="15"/>
  <c r="D320" i="15"/>
  <c r="E320" i="15"/>
  <c r="E43" i="15"/>
  <c r="D259" i="15"/>
  <c r="D263" i="15"/>
  <c r="C95" i="15"/>
  <c r="C84" i="15"/>
  <c r="C97" i="15"/>
  <c r="C96" i="15"/>
  <c r="C83" i="15"/>
  <c r="C89" i="15"/>
  <c r="C98" i="15"/>
  <c r="D157" i="15"/>
  <c r="E157" i="15"/>
  <c r="E156" i="15"/>
  <c r="C127" i="14"/>
  <c r="C61" i="14"/>
  <c r="E60" i="14"/>
  <c r="F60" i="14"/>
  <c r="C24" i="10"/>
  <c r="C20" i="10"/>
  <c r="C17" i="10"/>
  <c r="C28" i="10"/>
  <c r="D46" i="19"/>
  <c r="D40" i="19"/>
  <c r="D36" i="19"/>
  <c r="D30" i="19"/>
  <c r="D111" i="19"/>
  <c r="D54" i="19"/>
  <c r="D252" i="15"/>
  <c r="D241" i="15"/>
  <c r="E241" i="15"/>
  <c r="C39" i="19"/>
  <c r="C29" i="19"/>
  <c r="C53" i="19"/>
  <c r="E303" i="15"/>
  <c r="E37" i="14"/>
  <c r="F37" i="14"/>
  <c r="E21" i="10"/>
  <c r="E239" i="14"/>
  <c r="F239" i="14"/>
  <c r="E280" i="14"/>
  <c r="F280" i="14"/>
  <c r="C281" i="14"/>
  <c r="E159" i="14"/>
  <c r="E254" i="14"/>
  <c r="F254" i="14"/>
  <c r="D106" i="14"/>
  <c r="C145" i="15"/>
  <c r="C216" i="14"/>
  <c r="E214" i="14"/>
  <c r="F214" i="14"/>
  <c r="D288" i="14"/>
  <c r="E278" i="14"/>
  <c r="C108" i="19"/>
  <c r="C50" i="14"/>
  <c r="C263" i="14"/>
  <c r="C194" i="14"/>
  <c r="E193" i="14"/>
  <c r="F193" i="14"/>
  <c r="F125" i="14"/>
  <c r="D174" i="14"/>
  <c r="C41" i="17"/>
  <c r="F41" i="17"/>
  <c r="E190" i="14"/>
  <c r="D175" i="14"/>
  <c r="E181" i="14"/>
  <c r="F181" i="14"/>
  <c r="F43" i="17"/>
  <c r="D168" i="15"/>
  <c r="F266" i="14"/>
  <c r="E20" i="17"/>
  <c r="F20" i="17"/>
  <c r="H33" i="11"/>
  <c r="H36" i="11"/>
  <c r="H38" i="11"/>
  <c r="H40" i="11"/>
  <c r="C161" i="14"/>
  <c r="C162" i="14"/>
  <c r="C304" i="14"/>
  <c r="F207" i="6"/>
  <c r="F75" i="8"/>
  <c r="E188" i="4"/>
  <c r="F188" i="4"/>
  <c r="E52" i="3"/>
  <c r="F52" i="3"/>
  <c r="E158" i="5"/>
  <c r="C141" i="5"/>
  <c r="C47" i="19"/>
  <c r="D254" i="15"/>
  <c r="D113" i="19"/>
  <c r="D38" i="19"/>
  <c r="D176" i="14"/>
  <c r="D101" i="5"/>
  <c r="D98" i="5"/>
  <c r="D22" i="5"/>
  <c r="D273" i="14"/>
  <c r="D50" i="14"/>
  <c r="E49" i="14"/>
  <c r="F49" i="14"/>
  <c r="D48" i="2"/>
  <c r="E95" i="15"/>
  <c r="E265" i="14"/>
  <c r="D310" i="15"/>
  <c r="E310" i="15"/>
  <c r="E306" i="15"/>
  <c r="D197" i="14"/>
  <c r="C196" i="14"/>
  <c r="E196" i="14"/>
  <c r="F196" i="14"/>
  <c r="C195" i="14"/>
  <c r="E195" i="14"/>
  <c r="F195" i="14"/>
  <c r="C48" i="9"/>
  <c r="D162" i="14"/>
  <c r="D183" i="14"/>
  <c r="D127" i="14"/>
  <c r="E126" i="14"/>
  <c r="F126" i="14"/>
  <c r="D264" i="15"/>
  <c r="D169" i="15"/>
  <c r="E169" i="15"/>
  <c r="C169" i="15"/>
  <c r="C70" i="10"/>
  <c r="C72" i="10"/>
  <c r="C69" i="10"/>
  <c r="C22" i="10"/>
  <c r="C174" i="14"/>
  <c r="E61" i="14"/>
  <c r="F61" i="14"/>
  <c r="C48" i="2"/>
  <c r="C175" i="14"/>
  <c r="E175" i="14"/>
  <c r="F175" i="14"/>
  <c r="C62" i="14"/>
  <c r="E32" i="14"/>
  <c r="F32" i="14"/>
  <c r="C56" i="19"/>
  <c r="C48" i="19"/>
  <c r="C38" i="19"/>
  <c r="C113" i="19"/>
  <c r="D92" i="14"/>
  <c r="D324" i="14"/>
  <c r="D128" i="15"/>
  <c r="D129" i="15"/>
  <c r="D322" i="14"/>
  <c r="E96" i="15"/>
  <c r="E194" i="14"/>
  <c r="F194" i="14"/>
  <c r="E145" i="15"/>
  <c r="D266" i="15"/>
  <c r="C176" i="14"/>
  <c r="E176" i="14"/>
  <c r="D323" i="14"/>
  <c r="E304" i="14"/>
  <c r="F304" i="14"/>
  <c r="C63" i="14"/>
  <c r="E62" i="14"/>
  <c r="F62" i="14"/>
  <c r="D148" i="14"/>
  <c r="E127" i="14"/>
  <c r="F127" i="14"/>
  <c r="D113" i="14"/>
  <c r="D70" i="14"/>
  <c r="E50" i="14"/>
  <c r="F50" i="14"/>
  <c r="E174" i="14"/>
  <c r="F174" i="14"/>
  <c r="E48" i="2"/>
  <c r="F48" i="2"/>
  <c r="C70" i="14"/>
  <c r="E70" i="14"/>
  <c r="E63" i="14"/>
  <c r="F63" i="14"/>
  <c r="D267" i="15"/>
  <c r="D325" i="14"/>
  <c r="F176" i="14"/>
  <c r="D269" i="15"/>
  <c r="D268" i="15"/>
  <c r="F70" i="14"/>
  <c r="D271" i="15"/>
  <c r="E162" i="14"/>
  <c r="F162" i="14"/>
  <c r="C183" i="14"/>
  <c r="C323" i="14"/>
  <c r="C197" i="14"/>
  <c r="C112" i="19"/>
  <c r="C37" i="19"/>
  <c r="D116" i="15"/>
  <c r="E97" i="15"/>
  <c r="D223" i="15"/>
  <c r="D246" i="15"/>
  <c r="E222" i="15"/>
  <c r="C160" i="14"/>
  <c r="F159" i="14"/>
  <c r="D281" i="14"/>
  <c r="E281" i="14"/>
  <c r="F281" i="14"/>
  <c r="E282" i="14"/>
  <c r="F282" i="14"/>
  <c r="C45" i="19"/>
  <c r="C35" i="19"/>
  <c r="C110" i="19"/>
  <c r="C259" i="15"/>
  <c r="C77" i="15"/>
  <c r="E76" i="15"/>
  <c r="D284" i="15"/>
  <c r="E22" i="15"/>
  <c r="F190" i="14"/>
  <c r="F192" i="14"/>
  <c r="F206" i="14"/>
  <c r="E41" i="2"/>
  <c r="F41" i="2"/>
  <c r="E161" i="14"/>
  <c r="F161" i="14"/>
  <c r="C55" i="19"/>
  <c r="D56" i="19"/>
  <c r="D48" i="19"/>
  <c r="F265" i="14"/>
  <c r="E261" i="14"/>
  <c r="F261" i="14"/>
  <c r="D263" i="14"/>
  <c r="E263" i="14"/>
  <c r="F263" i="14"/>
  <c r="F46" i="17"/>
  <c r="D100" i="15"/>
  <c r="D89" i="15"/>
  <c r="E89" i="15"/>
  <c r="D98" i="15"/>
  <c r="E98" i="15"/>
  <c r="D83" i="15"/>
  <c r="D88" i="15"/>
  <c r="E88" i="15"/>
  <c r="E44" i="15"/>
  <c r="D84" i="15"/>
  <c r="F200" i="14"/>
  <c r="E283" i="14"/>
  <c r="F283" i="14"/>
  <c r="D284" i="14"/>
  <c r="D287" i="14"/>
  <c r="C168" i="15"/>
  <c r="E168" i="15"/>
  <c r="E144" i="15"/>
  <c r="E65" i="15"/>
  <c r="C246" i="15"/>
  <c r="C66" i="15"/>
  <c r="C99" i="15"/>
  <c r="E99" i="15"/>
  <c r="C88" i="15"/>
  <c r="C101" i="15"/>
  <c r="E101" i="15"/>
  <c r="C86" i="15"/>
  <c r="E86" i="15"/>
  <c r="C85" i="15"/>
  <c r="C90" i="15"/>
  <c r="C91" i="15"/>
  <c r="C100" i="15"/>
  <c r="C102" i="15"/>
  <c r="C103" i="15"/>
  <c r="C258" i="15"/>
  <c r="C87" i="15"/>
  <c r="E87" i="15"/>
  <c r="E216" i="14"/>
  <c r="F216" i="14"/>
  <c r="F43" i="1"/>
  <c r="F42" i="3"/>
  <c r="F43" i="3"/>
  <c r="F68" i="3"/>
  <c r="F85" i="3"/>
  <c r="F94" i="3"/>
  <c r="F111" i="3"/>
  <c r="F278" i="14"/>
  <c r="E20" i="10"/>
  <c r="E215" i="14"/>
  <c r="F215" i="14"/>
  <c r="E326" i="15"/>
  <c r="C17" i="5"/>
  <c r="F264" i="14"/>
  <c r="E84" i="3"/>
  <c r="F84" i="3"/>
  <c r="E22" i="1"/>
  <c r="F22" i="1"/>
  <c r="F19" i="2"/>
  <c r="C65" i="1"/>
  <c r="F61" i="1"/>
  <c r="F73" i="1"/>
  <c r="F46" i="2"/>
  <c r="D95" i="4"/>
  <c r="E95" i="4"/>
  <c r="F95" i="4"/>
  <c r="F183" i="4"/>
  <c r="F23" i="6"/>
  <c r="F24" i="6"/>
  <c r="F37" i="6"/>
  <c r="F49" i="6"/>
  <c r="F50" i="6"/>
  <c r="F153" i="6"/>
  <c r="F154" i="6"/>
  <c r="E17" i="5"/>
  <c r="E24" i="5"/>
  <c r="F50" i="12"/>
  <c r="E130" i="4"/>
  <c r="F130" i="4"/>
  <c r="E25" i="5"/>
  <c r="E27" i="5"/>
  <c r="D57" i="5"/>
  <c r="D62" i="5"/>
  <c r="D43" i="5"/>
  <c r="D88" i="5"/>
  <c r="D90" i="5"/>
  <c r="D86" i="5"/>
  <c r="E88" i="5"/>
  <c r="E90" i="5"/>
  <c r="E86" i="5"/>
  <c r="F75" i="6"/>
  <c r="F76" i="6"/>
  <c r="F101" i="6"/>
  <c r="F102" i="6"/>
  <c r="F179" i="6"/>
  <c r="F180" i="6"/>
  <c r="E23" i="7"/>
  <c r="E24" i="7"/>
  <c r="E47" i="7"/>
  <c r="E48" i="7"/>
  <c r="D41" i="8"/>
  <c r="E41" i="8"/>
  <c r="F41" i="8"/>
  <c r="D19" i="9"/>
  <c r="D15" i="10"/>
  <c r="D59" i="10"/>
  <c r="D61" i="10"/>
  <c r="D57" i="10"/>
  <c r="G33" i="11"/>
  <c r="E45" i="12"/>
  <c r="F45" i="12"/>
  <c r="E50" i="12"/>
  <c r="E55" i="12"/>
  <c r="F55" i="12"/>
  <c r="E65" i="12"/>
  <c r="F65" i="12"/>
  <c r="E70" i="12"/>
  <c r="F70" i="12"/>
  <c r="F203" i="6"/>
  <c r="D121" i="7"/>
  <c r="E121" i="7"/>
  <c r="F121" i="7"/>
  <c r="E22" i="8"/>
  <c r="F22" i="8"/>
  <c r="F88" i="14"/>
  <c r="E66" i="14"/>
  <c r="E88" i="14"/>
  <c r="C89" i="14"/>
  <c r="C102" i="14"/>
  <c r="E109" i="14"/>
  <c r="F109" i="14"/>
  <c r="F198" i="14"/>
  <c r="E204" i="14"/>
  <c r="F204" i="14"/>
  <c r="C269" i="14"/>
  <c r="C274" i="14"/>
  <c r="C285" i="14"/>
  <c r="E296" i="14"/>
  <c r="F296" i="14"/>
  <c r="D33" i="15"/>
  <c r="C38" i="16"/>
  <c r="C127" i="16"/>
  <c r="C129" i="16"/>
  <c r="C133" i="16"/>
  <c r="F66" i="14"/>
  <c r="E76" i="14"/>
  <c r="F76" i="14"/>
  <c r="C111" i="14"/>
  <c r="F129" i="14"/>
  <c r="C137" i="14"/>
  <c r="E171" i="14"/>
  <c r="F171" i="14"/>
  <c r="C277" i="14"/>
  <c r="C290" i="14"/>
  <c r="C267" i="14"/>
  <c r="F311" i="14"/>
  <c r="C283" i="15"/>
  <c r="E283" i="15"/>
  <c r="E37" i="15"/>
  <c r="E39" i="15"/>
  <c r="E41" i="15"/>
  <c r="E55" i="15"/>
  <c r="E229" i="15"/>
  <c r="D207" i="14"/>
  <c r="C55" i="15"/>
  <c r="C284" i="15"/>
  <c r="D163" i="15"/>
  <c r="E163" i="15"/>
  <c r="E139" i="15"/>
  <c r="D175" i="15"/>
  <c r="E175" i="15"/>
  <c r="D189" i="15"/>
  <c r="E189" i="15"/>
  <c r="C210" i="15"/>
  <c r="D210" i="15"/>
  <c r="C240" i="15"/>
  <c r="C252" i="15"/>
  <c r="C254" i="15"/>
  <c r="E254" i="15"/>
  <c r="D242" i="15"/>
  <c r="E242" i="15"/>
  <c r="E220" i="15"/>
  <c r="C22" i="16"/>
  <c r="D33" i="19"/>
  <c r="E33" i="19"/>
  <c r="D22" i="19"/>
  <c r="D101" i="19"/>
  <c r="D103" i="19"/>
  <c r="D290" i="14"/>
  <c r="E290" i="14"/>
  <c r="E205" i="15"/>
  <c r="E216" i="15"/>
  <c r="E22" i="19"/>
  <c r="E23" i="19"/>
  <c r="D53" i="19"/>
  <c r="D29" i="19"/>
  <c r="D35" i="19"/>
  <c r="D39" i="19"/>
  <c r="D45" i="19"/>
  <c r="D110" i="19"/>
  <c r="D208" i="14"/>
  <c r="C270" i="14"/>
  <c r="E267" i="14"/>
  <c r="F267" i="14"/>
  <c r="C268" i="14"/>
  <c r="C271" i="14"/>
  <c r="E277" i="14"/>
  <c r="C284" i="14"/>
  <c r="F277" i="14"/>
  <c r="C279" i="14"/>
  <c r="C287" i="14"/>
  <c r="C138" i="14"/>
  <c r="E137" i="14"/>
  <c r="C207" i="14"/>
  <c r="E207" i="14"/>
  <c r="F137" i="14"/>
  <c r="E111" i="14"/>
  <c r="F111" i="14"/>
  <c r="E240" i="15"/>
  <c r="E274" i="14"/>
  <c r="F274" i="14"/>
  <c r="E89" i="14"/>
  <c r="C91" i="14"/>
  <c r="F89" i="14"/>
  <c r="C90" i="14"/>
  <c r="D33" i="9"/>
  <c r="E19" i="9"/>
  <c r="F19" i="9"/>
  <c r="E21" i="5"/>
  <c r="E20" i="5"/>
  <c r="C75" i="1"/>
  <c r="E65" i="1"/>
  <c r="F65" i="1"/>
  <c r="E258" i="15"/>
  <c r="C105" i="15"/>
  <c r="E287" i="14"/>
  <c r="D291" i="14"/>
  <c r="D289" i="14"/>
  <c r="D90" i="15"/>
  <c r="E90" i="15"/>
  <c r="E84" i="15"/>
  <c r="D102" i="15"/>
  <c r="E100" i="15"/>
  <c r="E85" i="15"/>
  <c r="E284" i="15"/>
  <c r="E77" i="15"/>
  <c r="C111" i="15"/>
  <c r="E111" i="15"/>
  <c r="C113" i="15"/>
  <c r="E113" i="15"/>
  <c r="C109" i="15"/>
  <c r="C125" i="15"/>
  <c r="E125" i="15"/>
  <c r="C112" i="15"/>
  <c r="E112" i="15"/>
  <c r="C110" i="15"/>
  <c r="C126" i="15"/>
  <c r="E126" i="15"/>
  <c r="C122" i="15"/>
  <c r="C115" i="15"/>
  <c r="E115" i="15"/>
  <c r="C124" i="15"/>
  <c r="E124" i="15"/>
  <c r="C127" i="15"/>
  <c r="E127" i="15"/>
  <c r="C114" i="15"/>
  <c r="E114" i="15"/>
  <c r="C123" i="15"/>
  <c r="E123" i="15"/>
  <c r="C121" i="15"/>
  <c r="E160" i="14"/>
  <c r="F160" i="14"/>
  <c r="E246" i="15"/>
  <c r="D117" i="15"/>
  <c r="E252" i="15"/>
  <c r="E197" i="14"/>
  <c r="F197" i="14"/>
  <c r="E111" i="19"/>
  <c r="E54" i="19"/>
  <c r="E30" i="19"/>
  <c r="E40" i="19"/>
  <c r="E36" i="19"/>
  <c r="E46" i="19"/>
  <c r="C234" i="15"/>
  <c r="C211" i="15"/>
  <c r="E53" i="19"/>
  <c r="E29" i="19"/>
  <c r="E110" i="19"/>
  <c r="E35" i="19"/>
  <c r="E39" i="19"/>
  <c r="E45" i="19"/>
  <c r="D180" i="15"/>
  <c r="E210" i="15"/>
  <c r="D211" i="15"/>
  <c r="D234" i="15"/>
  <c r="E234" i="15"/>
  <c r="F290" i="14"/>
  <c r="E33" i="15"/>
  <c r="D295" i="15"/>
  <c r="E285" i="14"/>
  <c r="F285" i="14"/>
  <c r="C286" i="14"/>
  <c r="F269" i="14"/>
  <c r="E269" i="14"/>
  <c r="C272" i="14"/>
  <c r="E102" i="14"/>
  <c r="C103" i="14"/>
  <c r="F102" i="14"/>
  <c r="G36" i="11"/>
  <c r="G38" i="11"/>
  <c r="G40" i="11"/>
  <c r="I33" i="11"/>
  <c r="I36" i="11"/>
  <c r="I38" i="11"/>
  <c r="I40" i="11"/>
  <c r="D24" i="10"/>
  <c r="D20" i="10"/>
  <c r="D17" i="10"/>
  <c r="D28" i="10"/>
  <c r="E112" i="5"/>
  <c r="E111" i="5"/>
  <c r="E28" i="5"/>
  <c r="E99" i="5"/>
  <c r="E101" i="5"/>
  <c r="E98" i="5"/>
  <c r="D43" i="8"/>
  <c r="E43" i="8"/>
  <c r="F43" i="8"/>
  <c r="C112" i="5"/>
  <c r="C111" i="5"/>
  <c r="C28" i="5"/>
  <c r="C300" i="14"/>
  <c r="C295" i="15"/>
  <c r="C247" i="15"/>
  <c r="E66" i="15"/>
  <c r="C180" i="15"/>
  <c r="E284" i="14"/>
  <c r="E83" i="15"/>
  <c r="D91" i="15"/>
  <c r="C288" i="14"/>
  <c r="C263" i="15"/>
  <c r="E263" i="15"/>
  <c r="E259" i="15"/>
  <c r="D247" i="15"/>
  <c r="E247" i="15"/>
  <c r="E223" i="15"/>
  <c r="E183" i="14"/>
  <c r="F183" i="14"/>
  <c r="E323" i="14"/>
  <c r="F323" i="14"/>
  <c r="E288" i="14"/>
  <c r="F288" i="14"/>
  <c r="E300" i="14"/>
  <c r="F300" i="14"/>
  <c r="D22" i="10"/>
  <c r="D70" i="10"/>
  <c r="D72" i="10"/>
  <c r="D69" i="10"/>
  <c r="E286" i="14"/>
  <c r="F286" i="14"/>
  <c r="E37" i="19"/>
  <c r="E55" i="19"/>
  <c r="E47" i="19"/>
  <c r="E112" i="19"/>
  <c r="C235" i="15"/>
  <c r="C181" i="15"/>
  <c r="D131" i="15"/>
  <c r="E109" i="15"/>
  <c r="E22" i="5"/>
  <c r="D41" i="9"/>
  <c r="E33" i="9"/>
  <c r="F33" i="9"/>
  <c r="C289" i="14"/>
  <c r="F287" i="14"/>
  <c r="C291" i="14"/>
  <c r="F268" i="14"/>
  <c r="E268" i="14"/>
  <c r="D37" i="19"/>
  <c r="D55" i="19"/>
  <c r="D47" i="19"/>
  <c r="D112" i="19"/>
  <c r="E91" i="15"/>
  <c r="C99" i="5"/>
  <c r="C101" i="5"/>
  <c r="C98" i="5"/>
  <c r="C22" i="5"/>
  <c r="F103" i="14"/>
  <c r="C104" i="14"/>
  <c r="E103" i="14"/>
  <c r="C105" i="14"/>
  <c r="E272" i="14"/>
  <c r="F272" i="14"/>
  <c r="E295" i="15"/>
  <c r="D181" i="15"/>
  <c r="E181" i="15"/>
  <c r="D235" i="15"/>
  <c r="E235" i="15"/>
  <c r="E211" i="15"/>
  <c r="E180" i="15"/>
  <c r="E38" i="19"/>
  <c r="E56" i="19"/>
  <c r="E113" i="19"/>
  <c r="E48" i="19"/>
  <c r="E121" i="15"/>
  <c r="C128" i="15"/>
  <c r="E128" i="15"/>
  <c r="E122" i="15"/>
  <c r="C116" i="15"/>
  <c r="E116" i="15"/>
  <c r="E110" i="15"/>
  <c r="D103" i="15"/>
  <c r="E103" i="15"/>
  <c r="E102" i="15"/>
  <c r="E291" i="14"/>
  <c r="D305" i="14"/>
  <c r="C264" i="15"/>
  <c r="F75" i="1"/>
  <c r="E75" i="1"/>
  <c r="F90" i="14"/>
  <c r="E90" i="14"/>
  <c r="C92" i="14"/>
  <c r="E91" i="14"/>
  <c r="F91" i="14"/>
  <c r="C208" i="14"/>
  <c r="F207" i="14"/>
  <c r="E138" i="14"/>
  <c r="F138" i="14"/>
  <c r="C139" i="14"/>
  <c r="C140" i="14"/>
  <c r="E279" i="14"/>
  <c r="F279" i="14"/>
  <c r="F284" i="14"/>
  <c r="C273" i="14"/>
  <c r="E271" i="14"/>
  <c r="F271" i="14"/>
  <c r="E270" i="14"/>
  <c r="F270" i="14"/>
  <c r="D209" i="14"/>
  <c r="E208" i="14"/>
  <c r="D210" i="14"/>
  <c r="F273" i="14"/>
  <c r="E273" i="14"/>
  <c r="E140" i="14"/>
  <c r="C141" i="14"/>
  <c r="F140" i="14"/>
  <c r="E92" i="14"/>
  <c r="F92" i="14"/>
  <c r="D309" i="14"/>
  <c r="D211" i="14"/>
  <c r="E209" i="14"/>
  <c r="E139" i="14"/>
  <c r="F139" i="14"/>
  <c r="C209" i="14"/>
  <c r="C210" i="14"/>
  <c r="E210" i="14"/>
  <c r="F208" i="14"/>
  <c r="C266" i="15"/>
  <c r="E264" i="15"/>
  <c r="C129" i="15"/>
  <c r="E129" i="15"/>
  <c r="C106" i="14"/>
  <c r="F105" i="14"/>
  <c r="E105" i="14"/>
  <c r="F104" i="14"/>
  <c r="E104" i="14"/>
  <c r="D105" i="15"/>
  <c r="E105" i="15"/>
  <c r="C305" i="14"/>
  <c r="F291" i="14"/>
  <c r="D48" i="9"/>
  <c r="E48" i="9"/>
  <c r="F48" i="9"/>
  <c r="E41" i="9"/>
  <c r="F41" i="9"/>
  <c r="E289" i="14"/>
  <c r="F289" i="14"/>
  <c r="C117" i="15"/>
  <c r="C131" i="15"/>
  <c r="E131" i="15"/>
  <c r="E117" i="15"/>
  <c r="C309" i="14"/>
  <c r="E106" i="14"/>
  <c r="F106" i="14"/>
  <c r="F209" i="14"/>
  <c r="E305" i="14"/>
  <c r="F305" i="14"/>
  <c r="C324" i="14"/>
  <c r="C113" i="14"/>
  <c r="C322" i="14"/>
  <c r="C148" i="14"/>
  <c r="F141" i="14"/>
  <c r="E141" i="14"/>
  <c r="C211" i="14"/>
  <c r="E266" i="15"/>
  <c r="C267" i="15"/>
  <c r="F210" i="14"/>
  <c r="E211" i="14"/>
  <c r="E309" i="14"/>
  <c r="D310" i="14"/>
  <c r="D312" i="14"/>
  <c r="C269" i="15"/>
  <c r="E269" i="15"/>
  <c r="E267" i="15"/>
  <c r="C268" i="15"/>
  <c r="E148" i="14"/>
  <c r="F148" i="14"/>
  <c r="E113" i="14"/>
  <c r="F113" i="14"/>
  <c r="F211" i="14"/>
  <c r="E322" i="14"/>
  <c r="F322" i="14"/>
  <c r="C325" i="14"/>
  <c r="E324" i="14"/>
  <c r="F324" i="14"/>
  <c r="C310" i="14"/>
  <c r="F309" i="14"/>
  <c r="F325" i="14"/>
  <c r="E325" i="14"/>
  <c r="C312" i="14"/>
  <c r="E312" i="14"/>
  <c r="D313" i="14"/>
  <c r="C271" i="15"/>
  <c r="E271" i="15"/>
  <c r="E268" i="15"/>
  <c r="E310" i="14"/>
  <c r="F310" i="14"/>
  <c r="D315" i="14"/>
  <c r="D251" i="14"/>
  <c r="D314" i="14"/>
  <c r="D256" i="14"/>
  <c r="F312" i="14"/>
  <c r="C313" i="14"/>
  <c r="E313" i="14"/>
  <c r="F313" i="14"/>
  <c r="C314" i="14"/>
  <c r="C315" i="14"/>
  <c r="C256" i="14"/>
  <c r="C251" i="14"/>
  <c r="E256" i="14"/>
  <c r="D257" i="14"/>
  <c r="D318" i="14"/>
  <c r="E314" i="14"/>
  <c r="E315" i="14"/>
  <c r="F315" i="14"/>
  <c r="F256" i="14"/>
  <c r="C257" i="14"/>
  <c r="F314" i="14"/>
  <c r="C318" i="14"/>
  <c r="E251" i="14"/>
  <c r="F251" i="14"/>
  <c r="E318" i="14"/>
  <c r="F318" i="14"/>
  <c r="E257" i="14"/>
  <c r="F257" i="14"/>
</calcChain>
</file>

<file path=xl/sharedStrings.xml><?xml version="1.0" encoding="utf-8"?>
<sst xmlns="http://schemas.openxmlformats.org/spreadsheetml/2006/main" count="2322" uniqueCount="998">
  <si>
    <t>LAWRENCE AND MEMORIAL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</si>
  <si>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</si>
  <si>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</si>
  <si>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</si>
  <si>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</si>
  <si>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</si>
  <si>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</si>
  <si>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</si>
  <si>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</si>
  <si>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</si>
  <si>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</si>
  <si>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</si>
  <si>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</si>
  <si>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</si>
  <si>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</si>
  <si>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</si>
  <si>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</si>
  <si>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</si>
  <si>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</si>
  <si>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</si>
  <si>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</si>
  <si>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</si>
  <si>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</si>
  <si>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</si>
  <si>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</si>
  <si>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</si>
  <si>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</si>
  <si>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</si>
  <si>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</si>
  <si>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</si>
  <si>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</si>
  <si>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</si>
  <si>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</si>
  <si>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</si>
  <si>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</si>
  <si>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</si>
  <si>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</si>
  <si>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</si>
  <si>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</si>
  <si>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</si>
  <si>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</si>
  <si>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</si>
  <si>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</si>
  <si>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</si>
  <si>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</si>
  <si>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</si>
  <si>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</si>
  <si>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</si>
  <si>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</si>
  <si>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</si>
  <si>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</si>
  <si>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</si>
  <si>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</si>
  <si>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</si>
  <si>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</si>
  <si>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</si>
  <si>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</si>
  <si>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</si>
  <si>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</si>
  <si>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</si>
  <si>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</si>
  <si>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</si>
  <si>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</si>
  <si>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</si>
  <si>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</si>
  <si>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</si>
  <si>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</si>
  <si>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</si>
  <si>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</si>
  <si>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</si>
  <si>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</si>
  <si>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</si>
  <si>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</si>
  <si>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</si>
  <si>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</si>
  <si>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</si>
  <si>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</si>
  <si>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</si>
  <si>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</si>
  <si>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</si>
  <si>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</si>
  <si>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</si>
  <si>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</si>
  <si>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</si>
  <si>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</si>
  <si>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</si>
  <si>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</si>
  <si>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</si>
  <si>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</si>
  <si>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</si>
  <si>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</si>
  <si>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</si>
  <si>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</si>
  <si>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</si>
  <si>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</si>
  <si>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</si>
  <si>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</si>
  <si>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</si>
  <si>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</si>
  <si>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</si>
  <si>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</si>
  <si>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</si>
  <si>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</si>
  <si>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</si>
  <si>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</si>
  <si>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</si>
  <si>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</si>
  <si>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</si>
  <si>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</si>
  <si>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</si>
  <si>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</si>
  <si>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</si>
  <si>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</si>
  <si>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</si>
  <si>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</si>
  <si>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</si>
  <si>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</si>
  <si>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</si>
  <si>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</si>
  <si>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</si>
  <si>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</si>
  <si>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</si>
  <si>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</si>
  <si>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</si>
  <si>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</si>
  <si>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</si>
  <si>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</si>
  <si>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</si>
  <si>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</si>
  <si>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</si>
  <si>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</si>
  <si>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</si>
  <si>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</si>
  <si>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</si>
  <si>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</si>
  <si>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</si>
  <si>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</si>
  <si>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</si>
  <si>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</si>
  <si>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</si>
  <si>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</si>
  <si>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</si>
  <si>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</si>
  <si>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</si>
  <si>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</si>
  <si>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</si>
  <si>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</si>
  <si>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</si>
  <si>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</si>
  <si>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</si>
  <si>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</si>
  <si>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</si>
  <si>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</si>
  <si>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</si>
  <si>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</si>
  <si>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</si>
  <si>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</si>
  <si>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</si>
  <si>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</si>
  <si>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</si>
  <si>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</si>
  <si>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</si>
  <si>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</si>
  <si>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</si>
  <si>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</si>
  <si>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</si>
  <si>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</si>
  <si>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</si>
  <si>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</si>
  <si>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</si>
  <si>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</si>
  <si>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</si>
  <si>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</si>
  <si>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</si>
  <si>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</si>
  <si>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</si>
  <si>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</si>
  <si>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</si>
  <si>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</si>
  <si>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</si>
  <si>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</si>
  <si>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</si>
  <si>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</si>
  <si>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</si>
  <si>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</si>
  <si>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</si>
  <si>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</si>
  <si>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</si>
  <si>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</si>
  <si>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</si>
  <si>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</si>
  <si>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</si>
  <si>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</si>
  <si>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</si>
  <si>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</si>
  <si>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</si>
  <si>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</si>
  <si>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</si>
  <si>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</si>
  <si>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</si>
  <si>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</si>
  <si>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</si>
  <si>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</si>
  <si>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</si>
  <si>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</si>
  <si>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</si>
  <si>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</si>
  <si>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</si>
  <si>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</si>
  <si>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</si>
  <si>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</si>
  <si>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</si>
  <si>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</si>
  <si>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</si>
  <si>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</si>
  <si>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</si>
  <si>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</si>
  <si>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</si>
  <si>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</si>
  <si>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</si>
  <si>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</si>
  <si>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</si>
  <si>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</si>
  <si>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</si>
  <si>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</si>
  <si>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</si>
  <si>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</si>
  <si>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</si>
  <si>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</si>
  <si>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</si>
  <si>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</si>
  <si>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</si>
  <si>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</si>
  <si>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</si>
  <si>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</si>
  <si>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</si>
  <si>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</si>
  <si>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</si>
  <si>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</si>
  <si>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</si>
  <si>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</si>
  <si>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</si>
  <si>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</si>
  <si>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</si>
  <si>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</si>
  <si>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</si>
  <si>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</si>
  <si>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</si>
  <si>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</si>
  <si>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</si>
  <si>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</si>
  <si>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</si>
  <si>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</si>
  <si>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</si>
  <si>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</si>
  <si>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</si>
  <si>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</si>
  <si>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</si>
  <si>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</si>
  <si>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</si>
  <si>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</si>
  <si>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</si>
  <si>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</si>
  <si>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</si>
  <si>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</si>
  <si>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</si>
  <si>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</si>
  <si>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</si>
  <si>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</si>
  <si>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</si>
  <si>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</si>
  <si>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</si>
  <si>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</si>
  <si>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</si>
  <si>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</si>
  <si>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</si>
  <si>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</si>
  <si>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</si>
  <si>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</si>
  <si>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</si>
  <si>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</si>
  <si>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</si>
  <si>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</si>
  <si>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</si>
  <si>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</si>
  <si>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</si>
  <si>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</si>
  <si>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</si>
  <si>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</si>
  <si>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</si>
  <si>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</si>
  <si>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</si>
  <si>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</si>
  <si>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</si>
  <si>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</si>
  <si>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</si>
  <si>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</si>
  <si>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</si>
  <si>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</si>
  <si>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</si>
  <si>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</si>
  <si>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</si>
  <si>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</si>
  <si>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</si>
  <si>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</si>
  <si>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</si>
  <si>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</si>
  <si>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</si>
  <si>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</si>
  <si>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</si>
  <si>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</si>
  <si>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</si>
  <si>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</si>
  <si>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</si>
  <si>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</si>
  <si>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</si>
  <si>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</si>
  <si>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</si>
  <si>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</si>
  <si>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</si>
  <si>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</si>
  <si>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</si>
  <si>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</si>
  <si>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</si>
  <si>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</si>
  <si>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</si>
  <si>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</si>
  <si>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</si>
  <si>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</si>
  <si>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</si>
  <si>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</si>
  <si>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</si>
  <si>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</si>
  <si>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</si>
  <si>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</si>
  <si>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</si>
  <si>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</si>
  <si>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</si>
  <si>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</si>
  <si>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</si>
  <si>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</si>
  <si>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</si>
  <si>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</si>
  <si>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</si>
  <si>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</si>
  <si>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</si>
  <si>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</si>
  <si>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</si>
  <si>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</si>
  <si>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</si>
  <si>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</si>
  <si>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</si>
  <si>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</si>
  <si>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</si>
  <si>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</si>
  <si>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</si>
  <si>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</si>
  <si>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</si>
  <si>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</si>
  <si>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</si>
  <si>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</si>
  <si>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</si>
  <si>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</si>
  <si>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</si>
  <si>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</si>
  <si>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</si>
  <si>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</si>
  <si>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</si>
  <si>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</si>
  <si>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</si>
  <si>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</si>
  <si>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</si>
  <si>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</si>
  <si>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</si>
  <si>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</si>
  <si>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</si>
  <si>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</si>
  <si>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</si>
  <si>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</si>
  <si>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</si>
  <si>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</si>
  <si>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</si>
  <si>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</si>
  <si>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</si>
  <si>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</si>
  <si>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</si>
  <si>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</si>
  <si>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</si>
  <si>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</si>
  <si>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</si>
  <si>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</si>
  <si>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</si>
  <si>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</si>
  <si>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</si>
  <si>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</si>
  <si>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</si>
  <si>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</si>
  <si>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</si>
  <si>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</si>
  <si>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</si>
  <si>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</si>
  <si>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</si>
  <si>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</si>
  <si>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</si>
  <si>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</si>
  <si>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</si>
  <si>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</si>
  <si>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</si>
  <si>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</si>
  <si>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</si>
  <si>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</si>
  <si>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</si>
  <si>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</si>
  <si>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</si>
  <si>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</si>
  <si>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</si>
  <si>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</si>
  <si>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</si>
  <si>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</si>
  <si>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</si>
  <si>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</si>
  <si>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</si>
  <si>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</si>
  <si>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</si>
  <si>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</si>
  <si>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</si>
  <si>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</si>
  <si>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</si>
  <si>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</si>
  <si>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</si>
  <si>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</si>
  <si>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</si>
  <si>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</si>
  <si>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</si>
  <si>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</si>
  <si>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</si>
  <si>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</si>
  <si>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</si>
  <si>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</si>
  <si>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</si>
  <si>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</si>
  <si>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</si>
  <si>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</si>
  <si>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</si>
  <si>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</si>
  <si>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</si>
  <si>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</si>
  <si>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</si>
  <si>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</si>
  <si>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</si>
  <si>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</si>
  <si>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</si>
  <si>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</si>
  <si>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</si>
  <si>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</si>
  <si>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</si>
  <si>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</si>
  <si>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</si>
  <si>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</si>
  <si>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</si>
  <si>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</si>
  <si>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</si>
  <si>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</si>
  <si>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</si>
  <si>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</si>
  <si>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</si>
  <si>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</si>
  <si>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</si>
  <si>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</si>
  <si>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</si>
  <si>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</si>
  <si>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</si>
  <si>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</si>
  <si>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</si>
  <si>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</si>
  <si>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</si>
  <si>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</si>
  <si>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</si>
  <si>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</si>
  <si>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</si>
  <si>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</si>
  <si>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</si>
  <si>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</si>
  <si>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</si>
  <si>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</si>
  <si>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</si>
  <si>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</si>
  <si>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</si>
  <si>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</si>
  <si>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</si>
  <si>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</si>
  <si>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L+M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</si>
  <si>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</si>
  <si>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</si>
  <si>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</si>
  <si>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</si>
  <si>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</si>
  <si>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</si>
  <si>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</si>
  <si>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</si>
  <si>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</si>
  <si>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</si>
  <si>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</si>
  <si>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</si>
  <si>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</si>
  <si>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</si>
  <si>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</si>
  <si>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</si>
  <si>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</si>
  <si>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</si>
  <si>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</si>
  <si>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</si>
  <si>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</si>
  <si>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</si>
  <si>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</si>
  <si>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</si>
  <si>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</si>
  <si>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</si>
  <si>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</si>
  <si>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</si>
  <si>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</si>
  <si>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</si>
  <si>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</si>
  <si>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</si>
  <si>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</si>
  <si>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</si>
  <si>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</si>
  <si>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</si>
  <si>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</si>
  <si>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</si>
  <si>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</si>
  <si>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</si>
  <si>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</si>
  <si>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</si>
  <si>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</si>
  <si>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</si>
  <si>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</si>
  <si>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</si>
  <si>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</si>
  <si>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</si>
  <si>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</si>
  <si>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</si>
  <si>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</si>
  <si>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</si>
  <si>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</si>
  <si>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</si>
  <si>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</si>
  <si>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</si>
  <si>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</si>
  <si>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</si>
  <si>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</si>
  <si>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</si>
  <si>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</si>
  <si>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</si>
  <si>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</si>
  <si>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</si>
  <si>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</si>
  <si>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</si>
  <si>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</si>
  <si>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</si>
  <si>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</si>
  <si>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</si>
  <si>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</si>
  <si>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</si>
  <si>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</si>
  <si>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</si>
  <si>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</si>
  <si>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</si>
  <si>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</si>
  <si>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</si>
  <si>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</si>
  <si>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</si>
  <si>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</si>
  <si>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</si>
  <si>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</si>
  <si>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</si>
  <si>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</si>
  <si>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</si>
  <si>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</si>
  <si>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</si>
  <si>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</si>
  <si>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</si>
  <si>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</si>
  <si>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</si>
  <si>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</si>
  <si>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</si>
  <si>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</si>
  <si>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</si>
  <si>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</si>
  <si>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</si>
  <si>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</si>
  <si>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</si>
  <si>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</si>
  <si>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</si>
  <si>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</si>
  <si>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</si>
  <si>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</si>
  <si>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</si>
  <si>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</si>
  <si>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</si>
  <si>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</si>
  <si>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L&amp;amp;M 365 Montauk Hospital</t>
  </si>
  <si>
    <t>Pequot Health Center Groton</t>
  </si>
  <si>
    <t xml:space="preserve">      Total Outpatient Surgical Procedures(A)     </t>
  </si>
  <si>
    <t>L&amp;M 365 Montauk Ave Hospital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</si>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</sst>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39933225</v>
      </c>
      <c r="D13" s="23">
        <v>13568654</v>
      </c>
      <c r="E13" s="23">
        <f t="shared" ref="E13:E22" si="0">D13-C13</f>
        <v>-26364571</v>
      </c>
      <c r="F13" s="24">
        <f t="shared" ref="F13:F22" si="1">IF(C13=0,0,E13/C13)</f>
        <v>-0.66021642379246859</v>
      </c>
    </row>
    <row r="14" spans="1:8" ht="24" customHeight="1" x14ac:dyDescent="0.2">
      <c r="A14" s="21">
        <v>2</v>
      </c>
      <c r="B14" s="22" t="s">
        <v>17</v>
      </c>
      <c r="C14" s="23">
        <v>105904042</v>
      </c>
      <c r="D14" s="23">
        <v>138433638</v>
      </c>
      <c r="E14" s="23">
        <f t="shared" si="0"/>
        <v>32529596</v>
      </c>
      <c r="F14" s="24">
        <f t="shared" si="1"/>
        <v>0.30716104301288144</v>
      </c>
    </row>
    <row r="15" spans="1:8" ht="15" x14ac:dyDescent="0.2">
      <c r="A15" s="21">
        <v>3</v>
      </c>
      <c r="B15" s="22" t="s">
        <v>18</v>
      </c>
      <c r="C15" s="23">
        <v>29920862</v>
      </c>
      <c r="D15" s="23">
        <v>28719548</v>
      </c>
      <c r="E15" s="23">
        <f t="shared" si="0"/>
        <v>-1201314</v>
      </c>
      <c r="F15" s="24">
        <f t="shared" si="1"/>
        <v>-4.0149712264305755E-2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2441664</v>
      </c>
      <c r="D17" s="23">
        <v>808442</v>
      </c>
      <c r="E17" s="23">
        <f t="shared" si="0"/>
        <v>-1633222</v>
      </c>
      <c r="F17" s="24">
        <f t="shared" si="1"/>
        <v>-0.6688971127886556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4528017</v>
      </c>
      <c r="D19" s="23">
        <v>4469470</v>
      </c>
      <c r="E19" s="23">
        <f t="shared" si="0"/>
        <v>-58547</v>
      </c>
      <c r="F19" s="24">
        <f t="shared" si="1"/>
        <v>-1.2929942621681853E-2</v>
      </c>
    </row>
    <row r="20" spans="1:11" ht="24" customHeight="1" x14ac:dyDescent="0.2">
      <c r="A20" s="21">
        <v>8</v>
      </c>
      <c r="B20" s="22" t="s">
        <v>23</v>
      </c>
      <c r="C20" s="23">
        <v>1739804</v>
      </c>
      <c r="D20" s="23">
        <v>2004576</v>
      </c>
      <c r="E20" s="23">
        <f t="shared" si="0"/>
        <v>264772</v>
      </c>
      <c r="F20" s="24">
        <f t="shared" si="1"/>
        <v>0.15218495876547014</v>
      </c>
    </row>
    <row r="21" spans="1:11" ht="24" customHeight="1" x14ac:dyDescent="0.2">
      <c r="A21" s="21">
        <v>9</v>
      </c>
      <c r="B21" s="22" t="s">
        <v>24</v>
      </c>
      <c r="C21" s="23">
        <v>4991604</v>
      </c>
      <c r="D21" s="23">
        <v>18699699</v>
      </c>
      <c r="E21" s="23">
        <f t="shared" si="0"/>
        <v>13708095</v>
      </c>
      <c r="F21" s="24">
        <f t="shared" si="1"/>
        <v>2.7462304702055693</v>
      </c>
    </row>
    <row r="22" spans="1:11" ht="24" customHeight="1" x14ac:dyDescent="0.25">
      <c r="A22" s="25"/>
      <c r="B22" s="26" t="s">
        <v>25</v>
      </c>
      <c r="C22" s="27">
        <f>SUM(C13:C21)</f>
        <v>189459218</v>
      </c>
      <c r="D22" s="27">
        <f>SUM(D13:D21)</f>
        <v>206704027</v>
      </c>
      <c r="E22" s="27">
        <f t="shared" si="0"/>
        <v>17244809</v>
      </c>
      <c r="F22" s="28">
        <f t="shared" si="1"/>
        <v>9.1021219141736345E-2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11241951</v>
      </c>
      <c r="D25" s="23">
        <v>971261</v>
      </c>
      <c r="E25" s="23">
        <f>D25-C25</f>
        <v>-10270690</v>
      </c>
      <c r="F25" s="24">
        <f>IF(C25=0,0,E25/C25)</f>
        <v>-0.91360387534156662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8427695</v>
      </c>
      <c r="D26" s="23">
        <v>0</v>
      </c>
      <c r="E26" s="23">
        <f>D26-C26</f>
        <v>-8427695</v>
      </c>
      <c r="F26" s="24">
        <f>IF(C26=0,0,E26/C26)</f>
        <v>-1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2247370</v>
      </c>
      <c r="D27" s="23">
        <v>2247125</v>
      </c>
      <c r="E27" s="23">
        <f>D27-C27</f>
        <v>-245</v>
      </c>
      <c r="F27" s="24">
        <f>IF(C27=0,0,E27/C27)</f>
        <v>-1.0901631685036287E-4</v>
      </c>
    </row>
    <row r="28" spans="1:11" ht="24" customHeight="1" x14ac:dyDescent="0.2">
      <c r="A28" s="21">
        <v>4</v>
      </c>
      <c r="B28" s="22" t="s">
        <v>31</v>
      </c>
      <c r="C28" s="23">
        <v>20207049</v>
      </c>
      <c r="D28" s="23">
        <v>22903951</v>
      </c>
      <c r="E28" s="23">
        <f>D28-C28</f>
        <v>2696902</v>
      </c>
      <c r="F28" s="24">
        <f>IF(C28=0,0,E28/C28)</f>
        <v>0.13346342654981438</v>
      </c>
    </row>
    <row r="29" spans="1:11" ht="24" customHeight="1" x14ac:dyDescent="0.25">
      <c r="A29" s="25"/>
      <c r="B29" s="26" t="s">
        <v>32</v>
      </c>
      <c r="C29" s="27">
        <f>SUM(C25:C28)</f>
        <v>42124065</v>
      </c>
      <c r="D29" s="27">
        <f>SUM(D25:D28)</f>
        <v>26122337</v>
      </c>
      <c r="E29" s="27">
        <f>D29-C29</f>
        <v>-16001728</v>
      </c>
      <c r="F29" s="28">
        <f>IF(C29=0,0,E29/C29)</f>
        <v>-0.37987141079570552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1938833</v>
      </c>
      <c r="D33" s="23">
        <v>1857504</v>
      </c>
      <c r="E33" s="23">
        <f>D33-C33</f>
        <v>-81329</v>
      </c>
      <c r="F33" s="24">
        <f>IF(C33=0,0,E33/C33)</f>
        <v>-4.1947398254517022E-2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321282313</v>
      </c>
      <c r="D36" s="23">
        <v>337299259</v>
      </c>
      <c r="E36" s="23">
        <f>D36-C36</f>
        <v>16016946</v>
      </c>
      <c r="F36" s="24">
        <f>IF(C36=0,0,E36/C36)</f>
        <v>4.9853183172271297E-2</v>
      </c>
    </row>
    <row r="37" spans="1:8" ht="24" customHeight="1" x14ac:dyDescent="0.2">
      <c r="A37" s="21">
        <v>2</v>
      </c>
      <c r="B37" s="22" t="s">
        <v>39</v>
      </c>
      <c r="C37" s="23">
        <v>210414909</v>
      </c>
      <c r="D37" s="23">
        <v>224709996</v>
      </c>
      <c r="E37" s="23">
        <f>D37-C37</f>
        <v>14295087</v>
      </c>
      <c r="F37" s="24">
        <f>IF(C37=0,0,E37/C37)</f>
        <v>6.7937614629769411E-2</v>
      </c>
    </row>
    <row r="38" spans="1:8" ht="24" customHeight="1" x14ac:dyDescent="0.25">
      <c r="A38" s="25"/>
      <c r="B38" s="26" t="s">
        <v>40</v>
      </c>
      <c r="C38" s="27">
        <f>C36-C37</f>
        <v>110867404</v>
      </c>
      <c r="D38" s="27">
        <f>D36-D37</f>
        <v>112589263</v>
      </c>
      <c r="E38" s="27">
        <f>D38-C38</f>
        <v>1721859</v>
      </c>
      <c r="F38" s="28">
        <f>IF(C38=0,0,E38/C38)</f>
        <v>1.5530795688153751E-2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10109457</v>
      </c>
      <c r="D40" s="23">
        <v>22337285</v>
      </c>
      <c r="E40" s="23">
        <f>D40-C40</f>
        <v>12227828</v>
      </c>
      <c r="F40" s="24">
        <f>IF(C40=0,0,E40/C40)</f>
        <v>1.2095434997151677</v>
      </c>
    </row>
    <row r="41" spans="1:8" ht="24" customHeight="1" x14ac:dyDescent="0.25">
      <c r="A41" s="25"/>
      <c r="B41" s="26" t="s">
        <v>42</v>
      </c>
      <c r="C41" s="27">
        <f>+C38+C40</f>
        <v>120976861</v>
      </c>
      <c r="D41" s="27">
        <f>+D38+D40</f>
        <v>134926548</v>
      </c>
      <c r="E41" s="27">
        <f>D41-C41</f>
        <v>13949687</v>
      </c>
      <c r="F41" s="28">
        <f>IF(C41=0,0,E41/C41)</f>
        <v>0.11530872007003058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354498977</v>
      </c>
      <c r="D43" s="27">
        <f>D22+D29+D31+D32+D33+D41</f>
        <v>369610416</v>
      </c>
      <c r="E43" s="27">
        <f>D43-C43</f>
        <v>15111439</v>
      </c>
      <c r="F43" s="28">
        <f>IF(C43=0,0,E43/C43)</f>
        <v>4.2627595509253047E-2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33351173</v>
      </c>
      <c r="D49" s="23">
        <v>36729771</v>
      </c>
      <c r="E49" s="23">
        <f t="shared" ref="E49:E56" si="2">D49-C49</f>
        <v>3378598</v>
      </c>
      <c r="F49" s="24">
        <f t="shared" ref="F49:F56" si="3">IF(C49=0,0,E49/C49)</f>
        <v>0.1013037232603483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2751697</v>
      </c>
      <c r="D50" s="23">
        <v>3600791</v>
      </c>
      <c r="E50" s="23">
        <f t="shared" si="2"/>
        <v>849094</v>
      </c>
      <c r="F50" s="24">
        <f t="shared" si="3"/>
        <v>0.30857103816299541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7838088</v>
      </c>
      <c r="D51" s="23">
        <v>5409556</v>
      </c>
      <c r="E51" s="23">
        <f t="shared" si="2"/>
        <v>-2428532</v>
      </c>
      <c r="F51" s="24">
        <f t="shared" si="3"/>
        <v>-0.3098372970550981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1913991</v>
      </c>
      <c r="D52" s="23">
        <v>2421244</v>
      </c>
      <c r="E52" s="23">
        <f t="shared" si="2"/>
        <v>507253</v>
      </c>
      <c r="F52" s="24">
        <f t="shared" si="3"/>
        <v>0.26502371223271165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2976493</v>
      </c>
      <c r="D53" s="23">
        <v>2762007</v>
      </c>
      <c r="E53" s="23">
        <f t="shared" si="2"/>
        <v>-214486</v>
      </c>
      <c r="F53" s="24">
        <f t="shared" si="3"/>
        <v>-7.2059971248042573E-2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48831442</v>
      </c>
      <c r="D56" s="27">
        <f>SUM(D49:D55)</f>
        <v>50923369</v>
      </c>
      <c r="E56" s="27">
        <f t="shared" si="2"/>
        <v>2091927</v>
      </c>
      <c r="F56" s="28">
        <f t="shared" si="3"/>
        <v>4.2839754762925085E-2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82249920</v>
      </c>
      <c r="D59" s="23">
        <v>79507217</v>
      </c>
      <c r="E59" s="23">
        <f>D59-C59</f>
        <v>-2742703</v>
      </c>
      <c r="F59" s="24">
        <f>IF(C59=0,0,E59/C59)</f>
        <v>-3.3345965564464987E-2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82249920</v>
      </c>
      <c r="D61" s="27">
        <f>SUM(D59:D60)</f>
        <v>79507217</v>
      </c>
      <c r="E61" s="27">
        <f>D61-C61</f>
        <v>-2742703</v>
      </c>
      <c r="F61" s="28">
        <f>IF(C61=0,0,E61/C61)</f>
        <v>-3.3345965564464987E-2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43423221</v>
      </c>
      <c r="D63" s="23">
        <v>51185800</v>
      </c>
      <c r="E63" s="23">
        <f>D63-C63</f>
        <v>7762579</v>
      </c>
      <c r="F63" s="24">
        <f>IF(C63=0,0,E63/C63)</f>
        <v>0.17876561943666039</v>
      </c>
    </row>
    <row r="64" spans="1:6" ht="24" customHeight="1" x14ac:dyDescent="0.2">
      <c r="A64" s="21">
        <v>4</v>
      </c>
      <c r="B64" s="22" t="s">
        <v>60</v>
      </c>
      <c r="C64" s="23">
        <v>14213720</v>
      </c>
      <c r="D64" s="23">
        <v>17998408</v>
      </c>
      <c r="E64" s="23">
        <f>D64-C64</f>
        <v>3784688</v>
      </c>
      <c r="F64" s="24">
        <f>IF(C64=0,0,E64/C64)</f>
        <v>0.26627005456699582</v>
      </c>
    </row>
    <row r="65" spans="1:6" ht="24" customHeight="1" x14ac:dyDescent="0.25">
      <c r="A65" s="25"/>
      <c r="B65" s="26" t="s">
        <v>61</v>
      </c>
      <c r="C65" s="27">
        <f>SUM(C61:C64)</f>
        <v>139886861</v>
      </c>
      <c r="D65" s="27">
        <f>SUM(D61:D64)</f>
        <v>148691425</v>
      </c>
      <c r="E65" s="27">
        <f>D65-C65</f>
        <v>8804564</v>
      </c>
      <c r="F65" s="28">
        <f>IF(C65=0,0,E65/C65)</f>
        <v>6.2940607409869606E-2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142478037</v>
      </c>
      <c r="D70" s="23">
        <v>144038576</v>
      </c>
      <c r="E70" s="23">
        <f>D70-C70</f>
        <v>1560539</v>
      </c>
      <c r="F70" s="24">
        <f>IF(C70=0,0,E70/C70)</f>
        <v>1.0952838997915167E-2</v>
      </c>
    </row>
    <row r="71" spans="1:6" ht="24" customHeight="1" x14ac:dyDescent="0.2">
      <c r="A71" s="21">
        <v>2</v>
      </c>
      <c r="B71" s="22" t="s">
        <v>65</v>
      </c>
      <c r="C71" s="23">
        <v>17792779</v>
      </c>
      <c r="D71" s="23">
        <v>20092239</v>
      </c>
      <c r="E71" s="23">
        <f>D71-C71</f>
        <v>2299460</v>
      </c>
      <c r="F71" s="24">
        <f>IF(C71=0,0,E71/C71)</f>
        <v>0.12923557359982946</v>
      </c>
    </row>
    <row r="72" spans="1:6" ht="24" customHeight="1" x14ac:dyDescent="0.2">
      <c r="A72" s="21">
        <v>3</v>
      </c>
      <c r="B72" s="22" t="s">
        <v>66</v>
      </c>
      <c r="C72" s="23">
        <v>5509858</v>
      </c>
      <c r="D72" s="23">
        <v>5864807</v>
      </c>
      <c r="E72" s="23">
        <f>D72-C72</f>
        <v>354949</v>
      </c>
      <c r="F72" s="24">
        <f>IF(C72=0,0,E72/C72)</f>
        <v>6.4420716468555086E-2</v>
      </c>
    </row>
    <row r="73" spans="1:6" ht="24" customHeight="1" x14ac:dyDescent="0.25">
      <c r="A73" s="21"/>
      <c r="B73" s="26" t="s">
        <v>67</v>
      </c>
      <c r="C73" s="27">
        <f>SUM(C70:C72)</f>
        <v>165780674</v>
      </c>
      <c r="D73" s="27">
        <f>SUM(D70:D72)</f>
        <v>169995622</v>
      </c>
      <c r="E73" s="27">
        <f>D73-C73</f>
        <v>4214948</v>
      </c>
      <c r="F73" s="28">
        <f>IF(C73=0,0,E73/C73)</f>
        <v>2.5424845359236507E-2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354498977</v>
      </c>
      <c r="D75" s="27">
        <f>D56+D65+D67+D73</f>
        <v>369610416</v>
      </c>
      <c r="E75" s="27">
        <f>D75-C75</f>
        <v>15111439</v>
      </c>
      <c r="F75" s="28">
        <f>IF(C75=0,0,E75/C75)</f>
        <v>4.2627595509253047E-2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326063574</v>
      </c>
      <c r="D11" s="51">
        <v>346642222</v>
      </c>
      <c r="E11" s="51">
        <v>354042019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19974336</v>
      </c>
      <c r="D12" s="49">
        <v>18437225</v>
      </c>
      <c r="E12" s="49">
        <v>16080943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346037910</v>
      </c>
      <c r="D13" s="51">
        <f>+D11+D12</f>
        <v>365079447</v>
      </c>
      <c r="E13" s="51">
        <f>+E11+E12</f>
        <v>370122962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334984009</v>
      </c>
      <c r="D14" s="49">
        <v>355831236</v>
      </c>
      <c r="E14" s="49">
        <v>369415491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11053901</v>
      </c>
      <c r="D15" s="51">
        <f>+D13-D14</f>
        <v>9248211</v>
      </c>
      <c r="E15" s="51">
        <f>+E13-E14</f>
        <v>707471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3507474</v>
      </c>
      <c r="D16" s="49">
        <v>6654562</v>
      </c>
      <c r="E16" s="49">
        <v>7013860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14561375</v>
      </c>
      <c r="D17" s="51">
        <f>D15+D16</f>
        <v>15902773</v>
      </c>
      <c r="E17" s="51">
        <f>E15+E16</f>
        <v>7721331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3.1623650335488342E-2</v>
      </c>
      <c r="D20" s="169">
        <f>IF(+D27=0,0,+D24/+D27)</f>
        <v>2.4878571172109249E-2</v>
      </c>
      <c r="E20" s="169">
        <f>IF(+E27=0,0,+E24/+E27)</f>
        <v>1.8759000944224959E-3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1.0034387980932398E-2</v>
      </c>
      <c r="D21" s="169">
        <f>IF(+D27=0,0,+D26/+D27)</f>
        <v>1.7901407562631699E-2</v>
      </c>
      <c r="E21" s="169">
        <f>IF(+E27=0,0,+E26/+E27)</f>
        <v>1.8597653665332101E-2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4.1658038316420738E-2</v>
      </c>
      <c r="D22" s="169">
        <f>IF(+D27=0,0,+D28/+D27)</f>
        <v>4.2779978734740945E-2</v>
      </c>
      <c r="E22" s="169">
        <f>IF(+E27=0,0,+E28/+E27)</f>
        <v>2.0473553759754598E-2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11053901</v>
      </c>
      <c r="D24" s="51">
        <f>+D15</f>
        <v>9248211</v>
      </c>
      <c r="E24" s="51">
        <f>+E15</f>
        <v>707471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346037910</v>
      </c>
      <c r="D25" s="51">
        <f>+D13</f>
        <v>365079447</v>
      </c>
      <c r="E25" s="51">
        <f>+E13</f>
        <v>370122962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3507474</v>
      </c>
      <c r="D26" s="51">
        <f>+D16</f>
        <v>6654562</v>
      </c>
      <c r="E26" s="51">
        <f>+E16</f>
        <v>7013860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349545384</v>
      </c>
      <c r="D27" s="51">
        <f>SUM(D25:D26)</f>
        <v>371734009</v>
      </c>
      <c r="E27" s="51">
        <f>SUM(E25:E26)</f>
        <v>377136822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14561375</v>
      </c>
      <c r="D28" s="51">
        <f>+D17</f>
        <v>15902773</v>
      </c>
      <c r="E28" s="51">
        <f>+E17</f>
        <v>7721331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203283725</v>
      </c>
      <c r="D31" s="51">
        <v>217665390</v>
      </c>
      <c r="E31" s="52">
        <v>225862751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227619698</v>
      </c>
      <c r="D32" s="51">
        <v>242126973</v>
      </c>
      <c r="E32" s="51">
        <v>253109414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16963686</v>
      </c>
      <c r="D33" s="51">
        <f>+D32-C32</f>
        <v>14507275</v>
      </c>
      <c r="E33" s="51">
        <f>+E32-D32</f>
        <v>10982441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1.0805</v>
      </c>
      <c r="D34" s="171">
        <f>IF(C32=0,0,+D33/C32)</f>
        <v>6.3734708056769326E-2</v>
      </c>
      <c r="E34" s="171">
        <f>IF(D32=0,0,+E33/D32)</f>
        <v>4.5358188986239049E-2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4.8431416003396865</v>
      </c>
      <c r="D38" s="269">
        <f>IF(+D40=0,0,+D39/+D40)</f>
        <v>4.835680123845755</v>
      </c>
      <c r="E38" s="269">
        <f>IF(+E40=0,0,+E39/+E40)</f>
        <v>5.0139164342234794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242334833</v>
      </c>
      <c r="D39" s="270">
        <v>245546175</v>
      </c>
      <c r="E39" s="270">
        <v>272002244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50036702</v>
      </c>
      <c r="D40" s="270">
        <v>50778002</v>
      </c>
      <c r="E40" s="270">
        <v>54249457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226.24575986183507</v>
      </c>
      <c r="D42" s="271">
        <f>IF((D48/365)=0,0,+D45/(D48/365))</f>
        <v>216.7095519836196</v>
      </c>
      <c r="E42" s="271">
        <f>IF((E48/365)=0,0,+E45/(E48/365))</f>
        <v>233.37505284513728</v>
      </c>
    </row>
    <row r="43" spans="1:14" ht="24" customHeight="1" x14ac:dyDescent="0.2">
      <c r="A43" s="17">
        <v>5</v>
      </c>
      <c r="B43" s="188" t="s">
        <v>16</v>
      </c>
      <c r="C43" s="272">
        <v>41222090</v>
      </c>
      <c r="D43" s="272">
        <v>44580932</v>
      </c>
      <c r="E43" s="272">
        <v>15956015</v>
      </c>
    </row>
    <row r="44" spans="1:14" ht="24" customHeight="1" x14ac:dyDescent="0.2">
      <c r="A44" s="17">
        <v>6</v>
      </c>
      <c r="B44" s="273" t="s">
        <v>17</v>
      </c>
      <c r="C44" s="274">
        <v>155780987</v>
      </c>
      <c r="D44" s="274">
        <v>156173381</v>
      </c>
      <c r="E44" s="274">
        <v>207930544</v>
      </c>
    </row>
    <row r="45" spans="1:14" ht="24" customHeight="1" x14ac:dyDescent="0.2">
      <c r="A45" s="17">
        <v>7</v>
      </c>
      <c r="B45" s="45" t="s">
        <v>358</v>
      </c>
      <c r="C45" s="270">
        <f>+C43+C44</f>
        <v>197003077</v>
      </c>
      <c r="D45" s="270">
        <f>+D43+D44</f>
        <v>200754313</v>
      </c>
      <c r="E45" s="270">
        <f>+E43+E44</f>
        <v>223886559</v>
      </c>
    </row>
    <row r="46" spans="1:14" ht="24" customHeight="1" x14ac:dyDescent="0.2">
      <c r="A46" s="17">
        <v>8</v>
      </c>
      <c r="B46" s="45" t="s">
        <v>336</v>
      </c>
      <c r="C46" s="270">
        <f>+C14</f>
        <v>334984009</v>
      </c>
      <c r="D46" s="270">
        <f>+D14</f>
        <v>355831236</v>
      </c>
      <c r="E46" s="270">
        <f>+E14</f>
        <v>369415491</v>
      </c>
    </row>
    <row r="47" spans="1:14" ht="24" customHeight="1" x14ac:dyDescent="0.2">
      <c r="A47" s="17">
        <v>9</v>
      </c>
      <c r="B47" s="45" t="s">
        <v>359</v>
      </c>
      <c r="C47" s="270">
        <v>17160934</v>
      </c>
      <c r="D47" s="270">
        <v>17704358</v>
      </c>
      <c r="E47" s="270">
        <v>19255553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317823075</v>
      </c>
      <c r="D48" s="270">
        <f>+D46-D47</f>
        <v>338126878</v>
      </c>
      <c r="E48" s="270">
        <f>+E46-E47</f>
        <v>350159938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26.294390814105473</v>
      </c>
      <c r="D50" s="278">
        <f>IF((D55/365)=0,0,+D54/(D55/365))</f>
        <v>25.480735797383623</v>
      </c>
      <c r="E50" s="278">
        <f>IF((E55/365)=0,0,+E54/(E55/365))</f>
        <v>27.490898050719796</v>
      </c>
    </row>
    <row r="51" spans="1:5" ht="24" customHeight="1" x14ac:dyDescent="0.2">
      <c r="A51" s="17">
        <v>12</v>
      </c>
      <c r="B51" s="188" t="s">
        <v>362</v>
      </c>
      <c r="C51" s="279">
        <v>32328543</v>
      </c>
      <c r="D51" s="279">
        <v>32212263</v>
      </c>
      <c r="E51" s="279">
        <v>32312475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8839110</v>
      </c>
      <c r="D53" s="270">
        <v>8013088</v>
      </c>
      <c r="E53" s="270">
        <v>5646905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23489433</v>
      </c>
      <c r="D54" s="280">
        <f>+D51+D52-D53</f>
        <v>24199175</v>
      </c>
      <c r="E54" s="280">
        <f>+E51+E52-E53</f>
        <v>26665570</v>
      </c>
    </row>
    <row r="55" spans="1:5" ht="24" customHeight="1" x14ac:dyDescent="0.2">
      <c r="A55" s="17">
        <v>16</v>
      </c>
      <c r="B55" s="45" t="s">
        <v>75</v>
      </c>
      <c r="C55" s="270">
        <f>+C11</f>
        <v>326063574</v>
      </c>
      <c r="D55" s="270">
        <f>+D11</f>
        <v>346642222</v>
      </c>
      <c r="E55" s="270">
        <f>+E11</f>
        <v>354042019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57.464034762107815</v>
      </c>
      <c r="D57" s="283">
        <f>IF((D61/365)=0,0,+D58/(D61/365))</f>
        <v>54.813657049765801</v>
      </c>
      <c r="E57" s="283">
        <f>IF((E61/365)=0,0,+E58/(E61/365))</f>
        <v>56.548592960397428</v>
      </c>
    </row>
    <row r="58" spans="1:5" ht="24" customHeight="1" x14ac:dyDescent="0.2">
      <c r="A58" s="17">
        <v>18</v>
      </c>
      <c r="B58" s="45" t="s">
        <v>54</v>
      </c>
      <c r="C58" s="281">
        <f>+C40</f>
        <v>50036702</v>
      </c>
      <c r="D58" s="281">
        <f>+D40</f>
        <v>50778002</v>
      </c>
      <c r="E58" s="281">
        <f>+E40</f>
        <v>54249457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334984009</v>
      </c>
      <c r="D59" s="281">
        <f t="shared" si="0"/>
        <v>355831236</v>
      </c>
      <c r="E59" s="281">
        <f t="shared" si="0"/>
        <v>369415491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17160934</v>
      </c>
      <c r="D60" s="176">
        <f t="shared" si="0"/>
        <v>17704358</v>
      </c>
      <c r="E60" s="176">
        <f t="shared" si="0"/>
        <v>19255553</v>
      </c>
    </row>
    <row r="61" spans="1:5" ht="24" customHeight="1" x14ac:dyDescent="0.2">
      <c r="A61" s="17">
        <v>21</v>
      </c>
      <c r="B61" s="45" t="s">
        <v>365</v>
      </c>
      <c r="C61" s="281">
        <f>+C59-C60</f>
        <v>317823075</v>
      </c>
      <c r="D61" s="281">
        <f>+D59-D60</f>
        <v>338126878</v>
      </c>
      <c r="E61" s="281">
        <f>+E59-E60</f>
        <v>350159938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56.310933962633882</v>
      </c>
      <c r="D65" s="284">
        <f>IF(D67=0,0,(D66/D67)*100)</f>
        <v>55.945365152405515</v>
      </c>
      <c r="E65" s="284">
        <f>IF(E67=0,0,(E66/E67)*100)</f>
        <v>55.211440336010739</v>
      </c>
    </row>
    <row r="66" spans="1:5" ht="24" customHeight="1" x14ac:dyDescent="0.2">
      <c r="A66" s="17">
        <v>2</v>
      </c>
      <c r="B66" s="45" t="s">
        <v>67</v>
      </c>
      <c r="C66" s="281">
        <f>+C32</f>
        <v>227619698</v>
      </c>
      <c r="D66" s="281">
        <f>+D32</f>
        <v>242126973</v>
      </c>
      <c r="E66" s="281">
        <f>+E32</f>
        <v>253109414</v>
      </c>
    </row>
    <row r="67" spans="1:5" ht="24" customHeight="1" x14ac:dyDescent="0.2">
      <c r="A67" s="17">
        <v>3</v>
      </c>
      <c r="B67" s="45" t="s">
        <v>43</v>
      </c>
      <c r="C67" s="281">
        <v>404219362</v>
      </c>
      <c r="D67" s="281">
        <v>432791836</v>
      </c>
      <c r="E67" s="281">
        <v>458436535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28.276821304780835</v>
      </c>
      <c r="D69" s="284">
        <f>IF(D75=0,0,(D72/D75)*100)</f>
        <v>25.263215793147548</v>
      </c>
      <c r="E69" s="284">
        <f>IF(E75=0,0,(E72/E75)*100)</f>
        <v>20.168626501583017</v>
      </c>
    </row>
    <row r="70" spans="1:5" ht="24" customHeight="1" x14ac:dyDescent="0.2">
      <c r="A70" s="17">
        <v>5</v>
      </c>
      <c r="B70" s="45" t="s">
        <v>370</v>
      </c>
      <c r="C70" s="281">
        <f>+C28</f>
        <v>14561375</v>
      </c>
      <c r="D70" s="281">
        <f>+D28</f>
        <v>15902773</v>
      </c>
      <c r="E70" s="281">
        <f>+E28</f>
        <v>7721331</v>
      </c>
    </row>
    <row r="71" spans="1:5" ht="24" customHeight="1" x14ac:dyDescent="0.2">
      <c r="A71" s="17">
        <v>6</v>
      </c>
      <c r="B71" s="45" t="s">
        <v>359</v>
      </c>
      <c r="C71" s="176">
        <f>+C47</f>
        <v>17160934</v>
      </c>
      <c r="D71" s="176">
        <f>+D47</f>
        <v>17704358</v>
      </c>
      <c r="E71" s="176">
        <f>+E47</f>
        <v>19255553</v>
      </c>
    </row>
    <row r="72" spans="1:5" ht="24" customHeight="1" x14ac:dyDescent="0.2">
      <c r="A72" s="17">
        <v>7</v>
      </c>
      <c r="B72" s="45" t="s">
        <v>371</v>
      </c>
      <c r="C72" s="281">
        <f>+C70+C71</f>
        <v>31722309</v>
      </c>
      <c r="D72" s="281">
        <f>+D70+D71</f>
        <v>33607131</v>
      </c>
      <c r="E72" s="281">
        <f>+E70+E71</f>
        <v>26976884</v>
      </c>
    </row>
    <row r="73" spans="1:5" ht="24" customHeight="1" x14ac:dyDescent="0.2">
      <c r="A73" s="17">
        <v>8</v>
      </c>
      <c r="B73" s="45" t="s">
        <v>54</v>
      </c>
      <c r="C73" s="270">
        <f>+C40</f>
        <v>50036702</v>
      </c>
      <c r="D73" s="270">
        <f>+D40</f>
        <v>50778002</v>
      </c>
      <c r="E73" s="270">
        <f>+E40</f>
        <v>54249457</v>
      </c>
    </row>
    <row r="74" spans="1:5" ht="24" customHeight="1" x14ac:dyDescent="0.2">
      <c r="A74" s="17">
        <v>9</v>
      </c>
      <c r="B74" s="45" t="s">
        <v>58</v>
      </c>
      <c r="C74" s="281">
        <v>62148146</v>
      </c>
      <c r="D74" s="281">
        <v>82249920</v>
      </c>
      <c r="E74" s="281">
        <v>79507217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112184848</v>
      </c>
      <c r="D75" s="270">
        <f>+D73+D74</f>
        <v>133027922</v>
      </c>
      <c r="E75" s="270">
        <f>+E73+E74</f>
        <v>133756674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21.447564761533719</v>
      </c>
      <c r="D77" s="286">
        <f>IF(D80=0,0,(D78/D80)*100)</f>
        <v>25.356282082645144</v>
      </c>
      <c r="E77" s="286">
        <f>IF(E80=0,0,(E78/E80)*100)</f>
        <v>23.903560312352511</v>
      </c>
    </row>
    <row r="78" spans="1:5" ht="24" customHeight="1" x14ac:dyDescent="0.2">
      <c r="A78" s="17">
        <v>12</v>
      </c>
      <c r="B78" s="45" t="s">
        <v>58</v>
      </c>
      <c r="C78" s="270">
        <f>+C74</f>
        <v>62148146</v>
      </c>
      <c r="D78" s="270">
        <f>+D74</f>
        <v>82249920</v>
      </c>
      <c r="E78" s="270">
        <f>+E74</f>
        <v>79507217</v>
      </c>
    </row>
    <row r="79" spans="1:5" ht="24" customHeight="1" x14ac:dyDescent="0.2">
      <c r="A79" s="17">
        <v>13</v>
      </c>
      <c r="B79" s="45" t="s">
        <v>67</v>
      </c>
      <c r="C79" s="270">
        <f>+C32</f>
        <v>227619698</v>
      </c>
      <c r="D79" s="270">
        <f>+D32</f>
        <v>242126973</v>
      </c>
      <c r="E79" s="270">
        <f>+E32</f>
        <v>253109414</v>
      </c>
    </row>
    <row r="80" spans="1:5" ht="24" customHeight="1" x14ac:dyDescent="0.2">
      <c r="A80" s="17">
        <v>14</v>
      </c>
      <c r="B80" s="45" t="s">
        <v>374</v>
      </c>
      <c r="C80" s="270">
        <f>+C78+C79</f>
        <v>289767844</v>
      </c>
      <c r="D80" s="270">
        <f>+D78+D79</f>
        <v>324376893</v>
      </c>
      <c r="E80" s="270">
        <f>+E78+E79</f>
        <v>332616631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FILING&amp;R&amp;8L+M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44819</v>
      </c>
      <c r="D11" s="296">
        <v>10607</v>
      </c>
      <c r="E11" s="296">
        <v>10261</v>
      </c>
      <c r="F11" s="297">
        <v>148</v>
      </c>
      <c r="G11" s="297">
        <v>148</v>
      </c>
      <c r="H11" s="298">
        <f>IF(F11=0,0,$C11/(F11*365))</f>
        <v>0.82967419474268789</v>
      </c>
      <c r="I11" s="298">
        <f>IF(G11=0,0,$C11/(G11*365))</f>
        <v>0.82967419474268789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5053</v>
      </c>
      <c r="D13" s="296">
        <v>356</v>
      </c>
      <c r="E13" s="296">
        <v>0</v>
      </c>
      <c r="F13" s="297">
        <v>20</v>
      </c>
      <c r="G13" s="297">
        <v>20</v>
      </c>
      <c r="H13" s="298">
        <f>IF(F13=0,0,$C13/(F13*365))</f>
        <v>0.69219178082191779</v>
      </c>
      <c r="I13" s="298">
        <f>IF(G13=0,0,$C13/(G13*365))</f>
        <v>0.69219178082191779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5447</v>
      </c>
      <c r="D16" s="296">
        <v>675</v>
      </c>
      <c r="E16" s="296">
        <v>675</v>
      </c>
      <c r="F16" s="297">
        <v>18</v>
      </c>
      <c r="G16" s="297">
        <v>18</v>
      </c>
      <c r="H16" s="298">
        <f t="shared" si="0"/>
        <v>0.82907153729071537</v>
      </c>
      <c r="I16" s="298">
        <f t="shared" si="0"/>
        <v>0.82907153729071537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5447</v>
      </c>
      <c r="D17" s="300">
        <f>SUM(D15:D16)</f>
        <v>675</v>
      </c>
      <c r="E17" s="300">
        <f>SUM(E15:E16)</f>
        <v>675</v>
      </c>
      <c r="F17" s="300">
        <f>SUM(F15:F16)</f>
        <v>18</v>
      </c>
      <c r="G17" s="300">
        <f>SUM(G15:G16)</f>
        <v>18</v>
      </c>
      <c r="H17" s="301">
        <f t="shared" si="0"/>
        <v>0.82907153729071537</v>
      </c>
      <c r="I17" s="301">
        <f t="shared" si="0"/>
        <v>0.82907153729071537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4867</v>
      </c>
      <c r="D19" s="296">
        <v>340</v>
      </c>
      <c r="E19" s="296">
        <v>340</v>
      </c>
      <c r="F19" s="297">
        <v>16</v>
      </c>
      <c r="G19" s="297">
        <v>16</v>
      </c>
      <c r="H19" s="298">
        <f>IF(F19=0,0,$C19/(F19*365))</f>
        <v>0.83339041095890409</v>
      </c>
      <c r="I19" s="298">
        <f>IF(G19=0,0,$C19/(G19*365))</f>
        <v>0.83339041095890409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4319</v>
      </c>
      <c r="D21" s="296">
        <v>1596</v>
      </c>
      <c r="E21" s="296">
        <v>1596</v>
      </c>
      <c r="F21" s="297">
        <v>24</v>
      </c>
      <c r="G21" s="297">
        <v>24</v>
      </c>
      <c r="H21" s="298">
        <f>IF(F21=0,0,$C21/(F21*365))</f>
        <v>0.49303652968036532</v>
      </c>
      <c r="I21" s="298">
        <f>IF(G21=0,0,$C21/(G21*365))</f>
        <v>0.49303652968036532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3356</v>
      </c>
      <c r="D23" s="296">
        <v>1380</v>
      </c>
      <c r="E23" s="296">
        <v>1380</v>
      </c>
      <c r="F23" s="297">
        <v>14</v>
      </c>
      <c r="G23" s="297">
        <v>14</v>
      </c>
      <c r="H23" s="298">
        <f>IF(F23=0,0,$C23/(F23*365))</f>
        <v>0.65675146771037185</v>
      </c>
      <c r="I23" s="298">
        <f>IF(G23=0,0,$C23/(G23*365))</f>
        <v>0.65675146771037185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2152</v>
      </c>
      <c r="D25" s="296">
        <v>158</v>
      </c>
      <c r="E25" s="296">
        <v>0</v>
      </c>
      <c r="F25" s="297">
        <v>10</v>
      </c>
      <c r="G25" s="297">
        <v>10</v>
      </c>
      <c r="H25" s="298">
        <f>IF(F25=0,0,$C25/(F25*365))</f>
        <v>0.58958904109589039</v>
      </c>
      <c r="I25" s="298">
        <f>IF(G25=0,0,$C25/(G25*365))</f>
        <v>0.58958904109589039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545</v>
      </c>
      <c r="D27" s="296">
        <v>176</v>
      </c>
      <c r="E27" s="296">
        <v>176</v>
      </c>
      <c r="F27" s="297">
        <v>6</v>
      </c>
      <c r="G27" s="297">
        <v>6</v>
      </c>
      <c r="H27" s="298">
        <f>IF(F27=0,0,$C27/(F27*365))</f>
        <v>0.24885844748858446</v>
      </c>
      <c r="I27" s="298">
        <f>IF(G27=0,0,$C27/(G27*365))</f>
        <v>0.24885844748858446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67202</v>
      </c>
      <c r="D31" s="300">
        <f>SUM(D10:D29)-D13-D17-D23</f>
        <v>13552</v>
      </c>
      <c r="E31" s="300">
        <f>SUM(E10:E29)-E17-E23</f>
        <v>13048</v>
      </c>
      <c r="F31" s="300">
        <f>SUM(F10:F29)-F17-F23</f>
        <v>242</v>
      </c>
      <c r="G31" s="300">
        <f>SUM(G10:G29)-G17-G23</f>
        <v>242</v>
      </c>
      <c r="H31" s="301">
        <f>IF(F31=0,0,$C31/(F31*365))</f>
        <v>0.76080606815351526</v>
      </c>
      <c r="I31" s="301">
        <f>IF(G31=0,0,$C31/(G31*365))</f>
        <v>0.76080606815351526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70558</v>
      </c>
      <c r="D33" s="300">
        <f>SUM(D10:D29)-D13-D17</f>
        <v>14932</v>
      </c>
      <c r="E33" s="300">
        <f>SUM(E10:E29)-E17</f>
        <v>14428</v>
      </c>
      <c r="F33" s="300">
        <f>SUM(F10:F29)-F17</f>
        <v>256</v>
      </c>
      <c r="G33" s="300">
        <f>SUM(G10:G29)-G17</f>
        <v>256</v>
      </c>
      <c r="H33" s="301">
        <f>IF(F33=0,0,$C33/(F33*365))</f>
        <v>0.75511558219178088</v>
      </c>
      <c r="I33" s="301">
        <f>IF(G33=0,0,$C33/(G33*365))</f>
        <v>0.75511558219178088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70558</v>
      </c>
      <c r="D36" s="300">
        <f t="shared" si="1"/>
        <v>14932</v>
      </c>
      <c r="E36" s="300">
        <f t="shared" si="1"/>
        <v>14428</v>
      </c>
      <c r="F36" s="300">
        <f t="shared" si="1"/>
        <v>256</v>
      </c>
      <c r="G36" s="300">
        <f t="shared" si="1"/>
        <v>256</v>
      </c>
      <c r="H36" s="301">
        <f t="shared" si="1"/>
        <v>0.75511558219178088</v>
      </c>
      <c r="I36" s="301">
        <f t="shared" si="1"/>
        <v>0.75511558219178088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74082</v>
      </c>
      <c r="D37" s="300">
        <v>15328</v>
      </c>
      <c r="E37" s="300">
        <v>14773</v>
      </c>
      <c r="F37" s="302">
        <v>256</v>
      </c>
      <c r="G37" s="302">
        <v>256</v>
      </c>
      <c r="H37" s="301">
        <f>IF(F37=0,0,$C37/(F37*365))</f>
        <v>0.79282962328767126</v>
      </c>
      <c r="I37" s="301">
        <f>IF(G37=0,0,$C37/(G37*365))</f>
        <v>0.79282962328767126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-3524</v>
      </c>
      <c r="D38" s="300">
        <f t="shared" si="2"/>
        <v>-396</v>
      </c>
      <c r="E38" s="300">
        <f t="shared" si="2"/>
        <v>-345</v>
      </c>
      <c r="F38" s="300">
        <f t="shared" si="2"/>
        <v>0</v>
      </c>
      <c r="G38" s="300">
        <f t="shared" si="2"/>
        <v>0</v>
      </c>
      <c r="H38" s="301">
        <f t="shared" si="2"/>
        <v>-3.7714041095890383E-2</v>
      </c>
      <c r="I38" s="301">
        <f t="shared" si="2"/>
        <v>-3.7714041095890383E-2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-4.7568910126616452E-2</v>
      </c>
      <c r="D40" s="148">
        <f t="shared" si="3"/>
        <v>-2.583507306889353E-2</v>
      </c>
      <c r="E40" s="148">
        <f t="shared" si="3"/>
        <v>-2.3353415013876666E-2</v>
      </c>
      <c r="F40" s="148">
        <f t="shared" si="3"/>
        <v>0</v>
      </c>
      <c r="G40" s="148">
        <f t="shared" si="3"/>
        <v>0</v>
      </c>
      <c r="H40" s="148">
        <f t="shared" si="3"/>
        <v>-4.7568910126616418E-2</v>
      </c>
      <c r="I40" s="148">
        <f t="shared" si="3"/>
        <v>-4.7568910126616418E-2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308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FILING&amp;RLAWRENCE AND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7555</v>
      </c>
      <c r="D12" s="296">
        <v>6816</v>
      </c>
      <c r="E12" s="296">
        <f>+D12-C12</f>
        <v>-739</v>
      </c>
      <c r="F12" s="316">
        <f>IF(C12=0,0,+E12/C12)</f>
        <v>-9.7816015883520846E-2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10682</v>
      </c>
      <c r="D13" s="296">
        <v>10042</v>
      </c>
      <c r="E13" s="296">
        <f>+D13-C13</f>
        <v>-640</v>
      </c>
      <c r="F13" s="316">
        <f>IF(C13=0,0,+E13/C13)</f>
        <v>-5.9913873806403298E-2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8049</v>
      </c>
      <c r="D14" s="296">
        <v>7628</v>
      </c>
      <c r="E14" s="296">
        <f>+D14-C14</f>
        <v>-421</v>
      </c>
      <c r="F14" s="316">
        <f>IF(C14=0,0,+E14/C14)</f>
        <v>-5.2304634116039257E-2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26286</v>
      </c>
      <c r="D16" s="300">
        <f>SUM(D12:D15)</f>
        <v>24486</v>
      </c>
      <c r="E16" s="300">
        <f>+D16-C16</f>
        <v>-1800</v>
      </c>
      <c r="F16" s="309">
        <f>IF(C16=0,0,+E16/C16)</f>
        <v>-6.8477516548733172E-2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1564</v>
      </c>
      <c r="D19" s="296">
        <v>1501</v>
      </c>
      <c r="E19" s="296">
        <f>+D19-C19</f>
        <v>-63</v>
      </c>
      <c r="F19" s="316">
        <f>IF(C19=0,0,+E19/C19)</f>
        <v>-4.0281329923273657E-2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9945</v>
      </c>
      <c r="D20" s="296">
        <v>9993</v>
      </c>
      <c r="E20" s="296">
        <f>+D20-C20</f>
        <v>48</v>
      </c>
      <c r="F20" s="316">
        <f>IF(C20=0,0,+E20/C20)</f>
        <v>4.8265460030165915E-3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110</v>
      </c>
      <c r="D21" s="296">
        <v>105</v>
      </c>
      <c r="E21" s="296">
        <f>+D21-C21</f>
        <v>-5</v>
      </c>
      <c r="F21" s="316">
        <f>IF(C21=0,0,+E21/C21)</f>
        <v>-4.5454545454545456E-2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11619</v>
      </c>
      <c r="D23" s="300">
        <f>SUM(D19:D22)</f>
        <v>11599</v>
      </c>
      <c r="E23" s="300">
        <f>+D23-C23</f>
        <v>-20</v>
      </c>
      <c r="F23" s="309">
        <f>IF(C23=0,0,+E23/C23)</f>
        <v>-1.7213185299939755E-3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2</v>
      </c>
      <c r="D33" s="296">
        <v>0</v>
      </c>
      <c r="E33" s="296">
        <f>+D33-C33</f>
        <v>-2</v>
      </c>
      <c r="F33" s="316">
        <f>IF(C33=0,0,+E33/C33)</f>
        <v>-1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419</v>
      </c>
      <c r="D34" s="296">
        <v>418</v>
      </c>
      <c r="E34" s="296">
        <f>+D34-C34</f>
        <v>-1</v>
      </c>
      <c r="F34" s="316">
        <f>IF(C34=0,0,+E34/C34)</f>
        <v>-2.3866348448687352E-3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421</v>
      </c>
      <c r="D37" s="300">
        <f>SUM(D33:D36)</f>
        <v>418</v>
      </c>
      <c r="E37" s="300">
        <f>+D37-C37</f>
        <v>-3</v>
      </c>
      <c r="F37" s="309">
        <f>IF(C37=0,0,+E37/C37)</f>
        <v>-7.1258907363420431E-3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183</v>
      </c>
      <c r="D43" s="296">
        <v>329</v>
      </c>
      <c r="E43" s="296">
        <f>+D43-C43</f>
        <v>146</v>
      </c>
      <c r="F43" s="316">
        <f>IF(C43=0,0,+E43/C43)</f>
        <v>0.79781420765027322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8255</v>
      </c>
      <c r="D44" s="296">
        <v>9350</v>
      </c>
      <c r="E44" s="296">
        <f>+D44-C44</f>
        <v>1095</v>
      </c>
      <c r="F44" s="316">
        <f>IF(C44=0,0,+E44/C44)</f>
        <v>0.13264688067837674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8438</v>
      </c>
      <c r="D45" s="300">
        <f>SUM(D43:D44)</f>
        <v>9679</v>
      </c>
      <c r="E45" s="300">
        <f>+D45-C45</f>
        <v>1241</v>
      </c>
      <c r="F45" s="309">
        <f>IF(C45=0,0,+E45/C45)</f>
        <v>0.14707276605830766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364</v>
      </c>
      <c r="D48" s="296">
        <v>353</v>
      </c>
      <c r="E48" s="296">
        <f>+D48-C48</f>
        <v>-11</v>
      </c>
      <c r="F48" s="316">
        <f>IF(C48=0,0,+E48/C48)</f>
        <v>-3.021978021978022E-2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289</v>
      </c>
      <c r="D49" s="296">
        <v>239</v>
      </c>
      <c r="E49" s="296">
        <f>+D49-C49</f>
        <v>-50</v>
      </c>
      <c r="F49" s="316">
        <f>IF(C49=0,0,+E49/C49)</f>
        <v>-0.17301038062283736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653</v>
      </c>
      <c r="D50" s="300">
        <f>SUM(D48:D49)</f>
        <v>592</v>
      </c>
      <c r="E50" s="300">
        <f>+D50-C50</f>
        <v>-61</v>
      </c>
      <c r="F50" s="309">
        <f>IF(C50=0,0,+E50/C50)</f>
        <v>-9.3415007656967836E-2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70</v>
      </c>
      <c r="D53" s="296">
        <v>91</v>
      </c>
      <c r="E53" s="296">
        <f>+D53-C53</f>
        <v>21</v>
      </c>
      <c r="F53" s="316">
        <f>IF(C53=0,0,+E53/C53)</f>
        <v>0.3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70</v>
      </c>
      <c r="D55" s="300">
        <f>SUM(D53:D54)</f>
        <v>91</v>
      </c>
      <c r="E55" s="300">
        <f>+D55-C55</f>
        <v>21</v>
      </c>
      <c r="F55" s="309">
        <f>IF(C55=0,0,+E55/C55)</f>
        <v>0.3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2962</v>
      </c>
      <c r="D63" s="296">
        <v>3397</v>
      </c>
      <c r="E63" s="296">
        <f>+D63-C63</f>
        <v>435</v>
      </c>
      <c r="F63" s="316">
        <f>IF(C63=0,0,+E63/C63)</f>
        <v>0.14686022957461176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10501</v>
      </c>
      <c r="D64" s="296">
        <v>11018</v>
      </c>
      <c r="E64" s="296">
        <f>+D64-C64</f>
        <v>517</v>
      </c>
      <c r="F64" s="316">
        <f>IF(C64=0,0,+E64/C64)</f>
        <v>4.9233406342253122E-2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13463</v>
      </c>
      <c r="D65" s="300">
        <f>SUM(D63:D64)</f>
        <v>14415</v>
      </c>
      <c r="E65" s="300">
        <f>+D65-C65</f>
        <v>952</v>
      </c>
      <c r="F65" s="309">
        <f>IF(C65=0,0,+E65/C65)</f>
        <v>7.0712322662110971E-2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665</v>
      </c>
      <c r="D68" s="296">
        <v>695</v>
      </c>
      <c r="E68" s="296">
        <f>+D68-C68</f>
        <v>30</v>
      </c>
      <c r="F68" s="316">
        <f>IF(C68=0,0,+E68/C68)</f>
        <v>4.5112781954887216E-2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2120</v>
      </c>
      <c r="D69" s="296">
        <v>1691</v>
      </c>
      <c r="E69" s="296">
        <f>+D69-C69</f>
        <v>-429</v>
      </c>
      <c r="F69" s="318">
        <f>IF(C69=0,0,+E69/C69)</f>
        <v>-0.20235849056603775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2785</v>
      </c>
      <c r="D70" s="300">
        <f>SUM(D68:D69)</f>
        <v>2386</v>
      </c>
      <c r="E70" s="300">
        <f>+D70-C70</f>
        <v>-399</v>
      </c>
      <c r="F70" s="309">
        <f>IF(C70=0,0,+E70/C70)</f>
        <v>-0.14326750448833034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7543</v>
      </c>
      <c r="D73" s="319">
        <v>6525</v>
      </c>
      <c r="E73" s="296">
        <f>+D73-C73</f>
        <v>-1018</v>
      </c>
      <c r="F73" s="316">
        <f>IF(C73=0,0,+E73/C73)</f>
        <v>-0.13495956515975077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72571</v>
      </c>
      <c r="D74" s="319">
        <v>76140</v>
      </c>
      <c r="E74" s="296">
        <f>+D74-C74</f>
        <v>3569</v>
      </c>
      <c r="F74" s="316">
        <f>IF(C74=0,0,+E74/C74)</f>
        <v>4.9179424287938707E-2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80114</v>
      </c>
      <c r="D75" s="300">
        <f>SUM(D73:D74)</f>
        <v>82665</v>
      </c>
      <c r="E75" s="300">
        <f>SUM(E73:E74)</f>
        <v>2551</v>
      </c>
      <c r="F75" s="309">
        <f>IF(C75=0,0,+E75/C75)</f>
        <v>3.184212497191502E-2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14030</v>
      </c>
      <c r="D81" s="319">
        <v>17490</v>
      </c>
      <c r="E81" s="296">
        <f t="shared" si="0"/>
        <v>3460</v>
      </c>
      <c r="F81" s="316">
        <f t="shared" si="1"/>
        <v>0.24661439771917321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14030</v>
      </c>
      <c r="D84" s="320">
        <f>SUM(D79:D83)</f>
        <v>17490</v>
      </c>
      <c r="E84" s="300">
        <f t="shared" si="0"/>
        <v>3460</v>
      </c>
      <c r="F84" s="309">
        <f t="shared" si="1"/>
        <v>0.24661439771917321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69848</v>
      </c>
      <c r="D87" s="322">
        <v>79924</v>
      </c>
      <c r="E87" s="323">
        <f t="shared" ref="E87:E92" si="2">+D87-C87</f>
        <v>10076</v>
      </c>
      <c r="F87" s="318">
        <f t="shared" ref="F87:F92" si="3">IF(C87=0,0,+E87/C87)</f>
        <v>0.14425609895773681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3935</v>
      </c>
      <c r="D88" s="322">
        <v>4610</v>
      </c>
      <c r="E88" s="296">
        <f t="shared" si="2"/>
        <v>675</v>
      </c>
      <c r="F88" s="316">
        <f t="shared" si="3"/>
        <v>0.17153748411689962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1735</v>
      </c>
      <c r="D89" s="322">
        <v>1602</v>
      </c>
      <c r="E89" s="296">
        <f t="shared" si="2"/>
        <v>-133</v>
      </c>
      <c r="F89" s="316">
        <f t="shared" si="3"/>
        <v>-7.6657060518731987E-2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3464</v>
      </c>
      <c r="D90" s="322">
        <v>2809</v>
      </c>
      <c r="E90" s="296">
        <f t="shared" si="2"/>
        <v>-655</v>
      </c>
      <c r="F90" s="316">
        <f t="shared" si="3"/>
        <v>-0.18908775981524251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280827</v>
      </c>
      <c r="D91" s="322">
        <v>197580</v>
      </c>
      <c r="E91" s="296">
        <f t="shared" si="2"/>
        <v>-83247</v>
      </c>
      <c r="F91" s="316">
        <f t="shared" si="3"/>
        <v>-0.29643517183176832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359809</v>
      </c>
      <c r="D92" s="320">
        <f>SUM(D87:D91)</f>
        <v>286525</v>
      </c>
      <c r="E92" s="300">
        <f t="shared" si="2"/>
        <v>-73284</v>
      </c>
      <c r="F92" s="309">
        <f t="shared" si="3"/>
        <v>-0.20367472742482817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519.20000000000005</v>
      </c>
      <c r="D96" s="325">
        <v>460.5</v>
      </c>
      <c r="E96" s="326">
        <f>+D96-C96</f>
        <v>-58.700000000000045</v>
      </c>
      <c r="F96" s="316">
        <f>IF(C96=0,0,+E96/C96)</f>
        <v>-0.11305855161787373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9.4</v>
      </c>
      <c r="D97" s="325">
        <v>2.2999999999999998</v>
      </c>
      <c r="E97" s="326">
        <f>+D97-C97</f>
        <v>-7.1000000000000005</v>
      </c>
      <c r="F97" s="316">
        <f>IF(C97=0,0,+E97/C97)</f>
        <v>-0.75531914893617025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1410.5</v>
      </c>
      <c r="D98" s="325">
        <v>1492</v>
      </c>
      <c r="E98" s="326">
        <f>+D98-C98</f>
        <v>81.5</v>
      </c>
      <c r="F98" s="316">
        <f>IF(C98=0,0,+E98/C98)</f>
        <v>5.7780928748670683E-2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1939.1</v>
      </c>
      <c r="D99" s="327">
        <f>SUM(D96:D98)</f>
        <v>1954.8</v>
      </c>
      <c r="E99" s="327">
        <f>+D99-C99</f>
        <v>15.700000000000045</v>
      </c>
      <c r="F99" s="309">
        <f>IF(C99=0,0,+E99/C99)</f>
        <v>8.0965396317879672E-3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FILING&amp;RLAWRENCE AND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7747</v>
      </c>
      <c r="D12" s="296">
        <v>8282</v>
      </c>
      <c r="E12" s="296">
        <f>+D12-C12</f>
        <v>535</v>
      </c>
      <c r="F12" s="316">
        <f>IF(C12=0,0,+E12/C12)</f>
        <v>6.9058990576997548E-2</v>
      </c>
    </row>
    <row r="13" spans="1:16" ht="15.75" customHeight="1" x14ac:dyDescent="0.2">
      <c r="A13" s="294">
        <v>2</v>
      </c>
      <c r="B13" s="295" t="s">
        <v>602</v>
      </c>
      <c r="C13" s="296">
        <v>2754</v>
      </c>
      <c r="D13" s="296">
        <v>2736</v>
      </c>
      <c r="E13" s="296">
        <f>+D13-C13</f>
        <v>-18</v>
      </c>
      <c r="F13" s="316">
        <f>IF(C13=0,0,+E13/C13)</f>
        <v>-6.5359477124183009E-3</v>
      </c>
    </row>
    <row r="14" spans="1:16" ht="15.75" customHeight="1" x14ac:dyDescent="0.25">
      <c r="A14" s="294"/>
      <c r="B14" s="135" t="s">
        <v>603</v>
      </c>
      <c r="C14" s="300">
        <f>SUM(C11:C13)</f>
        <v>10501</v>
      </c>
      <c r="D14" s="300">
        <f>SUM(D11:D13)</f>
        <v>11018</v>
      </c>
      <c r="E14" s="300">
        <f>+D14-C14</f>
        <v>517</v>
      </c>
      <c r="F14" s="309">
        <f>IF(C14=0,0,+E14/C14)</f>
        <v>4.9233406342253122E-2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576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604</v>
      </c>
      <c r="C17" s="296">
        <v>2120</v>
      </c>
      <c r="D17" s="296">
        <v>1691</v>
      </c>
      <c r="E17" s="296">
        <f>+D17-C17</f>
        <v>-429</v>
      </c>
      <c r="F17" s="316">
        <f>IF(C17=0,0,+E17/C17)</f>
        <v>-0.20235849056603775</v>
      </c>
    </row>
    <row r="18" spans="1:6" ht="15.75" customHeight="1" x14ac:dyDescent="0.25">
      <c r="A18" s="294"/>
      <c r="B18" s="135" t="s">
        <v>605</v>
      </c>
      <c r="C18" s="300">
        <f>SUM(C16:C17)</f>
        <v>2120</v>
      </c>
      <c r="D18" s="300">
        <f>SUM(D16:D17)</f>
        <v>1691</v>
      </c>
      <c r="E18" s="300">
        <f>+D18-C18</f>
        <v>-429</v>
      </c>
      <c r="F18" s="309">
        <f>IF(C18=0,0,+E18/C18)</f>
        <v>-0.20235849056603775</v>
      </c>
    </row>
    <row r="19" spans="1:6" ht="15.75" customHeight="1" x14ac:dyDescent="0.25">
      <c r="A19" s="293"/>
      <c r="B19" s="135"/>
      <c r="C19" s="300"/>
      <c r="D19" s="300"/>
      <c r="E19" s="300"/>
      <c r="F19" s="309"/>
    </row>
    <row r="20" spans="1:6" ht="15.75" customHeight="1" x14ac:dyDescent="0.25">
      <c r="A20" s="293" t="s">
        <v>141</v>
      </c>
      <c r="B20" s="291" t="s">
        <v>606</v>
      </c>
      <c r="C20" s="296"/>
      <c r="D20" s="296"/>
      <c r="E20" s="296"/>
      <c r="F20" s="316"/>
    </row>
    <row r="21" spans="1:6" ht="15.75" customHeight="1" x14ac:dyDescent="0.2">
      <c r="A21" s="294">
        <v>1</v>
      </c>
      <c r="B21" s="295" t="s">
        <v>604</v>
      </c>
      <c r="C21" s="296">
        <v>36021</v>
      </c>
      <c r="D21" s="296">
        <v>40965</v>
      </c>
      <c r="E21" s="296">
        <f>+D21-C21</f>
        <v>4944</v>
      </c>
      <c r="F21" s="316">
        <f>IF(C21=0,0,+E21/C21)</f>
        <v>0.13725326892645956</v>
      </c>
    </row>
    <row r="22" spans="1:6" ht="15.75" customHeight="1" x14ac:dyDescent="0.2">
      <c r="A22" s="294">
        <v>2</v>
      </c>
      <c r="B22" s="295" t="s">
        <v>602</v>
      </c>
      <c r="C22" s="296">
        <v>36550</v>
      </c>
      <c r="D22" s="296">
        <v>35175</v>
      </c>
      <c r="E22" s="296">
        <f>+D22-C22</f>
        <v>-1375</v>
      </c>
      <c r="F22" s="316">
        <f>IF(C22=0,0,+E22/C22)</f>
        <v>-3.761969904240766E-2</v>
      </c>
    </row>
    <row r="23" spans="1:6" ht="15.75" customHeight="1" x14ac:dyDescent="0.25">
      <c r="A23" s="294"/>
      <c r="B23" s="135" t="s">
        <v>607</v>
      </c>
      <c r="C23" s="300">
        <f>SUM(C20:C22)</f>
        <v>72571</v>
      </c>
      <c r="D23" s="300">
        <f>SUM(D20:D22)</f>
        <v>76140</v>
      </c>
      <c r="E23" s="300">
        <f>+D23-C23</f>
        <v>3569</v>
      </c>
      <c r="F23" s="309">
        <f>IF(C23=0,0,+E23/C23)</f>
        <v>4.9179424287938707E-2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608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609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610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FILING&amp;RLAWRENCE AND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615</v>
      </c>
      <c r="D7" s="341" t="s">
        <v>615</v>
      </c>
      <c r="E7" s="341" t="s">
        <v>616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617</v>
      </c>
      <c r="D8" s="344" t="s">
        <v>618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620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622</v>
      </c>
      <c r="C15" s="361">
        <v>155839588</v>
      </c>
      <c r="D15" s="361">
        <v>156683829</v>
      </c>
      <c r="E15" s="361">
        <f t="shared" ref="E15:E24" si="0">D15-C15</f>
        <v>844241</v>
      </c>
      <c r="F15" s="362">
        <f t="shared" ref="F15:F24" si="1">IF(C15=0,0,E15/C15)</f>
        <v>5.4173718683085837E-3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623</v>
      </c>
      <c r="C16" s="361">
        <v>69135193</v>
      </c>
      <c r="D16" s="361">
        <v>73626752</v>
      </c>
      <c r="E16" s="361">
        <f t="shared" si="0"/>
        <v>4491559</v>
      </c>
      <c r="F16" s="362">
        <f t="shared" si="1"/>
        <v>6.496776540422762E-2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624</v>
      </c>
      <c r="C17" s="366">
        <f>IF(C15=0,0,C16/C15)</f>
        <v>0.44363049137424565</v>
      </c>
      <c r="D17" s="366">
        <f>IF(LN_IA1=0,0,LN_IA2/LN_IA1)</f>
        <v>0.46990651473037465</v>
      </c>
      <c r="E17" s="367">
        <f t="shared" si="0"/>
        <v>2.6276023356128997E-2</v>
      </c>
      <c r="F17" s="362">
        <f t="shared" si="1"/>
        <v>5.922952517247649E-2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6897</v>
      </c>
      <c r="D18" s="369">
        <v>6829</v>
      </c>
      <c r="E18" s="369">
        <f t="shared" si="0"/>
        <v>-68</v>
      </c>
      <c r="F18" s="362">
        <f t="shared" si="1"/>
        <v>-9.8593591416557928E-3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625</v>
      </c>
      <c r="C19" s="372">
        <v>1.4370000000000001</v>
      </c>
      <c r="D19" s="372">
        <v>1.4081999999999999</v>
      </c>
      <c r="E19" s="373">
        <f t="shared" si="0"/>
        <v>-2.8800000000000159E-2</v>
      </c>
      <c r="F19" s="362">
        <f t="shared" si="1"/>
        <v>-2.0041753653444787E-2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626</v>
      </c>
      <c r="C20" s="376">
        <f>C18*C19</f>
        <v>9910.9889999999996</v>
      </c>
      <c r="D20" s="376">
        <f>LN_IA4*LN_IA5</f>
        <v>9616.5977999999996</v>
      </c>
      <c r="E20" s="376">
        <f t="shared" si="0"/>
        <v>-294.39120000000003</v>
      </c>
      <c r="F20" s="362">
        <f t="shared" si="1"/>
        <v>-2.970351394800257E-2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627</v>
      </c>
      <c r="C21" s="378">
        <f>IF(C20=0,0,C16/C20)</f>
        <v>6975.6099012923942</v>
      </c>
      <c r="D21" s="378">
        <f>IF(LN_IA6=0,0,LN_IA2/LN_IA6)</f>
        <v>7656.2162140128185</v>
      </c>
      <c r="E21" s="378">
        <f t="shared" si="0"/>
        <v>680.60631272042428</v>
      </c>
      <c r="F21" s="362">
        <f t="shared" si="1"/>
        <v>9.7569434408068909E-2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40206</v>
      </c>
      <c r="D22" s="369">
        <v>38019</v>
      </c>
      <c r="E22" s="369">
        <f t="shared" si="0"/>
        <v>-2187</v>
      </c>
      <c r="F22" s="362">
        <f t="shared" si="1"/>
        <v>-5.4394866437845101E-2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628</v>
      </c>
      <c r="C23" s="378">
        <f>IF(C22=0,0,C16/C22)</f>
        <v>1719.5242749838333</v>
      </c>
      <c r="D23" s="378">
        <f>IF(LN_IA8=0,0,LN_IA2/LN_IA8)</f>
        <v>1936.5778163549803</v>
      </c>
      <c r="E23" s="378">
        <f t="shared" si="0"/>
        <v>217.05354137114705</v>
      </c>
      <c r="F23" s="362">
        <f t="shared" si="1"/>
        <v>0.12622883231653578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629</v>
      </c>
      <c r="C24" s="379">
        <f>IF(C18=0,0,C22/C18)</f>
        <v>5.8294910830796001</v>
      </c>
      <c r="D24" s="379">
        <f>IF(LN_IA4=0,0,LN_IA8/LN_IA4)</f>
        <v>5.5672865719724705</v>
      </c>
      <c r="E24" s="379">
        <f t="shared" si="0"/>
        <v>-0.26220451110712961</v>
      </c>
      <c r="F24" s="362">
        <f t="shared" si="1"/>
        <v>-4.4978971126346141E-2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630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631</v>
      </c>
      <c r="C27" s="361">
        <v>107726275</v>
      </c>
      <c r="D27" s="361">
        <v>123938243</v>
      </c>
      <c r="E27" s="361">
        <f t="shared" ref="E27:E32" si="2">D27-C27</f>
        <v>16211968</v>
      </c>
      <c r="F27" s="362">
        <f t="shared" ref="F27:F32" si="3">IF(C27=0,0,E27/C27)</f>
        <v>0.15049223599349371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632</v>
      </c>
      <c r="C28" s="361">
        <v>30826121</v>
      </c>
      <c r="D28" s="361">
        <v>33437310</v>
      </c>
      <c r="E28" s="361">
        <f t="shared" si="2"/>
        <v>2611189</v>
      </c>
      <c r="F28" s="362">
        <f t="shared" si="3"/>
        <v>8.470702492863115E-2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633</v>
      </c>
      <c r="C29" s="366">
        <f>IF(C27=0,0,C28/C27)</f>
        <v>0.28615229664257863</v>
      </c>
      <c r="D29" s="366">
        <f>IF(LN_IA11=0,0,LN_IA12/LN_IA11)</f>
        <v>0.26979009215097555</v>
      </c>
      <c r="E29" s="367">
        <f t="shared" si="2"/>
        <v>-1.6362204491603083E-2</v>
      </c>
      <c r="F29" s="362">
        <f t="shared" si="3"/>
        <v>-5.7180056506904282E-2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634</v>
      </c>
      <c r="C30" s="366">
        <f>IF(C15=0,0,C27/C15)</f>
        <v>0.69126385909079791</v>
      </c>
      <c r="D30" s="366">
        <f>IF(LN_IA1=0,0,LN_IA11/LN_IA1)</f>
        <v>0.7910085156267147</v>
      </c>
      <c r="E30" s="367">
        <f t="shared" si="2"/>
        <v>9.9744656535916798E-2</v>
      </c>
      <c r="F30" s="362">
        <f t="shared" si="3"/>
        <v>0.14429317434171729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635</v>
      </c>
      <c r="C31" s="376">
        <f>C30*C18</f>
        <v>4767.6468361492334</v>
      </c>
      <c r="D31" s="376">
        <f>LN_IA14*LN_IA4</f>
        <v>5401.7971532148349</v>
      </c>
      <c r="E31" s="376">
        <f t="shared" si="2"/>
        <v>634.15031706560148</v>
      </c>
      <c r="F31" s="362">
        <f t="shared" si="3"/>
        <v>0.13301117697253692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636</v>
      </c>
      <c r="C32" s="378">
        <f>IF(C31=0,0,C28/C31)</f>
        <v>6465.6888522594218</v>
      </c>
      <c r="D32" s="378">
        <f>IF(LN_IA15=0,0,LN_IA12/LN_IA15)</f>
        <v>6190.034362934206</v>
      </c>
      <c r="E32" s="378">
        <f t="shared" si="2"/>
        <v>-275.65448932521576</v>
      </c>
      <c r="F32" s="362">
        <f t="shared" si="3"/>
        <v>-4.2633429418566723E-2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638</v>
      </c>
      <c r="C35" s="361">
        <f>C15+C27</f>
        <v>263565863</v>
      </c>
      <c r="D35" s="361">
        <f>LN_IA1+LN_IA11</f>
        <v>280622072</v>
      </c>
      <c r="E35" s="361">
        <f>D35-C35</f>
        <v>17056209</v>
      </c>
      <c r="F35" s="362">
        <f>IF(C35=0,0,E35/C35)</f>
        <v>6.4713270549760074E-2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639</v>
      </c>
      <c r="C36" s="361">
        <f>C16+C28</f>
        <v>99961314</v>
      </c>
      <c r="D36" s="361">
        <f>LN_IA2+LN_IA12</f>
        <v>107064062</v>
      </c>
      <c r="E36" s="361">
        <f>D36-C36</f>
        <v>7102748</v>
      </c>
      <c r="F36" s="362">
        <f>IF(C36=0,0,E36/C36)</f>
        <v>7.1054968325046222E-2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640</v>
      </c>
      <c r="C37" s="361">
        <f>C35-C36</f>
        <v>163604549</v>
      </c>
      <c r="D37" s="361">
        <f>LN_IA17-LN_IA18</f>
        <v>173558010</v>
      </c>
      <c r="E37" s="361">
        <f>D37-C37</f>
        <v>9953461</v>
      </c>
      <c r="F37" s="362">
        <f>IF(C37=0,0,E37/C37)</f>
        <v>6.0838534507986083E-2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622</v>
      </c>
      <c r="C42" s="361">
        <v>72224395</v>
      </c>
      <c r="D42" s="361">
        <v>72758907</v>
      </c>
      <c r="E42" s="361">
        <f t="shared" ref="E42:E53" si="4">D42-C42</f>
        <v>534512</v>
      </c>
      <c r="F42" s="362">
        <f t="shared" ref="F42:F53" si="5">IF(C42=0,0,E42/C42)</f>
        <v>7.4007127370191196E-3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623</v>
      </c>
      <c r="C43" s="361">
        <v>52196374</v>
      </c>
      <c r="D43" s="361">
        <v>51860378</v>
      </c>
      <c r="E43" s="361">
        <f t="shared" si="4"/>
        <v>-335996</v>
      </c>
      <c r="F43" s="362">
        <f t="shared" si="5"/>
        <v>-6.4371521286133784E-3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624</v>
      </c>
      <c r="C44" s="366">
        <f>IF(C42=0,0,C43/C42)</f>
        <v>0.72269728254559973</v>
      </c>
      <c r="D44" s="366">
        <f>IF(LN_IB1=0,0,LN_IB2/LN_IB1)</f>
        <v>0.71277016297124973</v>
      </c>
      <c r="E44" s="367">
        <f t="shared" si="4"/>
        <v>-9.9271195743499963E-3</v>
      </c>
      <c r="F44" s="362">
        <f t="shared" si="5"/>
        <v>-1.3736207142474801E-2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4292</v>
      </c>
      <c r="D45" s="369">
        <v>4075</v>
      </c>
      <c r="E45" s="369">
        <f t="shared" si="4"/>
        <v>-217</v>
      </c>
      <c r="F45" s="362">
        <f t="shared" si="5"/>
        <v>-5.0559179869524698E-2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625</v>
      </c>
      <c r="C46" s="372">
        <v>1.1148</v>
      </c>
      <c r="D46" s="372">
        <v>1.149</v>
      </c>
      <c r="E46" s="373">
        <f t="shared" si="4"/>
        <v>3.4200000000000008E-2</v>
      </c>
      <c r="F46" s="362">
        <f t="shared" si="5"/>
        <v>3.067814854682455E-2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626</v>
      </c>
      <c r="C47" s="376">
        <f>C45*C46</f>
        <v>4784.7215999999999</v>
      </c>
      <c r="D47" s="376">
        <f>LN_IB4*LN_IB5</f>
        <v>4682.1750000000002</v>
      </c>
      <c r="E47" s="376">
        <f t="shared" si="4"/>
        <v>-102.54659999999967</v>
      </c>
      <c r="F47" s="362">
        <f t="shared" si="5"/>
        <v>-2.1432093353142986E-2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627</v>
      </c>
      <c r="C48" s="378">
        <f>IF(C47=0,0,C43/C47)</f>
        <v>10908.967827929633</v>
      </c>
      <c r="D48" s="378">
        <f>IF(LN_IB6=0,0,LN_IB2/LN_IB6)</f>
        <v>11076.129790108229</v>
      </c>
      <c r="E48" s="378">
        <f t="shared" si="4"/>
        <v>167.16196217859579</v>
      </c>
      <c r="F48" s="362">
        <f t="shared" si="5"/>
        <v>1.5323352751175979E-2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643</v>
      </c>
      <c r="C49" s="378">
        <f>C21-C48</f>
        <v>-3933.357926637239</v>
      </c>
      <c r="D49" s="378">
        <f>LN_IA7-LN_IB7</f>
        <v>-3419.9135760954105</v>
      </c>
      <c r="E49" s="378">
        <f t="shared" si="4"/>
        <v>513.4443505418285</v>
      </c>
      <c r="F49" s="362">
        <f t="shared" si="5"/>
        <v>-0.13053588311013167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644</v>
      </c>
      <c r="C50" s="391">
        <f>C49*C47</f>
        <v>-18820022.632112414</v>
      </c>
      <c r="D50" s="391">
        <f>LN_IB8*LN_IB6</f>
        <v>-16012633.84815453</v>
      </c>
      <c r="E50" s="391">
        <f t="shared" si="4"/>
        <v>2807388.7839578837</v>
      </c>
      <c r="F50" s="362">
        <f t="shared" si="5"/>
        <v>-0.14917031923052337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16534</v>
      </c>
      <c r="D51" s="369">
        <v>15479</v>
      </c>
      <c r="E51" s="369">
        <f t="shared" si="4"/>
        <v>-1055</v>
      </c>
      <c r="F51" s="362">
        <f t="shared" si="5"/>
        <v>-6.3807910971331802E-2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628</v>
      </c>
      <c r="C52" s="378">
        <f>IF(C51=0,0,C43/C51)</f>
        <v>3156.9114551832586</v>
      </c>
      <c r="D52" s="378">
        <f>IF(LN_IB10=0,0,LN_IB2/LN_IB10)</f>
        <v>3350.3700497448153</v>
      </c>
      <c r="E52" s="378">
        <f t="shared" si="4"/>
        <v>193.45859456155677</v>
      </c>
      <c r="F52" s="362">
        <f t="shared" si="5"/>
        <v>6.1280969488048724E-2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629</v>
      </c>
      <c r="C53" s="379">
        <f>IF(C45=0,0,C51/C45)</f>
        <v>3.8522833178005591</v>
      </c>
      <c r="D53" s="379">
        <f>IF(LN_IB4=0,0,LN_IB10/LN_IB4)</f>
        <v>3.7985276073619634</v>
      </c>
      <c r="E53" s="379">
        <f t="shared" si="4"/>
        <v>-5.3755710438595727E-2</v>
      </c>
      <c r="F53" s="362">
        <f t="shared" si="5"/>
        <v>-1.3954246353117991E-2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631</v>
      </c>
      <c r="C56" s="361">
        <v>180011782</v>
      </c>
      <c r="D56" s="361">
        <v>185599975</v>
      </c>
      <c r="E56" s="361">
        <f t="shared" ref="E56:E63" si="6">D56-C56</f>
        <v>5588193</v>
      </c>
      <c r="F56" s="362">
        <f t="shared" ref="F56:F63" si="7">IF(C56=0,0,E56/C56)</f>
        <v>3.104348469812937E-2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632</v>
      </c>
      <c r="C57" s="361">
        <v>99098435</v>
      </c>
      <c r="D57" s="361">
        <v>105152745</v>
      </c>
      <c r="E57" s="361">
        <f t="shared" si="6"/>
        <v>6054310</v>
      </c>
      <c r="F57" s="362">
        <f t="shared" si="7"/>
        <v>6.1093901230629931E-2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633</v>
      </c>
      <c r="C58" s="366">
        <f>IF(C56=0,0,C57/C56)</f>
        <v>0.55051082711908272</v>
      </c>
      <c r="D58" s="366">
        <f>IF(LN_IB13=0,0,LN_IB14/LN_IB13)</f>
        <v>0.56655581446064307</v>
      </c>
      <c r="E58" s="367">
        <f t="shared" si="6"/>
        <v>1.6044987341560346E-2</v>
      </c>
      <c r="F58" s="362">
        <f t="shared" si="7"/>
        <v>2.9145634474668752E-2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634</v>
      </c>
      <c r="C59" s="366">
        <f>IF(C42=0,0,C56/C42)</f>
        <v>2.4923958449219268</v>
      </c>
      <c r="D59" s="366">
        <f>IF(LN_IB1=0,0,LN_IB13/LN_IB1)</f>
        <v>2.5508900923978972</v>
      </c>
      <c r="E59" s="367">
        <f t="shared" si="6"/>
        <v>5.8494247475970429E-2</v>
      </c>
      <c r="F59" s="362">
        <f t="shared" si="7"/>
        <v>2.3469084012135613E-2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635</v>
      </c>
      <c r="C60" s="376">
        <f>C59*C45</f>
        <v>10697.362966404909</v>
      </c>
      <c r="D60" s="376">
        <f>LN_IB16*LN_IB4</f>
        <v>10394.877126521431</v>
      </c>
      <c r="E60" s="376">
        <f t="shared" si="6"/>
        <v>-302.48583988347855</v>
      </c>
      <c r="F60" s="362">
        <f t="shared" si="7"/>
        <v>-2.8276673497331629E-2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636</v>
      </c>
      <c r="C61" s="378">
        <f>IF(C60=0,0,C57/C60)</f>
        <v>9263.8190656163424</v>
      </c>
      <c r="D61" s="378">
        <f>IF(LN_IB17=0,0,LN_IB14/LN_IB17)</f>
        <v>10115.82375819661</v>
      </c>
      <c r="E61" s="378">
        <f t="shared" si="6"/>
        <v>852.00469258026715</v>
      </c>
      <c r="F61" s="362">
        <f t="shared" si="7"/>
        <v>9.1971214738268567E-2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646</v>
      </c>
      <c r="C62" s="378">
        <f>C32-C61</f>
        <v>-2798.1302133569206</v>
      </c>
      <c r="D62" s="378">
        <f>LN_IA16-LN_IB18</f>
        <v>-3925.7893952624036</v>
      </c>
      <c r="E62" s="378">
        <f t="shared" si="6"/>
        <v>-1127.6591819054829</v>
      </c>
      <c r="F62" s="362">
        <f t="shared" si="7"/>
        <v>0.40300454086181664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647</v>
      </c>
      <c r="C63" s="361">
        <f>C62*C60</f>
        <v>-29932614.519542992</v>
      </c>
      <c r="D63" s="361">
        <f>LN_IB19*LN_IB17</f>
        <v>-40808098.388353556</v>
      </c>
      <c r="E63" s="361">
        <f t="shared" si="6"/>
        <v>-10875483.868810564</v>
      </c>
      <c r="F63" s="362">
        <f t="shared" si="7"/>
        <v>0.36333223954459326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638</v>
      </c>
      <c r="C66" s="361">
        <f>C42+C56</f>
        <v>252236177</v>
      </c>
      <c r="D66" s="361">
        <f>LN_IB1+LN_IB13</f>
        <v>258358882</v>
      </c>
      <c r="E66" s="361">
        <f>D66-C66</f>
        <v>6122705</v>
      </c>
      <c r="F66" s="362">
        <f>IF(C66=0,0,E66/C66)</f>
        <v>2.4273698851691682E-2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639</v>
      </c>
      <c r="C67" s="361">
        <f>C43+C57</f>
        <v>151294809</v>
      </c>
      <c r="D67" s="361">
        <f>LN_IB2+LN_IB14</f>
        <v>157013123</v>
      </c>
      <c r="E67" s="361">
        <f>D67-C67</f>
        <v>5718314</v>
      </c>
      <c r="F67" s="362">
        <f>IF(C67=0,0,E67/C67)</f>
        <v>3.7795837397170712E-2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640</v>
      </c>
      <c r="C68" s="361">
        <f>C66-C67</f>
        <v>100941368</v>
      </c>
      <c r="D68" s="361">
        <f>LN_IB21-LN_IB22</f>
        <v>101345759</v>
      </c>
      <c r="E68" s="361">
        <f>D68-C68</f>
        <v>404391</v>
      </c>
      <c r="F68" s="362">
        <f>IF(C68=0,0,E68/C68)</f>
        <v>4.0061969439526522E-3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649</v>
      </c>
      <c r="C70" s="353">
        <f>C50+C63</f>
        <v>-48752637.151655406</v>
      </c>
      <c r="D70" s="353">
        <f>LN_IB9+LN_IB20</f>
        <v>-56820732.236508086</v>
      </c>
      <c r="E70" s="361">
        <f>D70-C70</f>
        <v>-8068095.0848526806</v>
      </c>
      <c r="F70" s="362">
        <f>IF(C70=0,0,E70/C70)</f>
        <v>0.16549043408165104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650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651</v>
      </c>
      <c r="C73" s="400">
        <v>240219404</v>
      </c>
      <c r="D73" s="400">
        <v>232465068</v>
      </c>
      <c r="E73" s="400">
        <f>D73-C73</f>
        <v>-7754336</v>
      </c>
      <c r="F73" s="401">
        <f>IF(C73=0,0,E73/C73)</f>
        <v>-3.2280223291204238E-2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652</v>
      </c>
      <c r="C74" s="400">
        <v>151294809</v>
      </c>
      <c r="D74" s="400">
        <v>153442991</v>
      </c>
      <c r="E74" s="400">
        <f>D74-C74</f>
        <v>2148182</v>
      </c>
      <c r="F74" s="401">
        <f>IF(C74=0,0,E74/C74)</f>
        <v>1.4198649736885553E-2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654</v>
      </c>
      <c r="C76" s="353">
        <f>C73-C74</f>
        <v>88924595</v>
      </c>
      <c r="D76" s="353">
        <f>LN_IB32-LN_IB33</f>
        <v>79022077</v>
      </c>
      <c r="E76" s="400">
        <f>D76-C76</f>
        <v>-9902518</v>
      </c>
      <c r="F76" s="401">
        <f>IF(C76=0,0,E76/C76)</f>
        <v>-0.11135859544819968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655</v>
      </c>
      <c r="C77" s="366">
        <f>IF(C73=0,0,C76/C73)</f>
        <v>0.37018073277710739</v>
      </c>
      <c r="D77" s="366">
        <f>IF(LN_IB1=0,0,LN_IB34/LN_IB32)</f>
        <v>0.33993097405929396</v>
      </c>
      <c r="E77" s="405">
        <f>D77-C77</f>
        <v>-3.0249758717813435E-2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622</v>
      </c>
      <c r="C83" s="361">
        <v>1105922</v>
      </c>
      <c r="D83" s="361">
        <v>935031</v>
      </c>
      <c r="E83" s="361">
        <f t="shared" ref="E83:E95" si="8">D83-C83</f>
        <v>-170891</v>
      </c>
      <c r="F83" s="362">
        <f t="shared" ref="F83:F95" si="9">IF(C83=0,0,E83/C83)</f>
        <v>-0.15452355591081468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623</v>
      </c>
      <c r="C84" s="361">
        <v>0</v>
      </c>
      <c r="D84" s="361">
        <v>0</v>
      </c>
      <c r="E84" s="361">
        <f t="shared" si="8"/>
        <v>0</v>
      </c>
      <c r="F84" s="362">
        <f t="shared" si="9"/>
        <v>0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624</v>
      </c>
      <c r="C85" s="366">
        <f>IF(C83=0,0,C84/C83)</f>
        <v>0</v>
      </c>
      <c r="D85" s="366">
        <f>IF(LN_IC1=0,0,LN_IC2/LN_IC1)</f>
        <v>0</v>
      </c>
      <c r="E85" s="367">
        <f t="shared" si="8"/>
        <v>0</v>
      </c>
      <c r="F85" s="362">
        <f t="shared" si="9"/>
        <v>0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89</v>
      </c>
      <c r="D86" s="369">
        <v>69</v>
      </c>
      <c r="E86" s="369">
        <f t="shared" si="8"/>
        <v>-20</v>
      </c>
      <c r="F86" s="362">
        <f t="shared" si="9"/>
        <v>-0.2247191011235955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625</v>
      </c>
      <c r="C87" s="372">
        <v>0.89100000000000001</v>
      </c>
      <c r="D87" s="372">
        <v>1.1487000000000001</v>
      </c>
      <c r="E87" s="373">
        <f t="shared" si="8"/>
        <v>0.25770000000000004</v>
      </c>
      <c r="F87" s="362">
        <f t="shared" si="9"/>
        <v>0.28922558922558927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626</v>
      </c>
      <c r="C88" s="376">
        <f>C86*C87</f>
        <v>79.299000000000007</v>
      </c>
      <c r="D88" s="376">
        <f>LN_IC4*LN_IC5</f>
        <v>79.260300000000001</v>
      </c>
      <c r="E88" s="376">
        <f t="shared" si="8"/>
        <v>-3.870000000000573E-2</v>
      </c>
      <c r="F88" s="362">
        <f t="shared" si="9"/>
        <v>-4.8802633072303215E-4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627</v>
      </c>
      <c r="C89" s="378">
        <f>IF(C88=0,0,C84/C88)</f>
        <v>0</v>
      </c>
      <c r="D89" s="378">
        <f>IF(LN_IC6=0,0,LN_IC2/LN_IC6)</f>
        <v>0</v>
      </c>
      <c r="E89" s="378">
        <f t="shared" si="8"/>
        <v>0</v>
      </c>
      <c r="F89" s="362">
        <f t="shared" si="9"/>
        <v>0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658</v>
      </c>
      <c r="C90" s="378">
        <f>C48-C89</f>
        <v>10908.967827929633</v>
      </c>
      <c r="D90" s="378">
        <f>LN_IB7-LN_IC7</f>
        <v>11076.129790108229</v>
      </c>
      <c r="E90" s="378">
        <f t="shared" si="8"/>
        <v>167.16196217859579</v>
      </c>
      <c r="F90" s="362">
        <f t="shared" si="9"/>
        <v>1.5323352751175979E-2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659</v>
      </c>
      <c r="C91" s="378">
        <f>C21-C89</f>
        <v>6975.6099012923942</v>
      </c>
      <c r="D91" s="378">
        <f>LN_IA7-LN_IC7</f>
        <v>7656.2162140128185</v>
      </c>
      <c r="E91" s="378">
        <f t="shared" si="8"/>
        <v>680.60631272042428</v>
      </c>
      <c r="F91" s="362">
        <f t="shared" si="9"/>
        <v>9.7569434408068909E-2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644</v>
      </c>
      <c r="C92" s="353">
        <f>C91*C88</f>
        <v>553158.88956258562</v>
      </c>
      <c r="D92" s="353">
        <f>LN_IC9*LN_IC6</f>
        <v>606833.99398752023</v>
      </c>
      <c r="E92" s="353">
        <f t="shared" si="8"/>
        <v>53675.104424934601</v>
      </c>
      <c r="F92" s="362">
        <f t="shared" si="9"/>
        <v>9.703379162428101E-2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334</v>
      </c>
      <c r="D93" s="369">
        <v>216</v>
      </c>
      <c r="E93" s="369">
        <f t="shared" si="8"/>
        <v>-118</v>
      </c>
      <c r="F93" s="362">
        <f t="shared" si="9"/>
        <v>-0.3532934131736527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628</v>
      </c>
      <c r="C94" s="411">
        <f>IF(C93=0,0,C84/C93)</f>
        <v>0</v>
      </c>
      <c r="D94" s="411">
        <f>IF(LN_IC11=0,0,LN_IC2/LN_IC11)</f>
        <v>0</v>
      </c>
      <c r="E94" s="411">
        <f t="shared" si="8"/>
        <v>0</v>
      </c>
      <c r="F94" s="362">
        <f t="shared" si="9"/>
        <v>0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629</v>
      </c>
      <c r="C95" s="379">
        <f>IF(C86=0,0,C93/C86)</f>
        <v>3.7528089887640448</v>
      </c>
      <c r="D95" s="379">
        <f>IF(LN_IC4=0,0,LN_IC11/LN_IC4)</f>
        <v>3.1304347826086958</v>
      </c>
      <c r="E95" s="379">
        <f t="shared" si="8"/>
        <v>-0.622374206155349</v>
      </c>
      <c r="F95" s="362">
        <f t="shared" si="9"/>
        <v>-0.16584222858630557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660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631</v>
      </c>
      <c r="C98" s="361">
        <v>10910851</v>
      </c>
      <c r="D98" s="361">
        <v>10178944</v>
      </c>
      <c r="E98" s="361">
        <f t="shared" ref="E98:E106" si="10">D98-C98</f>
        <v>-731907</v>
      </c>
      <c r="F98" s="362">
        <f t="shared" ref="F98:F106" si="11">IF(C98=0,0,E98/C98)</f>
        <v>-6.7080652095789783E-2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632</v>
      </c>
      <c r="C99" s="361">
        <v>0</v>
      </c>
      <c r="D99" s="361">
        <v>0</v>
      </c>
      <c r="E99" s="361">
        <f t="shared" si="10"/>
        <v>0</v>
      </c>
      <c r="F99" s="362">
        <f t="shared" si="11"/>
        <v>0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633</v>
      </c>
      <c r="C100" s="366">
        <f>IF(C98=0,0,C99/C98)</f>
        <v>0</v>
      </c>
      <c r="D100" s="366">
        <f>IF(LN_IC14=0,0,LN_IC15/LN_IC14)</f>
        <v>0</v>
      </c>
      <c r="E100" s="367">
        <f t="shared" si="10"/>
        <v>0</v>
      </c>
      <c r="F100" s="362">
        <f t="shared" si="11"/>
        <v>0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634</v>
      </c>
      <c r="C101" s="366">
        <f>IF(C83=0,0,C98/C83)</f>
        <v>9.8658413522834341</v>
      </c>
      <c r="D101" s="366">
        <f>IF(LN_IC1=0,0,LN_IC14/LN_IC1)</f>
        <v>10.886210189822583</v>
      </c>
      <c r="E101" s="367">
        <f t="shared" si="10"/>
        <v>1.0203688375391486</v>
      </c>
      <c r="F101" s="362">
        <f t="shared" si="11"/>
        <v>0.10342441167503529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635</v>
      </c>
      <c r="C102" s="376">
        <f>C101*C86</f>
        <v>878.05988035322559</v>
      </c>
      <c r="D102" s="376">
        <f>LN_IC17*LN_IC4</f>
        <v>751.14850309775818</v>
      </c>
      <c r="E102" s="376">
        <f t="shared" si="10"/>
        <v>-126.91137725546741</v>
      </c>
      <c r="F102" s="362">
        <f t="shared" si="11"/>
        <v>-0.14453613027441084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636</v>
      </c>
      <c r="C103" s="378">
        <f>IF(C102=0,0,C99/C102)</f>
        <v>0</v>
      </c>
      <c r="D103" s="378">
        <f>IF(LN_IC18=0,0,LN_IC15/LN_IC18)</f>
        <v>0</v>
      </c>
      <c r="E103" s="378">
        <f t="shared" si="10"/>
        <v>0</v>
      </c>
      <c r="F103" s="362">
        <f t="shared" si="11"/>
        <v>0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661</v>
      </c>
      <c r="C104" s="378">
        <f>C61-C103</f>
        <v>9263.8190656163424</v>
      </c>
      <c r="D104" s="378">
        <f>LN_IB18-LN_IC19</f>
        <v>10115.82375819661</v>
      </c>
      <c r="E104" s="378">
        <f t="shared" si="10"/>
        <v>852.00469258026715</v>
      </c>
      <c r="F104" s="362">
        <f t="shared" si="11"/>
        <v>9.1971214738268567E-2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662</v>
      </c>
      <c r="C105" s="378">
        <f>C32-C103</f>
        <v>6465.6888522594218</v>
      </c>
      <c r="D105" s="378">
        <f>LN_IA16-LN_IC19</f>
        <v>6190.034362934206</v>
      </c>
      <c r="E105" s="378">
        <f t="shared" si="10"/>
        <v>-275.65448932521576</v>
      </c>
      <c r="F105" s="362">
        <f t="shared" si="11"/>
        <v>-4.2633429418566723E-2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647</v>
      </c>
      <c r="C106" s="361">
        <f>C105*C102</f>
        <v>5677261.9800160928</v>
      </c>
      <c r="D106" s="361">
        <f>LN_IC21*LN_IC18</f>
        <v>4649635.0458417144</v>
      </c>
      <c r="E106" s="361">
        <f t="shared" si="10"/>
        <v>-1027626.9341743784</v>
      </c>
      <c r="F106" s="362">
        <f t="shared" si="11"/>
        <v>-0.18100748878449072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638</v>
      </c>
      <c r="C109" s="361">
        <f>C83+C98</f>
        <v>12016773</v>
      </c>
      <c r="D109" s="361">
        <f>LN_IC1+LN_IC14</f>
        <v>11113975</v>
      </c>
      <c r="E109" s="361">
        <f>D109-C109</f>
        <v>-902798</v>
      </c>
      <c r="F109" s="362">
        <f>IF(C109=0,0,E109/C109)</f>
        <v>-7.5128156286217607E-2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639</v>
      </c>
      <c r="C110" s="361">
        <f>C84+C99</f>
        <v>0</v>
      </c>
      <c r="D110" s="361">
        <f>LN_IC2+LN_IC15</f>
        <v>0</v>
      </c>
      <c r="E110" s="361">
        <f>D110-C110</f>
        <v>0</v>
      </c>
      <c r="F110" s="362">
        <f>IF(C110=0,0,E110/C110)</f>
        <v>0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640</v>
      </c>
      <c r="C111" s="361">
        <f>C109-C110</f>
        <v>12016773</v>
      </c>
      <c r="D111" s="361">
        <f>LN_IC23-LN_IC24</f>
        <v>11113975</v>
      </c>
      <c r="E111" s="361">
        <f>D111-C111</f>
        <v>-902798</v>
      </c>
      <c r="F111" s="362">
        <f>IF(C111=0,0,E111/C111)</f>
        <v>-7.5128156286217607E-2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649</v>
      </c>
      <c r="C113" s="361">
        <f>C92+C106</f>
        <v>6230420.8695786782</v>
      </c>
      <c r="D113" s="361">
        <f>LN_IC10+LN_IC22</f>
        <v>5256469.0398292346</v>
      </c>
      <c r="E113" s="361">
        <f>D113-C113</f>
        <v>-973951.82974944357</v>
      </c>
      <c r="F113" s="362">
        <f>IF(C113=0,0,E113/C113)</f>
        <v>-0.15632199656125403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622</v>
      </c>
      <c r="C118" s="361">
        <v>48004808</v>
      </c>
      <c r="D118" s="361">
        <v>47872697</v>
      </c>
      <c r="E118" s="361">
        <f t="shared" ref="E118:E130" si="12">D118-C118</f>
        <v>-132111</v>
      </c>
      <c r="F118" s="362">
        <f t="shared" ref="F118:F130" si="13">IF(C118=0,0,E118/C118)</f>
        <v>-2.7520368376434293E-3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623</v>
      </c>
      <c r="C119" s="361">
        <v>18472111</v>
      </c>
      <c r="D119" s="361">
        <v>16110274</v>
      </c>
      <c r="E119" s="361">
        <f t="shared" si="12"/>
        <v>-2361837</v>
      </c>
      <c r="F119" s="362">
        <f t="shared" si="13"/>
        <v>-0.12785961496225309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624</v>
      </c>
      <c r="C120" s="366">
        <f>IF(C118=0,0,C119/C118)</f>
        <v>0.384797101990284</v>
      </c>
      <c r="D120" s="366">
        <f>IF(LN_ID1=0,0,LN_1D2/LN_ID1)</f>
        <v>0.33652321698106963</v>
      </c>
      <c r="E120" s="367">
        <f t="shared" si="12"/>
        <v>-4.8273885009214368E-2</v>
      </c>
      <c r="F120" s="362">
        <f t="shared" si="13"/>
        <v>-0.12545282893121495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3192</v>
      </c>
      <c r="D121" s="369">
        <v>3028</v>
      </c>
      <c r="E121" s="369">
        <f t="shared" si="12"/>
        <v>-164</v>
      </c>
      <c r="F121" s="362">
        <f t="shared" si="13"/>
        <v>-5.1378446115288218E-2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625</v>
      </c>
      <c r="C122" s="372">
        <v>0.95279999999999998</v>
      </c>
      <c r="D122" s="372">
        <v>0.99660000000000004</v>
      </c>
      <c r="E122" s="373">
        <f t="shared" si="12"/>
        <v>4.3800000000000061E-2</v>
      </c>
      <c r="F122" s="362">
        <f t="shared" si="13"/>
        <v>4.5969773299748176E-2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626</v>
      </c>
      <c r="C123" s="376">
        <f>C121*C122</f>
        <v>3041.3375999999998</v>
      </c>
      <c r="D123" s="376">
        <f>LN_ID4*LN_ID5</f>
        <v>3017.7048</v>
      </c>
      <c r="E123" s="376">
        <f t="shared" si="12"/>
        <v>-23.632799999999861</v>
      </c>
      <c r="F123" s="362">
        <f t="shared" si="13"/>
        <v>-7.7705283359531876E-3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627</v>
      </c>
      <c r="C124" s="378">
        <f>IF(C123=0,0,C119/C123)</f>
        <v>6073.6798834828469</v>
      </c>
      <c r="D124" s="378">
        <f>IF(LN_ID6=0,0,LN_1D2/LN_ID6)</f>
        <v>5338.5851392753857</v>
      </c>
      <c r="E124" s="378">
        <f t="shared" si="12"/>
        <v>-735.09474420746119</v>
      </c>
      <c r="F124" s="362">
        <f t="shared" si="13"/>
        <v>-0.12102955017542574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666</v>
      </c>
      <c r="C125" s="378">
        <f>C48-C124</f>
        <v>4835.2879444467862</v>
      </c>
      <c r="D125" s="378">
        <f>LN_IB7-LN_ID7</f>
        <v>5737.5446508328432</v>
      </c>
      <c r="E125" s="378">
        <f t="shared" si="12"/>
        <v>902.25670638605698</v>
      </c>
      <c r="F125" s="362">
        <f t="shared" si="13"/>
        <v>0.18659834052329344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667</v>
      </c>
      <c r="C126" s="378">
        <f>C21-C124</f>
        <v>901.93001780954728</v>
      </c>
      <c r="D126" s="378">
        <f>LN_IA7-LN_ID7</f>
        <v>2317.6310747374328</v>
      </c>
      <c r="E126" s="378">
        <f t="shared" si="12"/>
        <v>1415.7010569278855</v>
      </c>
      <c r="F126" s="362">
        <f t="shared" si="13"/>
        <v>1.5696351479309858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644</v>
      </c>
      <c r="C127" s="391">
        <f>C126*C123</f>
        <v>2743073.6757328454</v>
      </c>
      <c r="D127" s="391">
        <f>LN_ID9*LN_ID6</f>
        <v>6993926.4188643098</v>
      </c>
      <c r="E127" s="391">
        <f t="shared" si="12"/>
        <v>4250852.7431314643</v>
      </c>
      <c r="F127" s="362">
        <f t="shared" si="13"/>
        <v>1.5496677252009272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14089</v>
      </c>
      <c r="D128" s="369">
        <v>13730</v>
      </c>
      <c r="E128" s="369">
        <f t="shared" si="12"/>
        <v>-359</v>
      </c>
      <c r="F128" s="362">
        <f t="shared" si="13"/>
        <v>-2.5480871601958974E-2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628</v>
      </c>
      <c r="C129" s="378">
        <f>IF(C128=0,0,C119/C128)</f>
        <v>1311.101639576975</v>
      </c>
      <c r="D129" s="378">
        <f>IF(LN_ID11=0,0,LN_1D2/LN_ID11)</f>
        <v>1173.3630007283321</v>
      </c>
      <c r="E129" s="378">
        <f t="shared" si="12"/>
        <v>-137.73863884864295</v>
      </c>
      <c r="F129" s="362">
        <f t="shared" si="13"/>
        <v>-0.10505565296454371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629</v>
      </c>
      <c r="C130" s="379">
        <f>IF(C121=0,0,C128/C121)</f>
        <v>4.4138471177944858</v>
      </c>
      <c r="D130" s="379">
        <f>IF(LN_ID4=0,0,LN_ID11/LN_ID4)</f>
        <v>4.5343461030383088</v>
      </c>
      <c r="E130" s="379">
        <f t="shared" si="12"/>
        <v>0.12049898524382296</v>
      </c>
      <c r="F130" s="362">
        <f t="shared" si="13"/>
        <v>2.7300217254473912E-2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631</v>
      </c>
      <c r="C133" s="361">
        <v>60194068</v>
      </c>
      <c r="D133" s="361">
        <v>67648357</v>
      </c>
      <c r="E133" s="361">
        <f t="shared" ref="E133:E141" si="14">D133-C133</f>
        <v>7454289</v>
      </c>
      <c r="F133" s="362">
        <f t="shared" ref="F133:F141" si="15">IF(C133=0,0,E133/C133)</f>
        <v>0.12383760140617178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632</v>
      </c>
      <c r="C134" s="361">
        <v>19528993</v>
      </c>
      <c r="D134" s="361">
        <v>18889853</v>
      </c>
      <c r="E134" s="361">
        <f t="shared" si="14"/>
        <v>-639140</v>
      </c>
      <c r="F134" s="362">
        <f t="shared" si="15"/>
        <v>-3.2727749966421721E-2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633</v>
      </c>
      <c r="C135" s="366">
        <f>IF(C133=0,0,C134/C133)</f>
        <v>0.32443384620557625</v>
      </c>
      <c r="D135" s="366">
        <f>IF(LN_ID14=0,0,LN_ID15/LN_ID14)</f>
        <v>0.27923594655816991</v>
      </c>
      <c r="E135" s="367">
        <f t="shared" si="14"/>
        <v>-4.5197899647406337E-2</v>
      </c>
      <c r="F135" s="362">
        <f t="shared" si="15"/>
        <v>-0.1393131455796596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634</v>
      </c>
      <c r="C136" s="366">
        <f>IF(C118=0,0,C133/C118)</f>
        <v>1.2539174825988264</v>
      </c>
      <c r="D136" s="366">
        <f>IF(LN_ID1=0,0,LN_ID14/LN_ID1)</f>
        <v>1.413088487577794</v>
      </c>
      <c r="E136" s="367">
        <f t="shared" si="14"/>
        <v>0.15917100497896763</v>
      </c>
      <c r="F136" s="362">
        <f t="shared" si="15"/>
        <v>0.12693897899012882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635</v>
      </c>
      <c r="C137" s="376">
        <f>C136*C121</f>
        <v>4002.5046044554538</v>
      </c>
      <c r="D137" s="376">
        <f>LN_ID17*LN_ID4</f>
        <v>4278.8319403855603</v>
      </c>
      <c r="E137" s="376">
        <f t="shared" si="14"/>
        <v>276.32733593010653</v>
      </c>
      <c r="F137" s="362">
        <f t="shared" si="15"/>
        <v>6.9038605382866575E-2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636</v>
      </c>
      <c r="C138" s="378">
        <f>IF(C137=0,0,C134/C137)</f>
        <v>4879.1931377820229</v>
      </c>
      <c r="D138" s="378">
        <f>IF(LN_ID18=0,0,LN_ID15/LN_ID18)</f>
        <v>4414.7218827897823</v>
      </c>
      <c r="E138" s="378">
        <f t="shared" si="14"/>
        <v>-464.47125499224057</v>
      </c>
      <c r="F138" s="362">
        <f t="shared" si="15"/>
        <v>-9.5194275339422069E-2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669</v>
      </c>
      <c r="C139" s="378">
        <f>C61-C138</f>
        <v>4384.6259278343196</v>
      </c>
      <c r="D139" s="378">
        <f>LN_IB18-LN_ID19</f>
        <v>5701.1018754068273</v>
      </c>
      <c r="E139" s="378">
        <f t="shared" si="14"/>
        <v>1316.4759475725077</v>
      </c>
      <c r="F139" s="362">
        <f t="shared" si="15"/>
        <v>0.30024817834864864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670</v>
      </c>
      <c r="C140" s="378">
        <f>C32-C138</f>
        <v>1586.4957144773989</v>
      </c>
      <c r="D140" s="378">
        <f>LN_IA16-LN_ID19</f>
        <v>1775.3124801444237</v>
      </c>
      <c r="E140" s="378">
        <f t="shared" si="14"/>
        <v>188.81676566702481</v>
      </c>
      <c r="F140" s="362">
        <f t="shared" si="15"/>
        <v>0.11901498626437965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647</v>
      </c>
      <c r="C141" s="353">
        <f>C140*C137</f>
        <v>6349956.4021446342</v>
      </c>
      <c r="D141" s="353">
        <f>LN_ID21*LN_ID18</f>
        <v>7596263.7442070665</v>
      </c>
      <c r="E141" s="353">
        <f t="shared" si="14"/>
        <v>1246307.3420624323</v>
      </c>
      <c r="F141" s="362">
        <f t="shared" si="15"/>
        <v>0.19627022031860006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638</v>
      </c>
      <c r="C144" s="361">
        <f>C118+C133</f>
        <v>108198876</v>
      </c>
      <c r="D144" s="361">
        <f>LN_ID1+LN_ID14</f>
        <v>115521054</v>
      </c>
      <c r="E144" s="361">
        <f>D144-C144</f>
        <v>7322178</v>
      </c>
      <c r="F144" s="362">
        <f>IF(C144=0,0,E144/C144)</f>
        <v>6.7673327770983505E-2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639</v>
      </c>
      <c r="C145" s="361">
        <f>C119+C134</f>
        <v>38001104</v>
      </c>
      <c r="D145" s="361">
        <f>LN_1D2+LN_ID15</f>
        <v>35000127</v>
      </c>
      <c r="E145" s="361">
        <f>D145-C145</f>
        <v>-3000977</v>
      </c>
      <c r="F145" s="362">
        <f>IF(C145=0,0,E145/C145)</f>
        <v>-7.8970784638256825E-2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640</v>
      </c>
      <c r="C146" s="361">
        <f>C144-C145</f>
        <v>70197772</v>
      </c>
      <c r="D146" s="361">
        <f>LN_ID23-LN_ID24</f>
        <v>80520927</v>
      </c>
      <c r="E146" s="361">
        <f>D146-C146</f>
        <v>10323155</v>
      </c>
      <c r="F146" s="362">
        <f>IF(C146=0,0,E146/C146)</f>
        <v>0.147058157344367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649</v>
      </c>
      <c r="C148" s="361">
        <f>C127+C141</f>
        <v>9093030.0778774805</v>
      </c>
      <c r="D148" s="361">
        <f>LN_ID10+LN_ID22</f>
        <v>14590190.163071375</v>
      </c>
      <c r="E148" s="361">
        <f>D148-C148</f>
        <v>5497160.0851938948</v>
      </c>
      <c r="F148" s="415">
        <f>IF(C148=0,0,E148/C148)</f>
        <v>0.60454656347920677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622</v>
      </c>
      <c r="C153" s="361">
        <v>977901</v>
      </c>
      <c r="D153" s="361">
        <v>481544</v>
      </c>
      <c r="E153" s="361">
        <f t="shared" ref="E153:E165" si="16">D153-C153</f>
        <v>-496357</v>
      </c>
      <c r="F153" s="362">
        <f t="shared" ref="F153:F165" si="17">IF(C153=0,0,E153/C153)</f>
        <v>-0.5075738750650628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623</v>
      </c>
      <c r="C154" s="361">
        <v>131070</v>
      </c>
      <c r="D154" s="361">
        <v>143250</v>
      </c>
      <c r="E154" s="361">
        <f t="shared" si="16"/>
        <v>12180</v>
      </c>
      <c r="F154" s="362">
        <f t="shared" si="17"/>
        <v>9.2927443350881211E-2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624</v>
      </c>
      <c r="C155" s="366">
        <f>IF(C153=0,0,C154/C153)</f>
        <v>0.13403197256163968</v>
      </c>
      <c r="D155" s="366">
        <f>IF(LN_IE1=0,0,LN_IE2/LN_IE1)</f>
        <v>0.29748060405695015</v>
      </c>
      <c r="E155" s="367">
        <f t="shared" si="16"/>
        <v>0.16344863149531047</v>
      </c>
      <c r="F155" s="362">
        <f t="shared" si="17"/>
        <v>1.2194749384900863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57</v>
      </c>
      <c r="D156" s="419">
        <v>31</v>
      </c>
      <c r="E156" s="419">
        <f t="shared" si="16"/>
        <v>-26</v>
      </c>
      <c r="F156" s="362">
        <f t="shared" si="17"/>
        <v>-0.45614035087719296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625</v>
      </c>
      <c r="C157" s="372">
        <v>0.85519999999999996</v>
      </c>
      <c r="D157" s="372">
        <v>0.94950000000000001</v>
      </c>
      <c r="E157" s="373">
        <f t="shared" si="16"/>
        <v>9.430000000000005E-2</v>
      </c>
      <c r="F157" s="362">
        <f t="shared" si="17"/>
        <v>0.11026660430308706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626</v>
      </c>
      <c r="C158" s="376">
        <f>C156*C157</f>
        <v>48.746399999999994</v>
      </c>
      <c r="D158" s="376">
        <f>LN_IE4*LN_IE5</f>
        <v>29.4345</v>
      </c>
      <c r="E158" s="376">
        <f t="shared" si="16"/>
        <v>-19.311899999999994</v>
      </c>
      <c r="F158" s="362">
        <f t="shared" si="17"/>
        <v>-0.39617079415095263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627</v>
      </c>
      <c r="C159" s="378">
        <f>IF(C158=0,0,C154/C158)</f>
        <v>2688.813943183497</v>
      </c>
      <c r="D159" s="378">
        <f>IF(LN_IE6=0,0,LN_IE2/LN_IE6)</f>
        <v>4866.7380115170972</v>
      </c>
      <c r="E159" s="378">
        <f t="shared" si="16"/>
        <v>2177.9240683336002</v>
      </c>
      <c r="F159" s="362">
        <f t="shared" si="17"/>
        <v>0.80999433741219951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674</v>
      </c>
      <c r="C160" s="378">
        <f>C48-C159</f>
        <v>8220.1538847461361</v>
      </c>
      <c r="D160" s="378">
        <f>LN_IB7-LN_IE7</f>
        <v>6209.3917785911317</v>
      </c>
      <c r="E160" s="378">
        <f t="shared" si="16"/>
        <v>-2010.7621061550044</v>
      </c>
      <c r="F160" s="362">
        <f t="shared" si="17"/>
        <v>-0.24461368173244399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675</v>
      </c>
      <c r="C161" s="378">
        <f>C21-C159</f>
        <v>4286.7959581088971</v>
      </c>
      <c r="D161" s="378">
        <f>LN_IA7-LN_IE7</f>
        <v>2789.4782024957212</v>
      </c>
      <c r="E161" s="378">
        <f t="shared" si="16"/>
        <v>-1497.3177556131759</v>
      </c>
      <c r="F161" s="362">
        <f t="shared" si="17"/>
        <v>-0.34928598660751553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644</v>
      </c>
      <c r="C162" s="391">
        <f>C161*C158</f>
        <v>208965.87049235951</v>
      </c>
      <c r="D162" s="391">
        <f>LN_IE9*LN_IE6</f>
        <v>82106.896151360314</v>
      </c>
      <c r="E162" s="391">
        <f t="shared" si="16"/>
        <v>-126858.97434099919</v>
      </c>
      <c r="F162" s="362">
        <f t="shared" si="17"/>
        <v>-0.60707987405836961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307</v>
      </c>
      <c r="D163" s="369">
        <v>139</v>
      </c>
      <c r="E163" s="419">
        <f t="shared" si="16"/>
        <v>-168</v>
      </c>
      <c r="F163" s="362">
        <f t="shared" si="17"/>
        <v>-0.54723127035830621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628</v>
      </c>
      <c r="C164" s="378">
        <f>IF(C163=0,0,C154/C163)</f>
        <v>426.93811074918568</v>
      </c>
      <c r="D164" s="378">
        <f>IF(LN_IE11=0,0,LN_IE2/LN_IE11)</f>
        <v>1030.5755395683452</v>
      </c>
      <c r="E164" s="378">
        <f t="shared" si="16"/>
        <v>603.6374288191596</v>
      </c>
      <c r="F164" s="362">
        <f t="shared" si="17"/>
        <v>1.4138757202066223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629</v>
      </c>
      <c r="C165" s="379">
        <f>IF(C156=0,0,C163/C156)</f>
        <v>5.3859649122807021</v>
      </c>
      <c r="D165" s="379">
        <f>IF(LN_IE4=0,0,LN_IE11/LN_IE4)</f>
        <v>4.4838709677419351</v>
      </c>
      <c r="E165" s="379">
        <f t="shared" si="16"/>
        <v>-0.90209394453876701</v>
      </c>
      <c r="F165" s="362">
        <f t="shared" si="17"/>
        <v>-0.16748975517495021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631</v>
      </c>
      <c r="C168" s="424">
        <v>923024</v>
      </c>
      <c r="D168" s="424">
        <v>1039368</v>
      </c>
      <c r="E168" s="424">
        <f t="shared" ref="E168:E176" si="18">D168-C168</f>
        <v>116344</v>
      </c>
      <c r="F168" s="362">
        <f t="shared" ref="F168:F176" si="19">IF(C168=0,0,E168/C168)</f>
        <v>0.12604656000277351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632</v>
      </c>
      <c r="C169" s="424">
        <v>454759</v>
      </c>
      <c r="D169" s="424">
        <v>268390</v>
      </c>
      <c r="E169" s="424">
        <f t="shared" si="18"/>
        <v>-186369</v>
      </c>
      <c r="F169" s="362">
        <f t="shared" si="19"/>
        <v>-0.40981926690840642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633</v>
      </c>
      <c r="C170" s="366">
        <f>IF(C168=0,0,C169/C168)</f>
        <v>0.49268383053961762</v>
      </c>
      <c r="D170" s="366">
        <f>IF(LN_IE14=0,0,LN_IE15/LN_IE14)</f>
        <v>0.25822422856966926</v>
      </c>
      <c r="E170" s="367">
        <f t="shared" si="18"/>
        <v>-0.23445960196994836</v>
      </c>
      <c r="F170" s="362">
        <f t="shared" si="19"/>
        <v>-0.47588247763916625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634</v>
      </c>
      <c r="C171" s="366">
        <f>IF(C153=0,0,C168/C153)</f>
        <v>0.94388286748863126</v>
      </c>
      <c r="D171" s="366">
        <f>IF(LN_IE1=0,0,LN_IE14/LN_IE1)</f>
        <v>2.1584071237519313</v>
      </c>
      <c r="E171" s="367">
        <f t="shared" si="18"/>
        <v>1.2145242562633001</v>
      </c>
      <c r="F171" s="362">
        <f t="shared" si="19"/>
        <v>1.2867319644171087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635</v>
      </c>
      <c r="C172" s="376">
        <f>C171*C156</f>
        <v>53.801323446851981</v>
      </c>
      <c r="D172" s="376">
        <f>LN_IE17*LN_IE4</f>
        <v>66.910620836309874</v>
      </c>
      <c r="E172" s="376">
        <f t="shared" si="18"/>
        <v>13.109297389457893</v>
      </c>
      <c r="F172" s="362">
        <f t="shared" si="19"/>
        <v>0.24366124380579607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636</v>
      </c>
      <c r="C173" s="378">
        <f>IF(C172=0,0,C169/C172)</f>
        <v>8452.5615889214496</v>
      </c>
      <c r="D173" s="378">
        <f>IF(LN_IE18=0,0,LN_IE15/LN_IE18)</f>
        <v>4011.1718684629936</v>
      </c>
      <c r="E173" s="378">
        <f t="shared" si="18"/>
        <v>-4441.3897204584555</v>
      </c>
      <c r="F173" s="362">
        <f t="shared" si="19"/>
        <v>-0.52544896286584508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677</v>
      </c>
      <c r="C174" s="378">
        <f>C61-C173</f>
        <v>811.25747669489283</v>
      </c>
      <c r="D174" s="378">
        <f>LN_IB18-LN_IE19</f>
        <v>6104.6518897336155</v>
      </c>
      <c r="E174" s="378">
        <f t="shared" si="18"/>
        <v>5293.3944130387226</v>
      </c>
      <c r="F174" s="362">
        <f t="shared" si="19"/>
        <v>6.5249252735448433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678</v>
      </c>
      <c r="C175" s="378">
        <f>C32-C173</f>
        <v>-1986.8727366620278</v>
      </c>
      <c r="D175" s="378">
        <f>LN_IA16-LN_IE19</f>
        <v>2178.8624944712124</v>
      </c>
      <c r="E175" s="378">
        <f t="shared" si="18"/>
        <v>4165.7352311332397</v>
      </c>
      <c r="F175" s="362">
        <f t="shared" si="19"/>
        <v>-2.0966291168360032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647</v>
      </c>
      <c r="C176" s="353">
        <f>C175*C172</f>
        <v>-106896.38275288572</v>
      </c>
      <c r="D176" s="353">
        <f>LN_IE21*LN_IE18</f>
        <v>145789.04222201961</v>
      </c>
      <c r="E176" s="353">
        <f t="shared" si="18"/>
        <v>252685.42497490533</v>
      </c>
      <c r="F176" s="362">
        <f t="shared" si="19"/>
        <v>-2.3638351314379151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638</v>
      </c>
      <c r="C179" s="361">
        <f>C153+C168</f>
        <v>1900925</v>
      </c>
      <c r="D179" s="361">
        <f>LN_IE1+LN_IE14</f>
        <v>1520912</v>
      </c>
      <c r="E179" s="361">
        <f>D179-C179</f>
        <v>-380013</v>
      </c>
      <c r="F179" s="362">
        <f>IF(C179=0,0,E179/C179)</f>
        <v>-0.19990951773478702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639</v>
      </c>
      <c r="C180" s="361">
        <f>C154+C169</f>
        <v>585829</v>
      </c>
      <c r="D180" s="361">
        <f>LN_IE15+LN_IE2</f>
        <v>411640</v>
      </c>
      <c r="E180" s="361">
        <f>D180-C180</f>
        <v>-174189</v>
      </c>
      <c r="F180" s="362">
        <f>IF(C180=0,0,E180/C180)</f>
        <v>-0.29733761899803524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640</v>
      </c>
      <c r="C181" s="361">
        <f>C179-C180</f>
        <v>1315096</v>
      </c>
      <c r="D181" s="361">
        <f>LN_IE23-LN_IE24</f>
        <v>1109272</v>
      </c>
      <c r="E181" s="361">
        <f>D181-C181</f>
        <v>-205824</v>
      </c>
      <c r="F181" s="362">
        <f>IF(C181=0,0,E181/C181)</f>
        <v>-0.15650872635914032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680</v>
      </c>
      <c r="C183" s="361">
        <f>C162+C176</f>
        <v>102069.48773947379</v>
      </c>
      <c r="D183" s="361">
        <f>LN_IE10+LN_IE22</f>
        <v>227895.93837337993</v>
      </c>
      <c r="E183" s="353">
        <f>D183-C183</f>
        <v>125826.45063390615</v>
      </c>
      <c r="F183" s="362">
        <f>IF(C183=0,0,E183/C183)</f>
        <v>1.2327528375088017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622</v>
      </c>
      <c r="C188" s="361">
        <f>C118+C153</f>
        <v>48982709</v>
      </c>
      <c r="D188" s="361">
        <f>LN_ID1+LN_IE1</f>
        <v>48354241</v>
      </c>
      <c r="E188" s="361">
        <f t="shared" ref="E188:E200" si="20">D188-C188</f>
        <v>-628468</v>
      </c>
      <c r="F188" s="362">
        <f t="shared" ref="F188:F200" si="21">IF(C188=0,0,E188/C188)</f>
        <v>-1.2830405112955268E-2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623</v>
      </c>
      <c r="C189" s="361">
        <f>C119+C154</f>
        <v>18603181</v>
      </c>
      <c r="D189" s="361">
        <f>LN_1D2+LN_IE2</f>
        <v>16253524</v>
      </c>
      <c r="E189" s="361">
        <f t="shared" si="20"/>
        <v>-2349657</v>
      </c>
      <c r="F189" s="362">
        <f t="shared" si="21"/>
        <v>-0.12630404445347276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624</v>
      </c>
      <c r="C190" s="366">
        <f>IF(C188=0,0,C189/C188)</f>
        <v>0.37979077474053141</v>
      </c>
      <c r="D190" s="366">
        <f>IF(LN_IF1=0,0,LN_IF2/LN_IF1)</f>
        <v>0.33613440442587034</v>
      </c>
      <c r="E190" s="367">
        <f t="shared" si="20"/>
        <v>-4.3656370314661075E-2</v>
      </c>
      <c r="F190" s="362">
        <f t="shared" si="21"/>
        <v>-0.11494847483982883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3249</v>
      </c>
      <c r="D191" s="369">
        <f>LN_ID4+LN_IE4</f>
        <v>3059</v>
      </c>
      <c r="E191" s="369">
        <f t="shared" si="20"/>
        <v>-190</v>
      </c>
      <c r="F191" s="362">
        <f t="shared" si="21"/>
        <v>-5.8479532163742687E-2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625</v>
      </c>
      <c r="C192" s="372">
        <f>IF((C121+C156)=0,0,(C123+C158)/(C121+C156))</f>
        <v>0.95108771929824554</v>
      </c>
      <c r="D192" s="372">
        <f>IF((LN_ID4+LN_IE4)=0,0,(LN_ID6+LN_IE6)/(LN_ID4+LN_IE4))</f>
        <v>0.99612268715266417</v>
      </c>
      <c r="E192" s="373">
        <f t="shared" si="20"/>
        <v>4.5034967854418628E-2</v>
      </c>
      <c r="F192" s="362">
        <f t="shared" si="21"/>
        <v>4.7351013939752488E-2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626</v>
      </c>
      <c r="C193" s="376">
        <f>C123+C158</f>
        <v>3090.0839999999998</v>
      </c>
      <c r="D193" s="376">
        <f>LN_IF4*LN_IF5</f>
        <v>3047.1392999999998</v>
      </c>
      <c r="E193" s="376">
        <f t="shared" si="20"/>
        <v>-42.944700000000012</v>
      </c>
      <c r="F193" s="362">
        <f t="shared" si="21"/>
        <v>-1.3897583366665765E-2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627</v>
      </c>
      <c r="C194" s="378">
        <f>IF(C193=0,0,C189/C193)</f>
        <v>6020.2832673804342</v>
      </c>
      <c r="D194" s="378">
        <f>IF(LN_IF6=0,0,LN_IF2/LN_IF6)</f>
        <v>5334.0272300646056</v>
      </c>
      <c r="E194" s="378">
        <f t="shared" si="20"/>
        <v>-686.25603731582851</v>
      </c>
      <c r="F194" s="362">
        <f t="shared" si="21"/>
        <v>-0.11399065572780508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683</v>
      </c>
      <c r="C195" s="378">
        <f>C48-C194</f>
        <v>4888.684560549199</v>
      </c>
      <c r="D195" s="378">
        <f>LN_IB7-LN_IF7</f>
        <v>5742.1025600436233</v>
      </c>
      <c r="E195" s="378">
        <f t="shared" si="20"/>
        <v>853.41799949442429</v>
      </c>
      <c r="F195" s="362">
        <f t="shared" si="21"/>
        <v>0.17457006868091948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684</v>
      </c>
      <c r="C196" s="378">
        <f>C21-C194</f>
        <v>955.32663391196002</v>
      </c>
      <c r="D196" s="378">
        <f>LN_IA7-LN_IF7</f>
        <v>2322.1889839482128</v>
      </c>
      <c r="E196" s="378">
        <f t="shared" si="20"/>
        <v>1366.8623500362528</v>
      </c>
      <c r="F196" s="362">
        <f t="shared" si="21"/>
        <v>1.4307801138539373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644</v>
      </c>
      <c r="C197" s="391">
        <f>C127+C162</f>
        <v>2952039.5462252051</v>
      </c>
      <c r="D197" s="391">
        <f>LN_IF9*LN_IF6</f>
        <v>7076033.315015668</v>
      </c>
      <c r="E197" s="391">
        <f t="shared" si="20"/>
        <v>4123993.768790463</v>
      </c>
      <c r="F197" s="362">
        <f t="shared" si="21"/>
        <v>1.3969981445756188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14396</v>
      </c>
      <c r="D198" s="369">
        <f>LN_ID11+LN_IE11</f>
        <v>13869</v>
      </c>
      <c r="E198" s="369">
        <f t="shared" si="20"/>
        <v>-527</v>
      </c>
      <c r="F198" s="362">
        <f t="shared" si="21"/>
        <v>-3.6607390941928317E-2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628</v>
      </c>
      <c r="C199" s="432">
        <f>IF(C198=0,0,C189/C198)</f>
        <v>1292.2465268130036</v>
      </c>
      <c r="D199" s="432">
        <f>IF(LN_IF11=0,0,LN_IF2/LN_IF11)</f>
        <v>1171.9319345302474</v>
      </c>
      <c r="E199" s="432">
        <f t="shared" si="20"/>
        <v>-120.31459228275617</v>
      </c>
      <c r="F199" s="362">
        <f t="shared" si="21"/>
        <v>-9.3104984061734272E-2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629</v>
      </c>
      <c r="C200" s="379">
        <f>IF(C191=0,0,C198/C191)</f>
        <v>4.4309018159433675</v>
      </c>
      <c r="D200" s="379">
        <f>IF(LN_IF4=0,0,LN_IF11/LN_IF4)</f>
        <v>4.5338345864661651</v>
      </c>
      <c r="E200" s="379">
        <f t="shared" si="20"/>
        <v>0.10293277052279759</v>
      </c>
      <c r="F200" s="362">
        <f t="shared" si="21"/>
        <v>2.3230659310125683E-2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631</v>
      </c>
      <c r="C203" s="361">
        <f>C133+C168</f>
        <v>61117092</v>
      </c>
      <c r="D203" s="361">
        <f>LN_ID14+LN_IE14</f>
        <v>68687725</v>
      </c>
      <c r="E203" s="361">
        <f t="shared" ref="E203:E211" si="22">D203-C203</f>
        <v>7570633</v>
      </c>
      <c r="F203" s="362">
        <f t="shared" ref="F203:F211" si="23">IF(C203=0,0,E203/C203)</f>
        <v>0.12387096231607354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632</v>
      </c>
      <c r="C204" s="361">
        <f>C134+C169</f>
        <v>19983752</v>
      </c>
      <c r="D204" s="361">
        <f>LN_ID15+LN_IE15</f>
        <v>19158243</v>
      </c>
      <c r="E204" s="361">
        <f t="shared" si="22"/>
        <v>-825509</v>
      </c>
      <c r="F204" s="362">
        <f t="shared" si="23"/>
        <v>-4.1309009439268463E-2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633</v>
      </c>
      <c r="C205" s="366">
        <f>IF(C203=0,0,C204/C203)</f>
        <v>0.32697485017775385</v>
      </c>
      <c r="D205" s="366">
        <f>IF(LN_IF14=0,0,LN_IF15/LN_IF14)</f>
        <v>0.27891800172447112</v>
      </c>
      <c r="E205" s="367">
        <f t="shared" si="22"/>
        <v>-4.805684845328273E-2</v>
      </c>
      <c r="F205" s="362">
        <f t="shared" si="23"/>
        <v>-0.14697414320140376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634</v>
      </c>
      <c r="C206" s="366">
        <f>IF(C188=0,0,C203/C188)</f>
        <v>1.2477278869978383</v>
      </c>
      <c r="D206" s="366">
        <f>IF(LN_IF1=0,0,LN_IF14/LN_IF1)</f>
        <v>1.4205108710112935</v>
      </c>
      <c r="E206" s="367">
        <f t="shared" si="22"/>
        <v>0.17278298401345515</v>
      </c>
      <c r="F206" s="362">
        <f t="shared" si="23"/>
        <v>0.13847809751947501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635</v>
      </c>
      <c r="C207" s="376">
        <f>C137+C172</f>
        <v>4056.3059279023059</v>
      </c>
      <c r="D207" s="376">
        <f>LN_ID18+LN_IE18</f>
        <v>4345.7425612218703</v>
      </c>
      <c r="E207" s="376">
        <f t="shared" si="22"/>
        <v>289.43663331956441</v>
      </c>
      <c r="F207" s="362">
        <f t="shared" si="23"/>
        <v>7.1354734693111474E-2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636</v>
      </c>
      <c r="C208" s="378">
        <f>IF(C207=0,0,C204/C207)</f>
        <v>4926.5889593131542</v>
      </c>
      <c r="D208" s="378">
        <f>IF(LN_IF18=0,0,LN_IF15/LN_IF18)</f>
        <v>4408.50849540737</v>
      </c>
      <c r="E208" s="378">
        <f t="shared" si="22"/>
        <v>-518.0804639057842</v>
      </c>
      <c r="F208" s="362">
        <f t="shared" si="23"/>
        <v>-0.1051600748884098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686</v>
      </c>
      <c r="C209" s="378">
        <f>C61-C208</f>
        <v>4337.2301063031882</v>
      </c>
      <c r="D209" s="378">
        <f>LN_IB18-LN_IF19</f>
        <v>5707.3152627892396</v>
      </c>
      <c r="E209" s="378">
        <f t="shared" si="22"/>
        <v>1370.0851564860513</v>
      </c>
      <c r="F209" s="362">
        <f t="shared" si="23"/>
        <v>0.31588943240409145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687</v>
      </c>
      <c r="C210" s="378">
        <f>C32-C208</f>
        <v>1539.0998929462676</v>
      </c>
      <c r="D210" s="378">
        <f>LN_IA16-LN_IF19</f>
        <v>1781.525867526836</v>
      </c>
      <c r="E210" s="378">
        <f t="shared" si="22"/>
        <v>242.42597458056844</v>
      </c>
      <c r="F210" s="362">
        <f t="shared" si="23"/>
        <v>0.15751152715402852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647</v>
      </c>
      <c r="C211" s="391">
        <f>C141+C176</f>
        <v>6243060.0193917481</v>
      </c>
      <c r="D211" s="353">
        <f>LN_IF21*LN_IF18</f>
        <v>7742052.7864290867</v>
      </c>
      <c r="E211" s="353">
        <f t="shared" si="22"/>
        <v>1498992.7670373386</v>
      </c>
      <c r="F211" s="362">
        <f t="shared" si="23"/>
        <v>0.24010545507832282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638</v>
      </c>
      <c r="C214" s="361">
        <f>C188+C203</f>
        <v>110099801</v>
      </c>
      <c r="D214" s="361">
        <f>LN_IF1+LN_IF14</f>
        <v>117041966</v>
      </c>
      <c r="E214" s="361">
        <f>D214-C214</f>
        <v>6942165</v>
      </c>
      <c r="F214" s="362">
        <f>IF(C214=0,0,E214/C214)</f>
        <v>6.3053383720466483E-2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639</v>
      </c>
      <c r="C215" s="361">
        <f>C189+C204</f>
        <v>38586933</v>
      </c>
      <c r="D215" s="361">
        <f>LN_IF2+LN_IF15</f>
        <v>35411767</v>
      </c>
      <c r="E215" s="361">
        <f>D215-C215</f>
        <v>-3175166</v>
      </c>
      <c r="F215" s="362">
        <f>IF(C215=0,0,E215/C215)</f>
        <v>-8.2286042272393098E-2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640</v>
      </c>
      <c r="C216" s="361">
        <f>C214-C215</f>
        <v>71512868</v>
      </c>
      <c r="D216" s="361">
        <f>LN_IF23-LN_IF24</f>
        <v>81630199</v>
      </c>
      <c r="E216" s="361">
        <f>D216-C216</f>
        <v>10117331</v>
      </c>
      <c r="F216" s="362">
        <f>IF(C216=0,0,E216/C216)</f>
        <v>0.14147567120367763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690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622</v>
      </c>
      <c r="C221" s="361">
        <v>12235130</v>
      </c>
      <c r="D221" s="361">
        <v>12748626</v>
      </c>
      <c r="E221" s="361">
        <f t="shared" ref="E221:E230" si="24">D221-C221</f>
        <v>513496</v>
      </c>
      <c r="F221" s="362">
        <f t="shared" ref="F221:F230" si="25">IF(C221=0,0,E221/C221)</f>
        <v>4.1968986026302946E-2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623</v>
      </c>
      <c r="C222" s="361">
        <v>4790269</v>
      </c>
      <c r="D222" s="361">
        <v>5510106</v>
      </c>
      <c r="E222" s="361">
        <f t="shared" si="24"/>
        <v>719837</v>
      </c>
      <c r="F222" s="362">
        <f t="shared" si="25"/>
        <v>0.15027068417243375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624</v>
      </c>
      <c r="C223" s="366">
        <f>IF(C221=0,0,C222/C221)</f>
        <v>0.39151762179886934</v>
      </c>
      <c r="D223" s="366">
        <f>IF(LN_IG1=0,0,LN_IG2/LN_IG1)</f>
        <v>0.4322117536430985</v>
      </c>
      <c r="E223" s="367">
        <f t="shared" si="24"/>
        <v>4.0694131844229153E-2</v>
      </c>
      <c r="F223" s="362">
        <f t="shared" si="25"/>
        <v>0.10393946422451086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890</v>
      </c>
      <c r="D224" s="369">
        <v>969</v>
      </c>
      <c r="E224" s="369">
        <f t="shared" si="24"/>
        <v>79</v>
      </c>
      <c r="F224" s="362">
        <f t="shared" si="25"/>
        <v>8.8764044943820231E-2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625</v>
      </c>
      <c r="C225" s="372">
        <v>0.90339999999999998</v>
      </c>
      <c r="D225" s="372">
        <v>0.89590000000000003</v>
      </c>
      <c r="E225" s="373">
        <f t="shared" si="24"/>
        <v>-7.4999999999999512E-3</v>
      </c>
      <c r="F225" s="362">
        <f t="shared" si="25"/>
        <v>-8.3019703342926184E-3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626</v>
      </c>
      <c r="C226" s="376">
        <f>C224*C225</f>
        <v>804.02599999999995</v>
      </c>
      <c r="D226" s="376">
        <f>LN_IG3*LN_IG4</f>
        <v>868.12710000000004</v>
      </c>
      <c r="E226" s="376">
        <f t="shared" si="24"/>
        <v>64.101100000000088</v>
      </c>
      <c r="F226" s="362">
        <f t="shared" si="25"/>
        <v>7.972515814165225E-2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627</v>
      </c>
      <c r="C227" s="378">
        <f>IF(C226=0,0,C222/C226)</f>
        <v>5957.8533530010227</v>
      </c>
      <c r="D227" s="378">
        <f>IF(LN_IG5=0,0,LN_IG2/LN_IG5)</f>
        <v>6347.1189875307427</v>
      </c>
      <c r="E227" s="378">
        <f t="shared" si="24"/>
        <v>389.26563452972005</v>
      </c>
      <c r="F227" s="362">
        <f t="shared" si="25"/>
        <v>6.5336558566625944E-2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2946</v>
      </c>
      <c r="D228" s="369">
        <v>3191</v>
      </c>
      <c r="E228" s="369">
        <f t="shared" si="24"/>
        <v>245</v>
      </c>
      <c r="F228" s="362">
        <f t="shared" si="25"/>
        <v>8.3163611676849963E-2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628</v>
      </c>
      <c r="C229" s="378">
        <f>IF(C228=0,0,C222/C228)</f>
        <v>1626.0247793618466</v>
      </c>
      <c r="D229" s="378">
        <f>IF(LN_IG6=0,0,LN_IG2/LN_IG6)</f>
        <v>1726.7646505797557</v>
      </c>
      <c r="E229" s="378">
        <f t="shared" si="24"/>
        <v>100.73987121790901</v>
      </c>
      <c r="F229" s="362">
        <f t="shared" si="25"/>
        <v>6.1954696199307373E-2</v>
      </c>
      <c r="Q229" s="330"/>
      <c r="U229" s="375"/>
    </row>
    <row r="230" spans="1:21" ht="11.25" customHeight="1" x14ac:dyDescent="0.2">
      <c r="A230" s="364">
        <v>10</v>
      </c>
      <c r="B230" s="360" t="s">
        <v>629</v>
      </c>
      <c r="C230" s="379">
        <f>IF(C224=0,0,C228/C224)</f>
        <v>3.3101123595505619</v>
      </c>
      <c r="D230" s="379">
        <f>IF(LN_IG3=0,0,LN_IG6/LN_IG3)</f>
        <v>3.2930856553147576</v>
      </c>
      <c r="E230" s="379">
        <f t="shared" si="24"/>
        <v>-1.7026704235804324E-2</v>
      </c>
      <c r="F230" s="362">
        <f t="shared" si="25"/>
        <v>-5.1438447962884751E-3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631</v>
      </c>
      <c r="C233" s="361">
        <v>23023949</v>
      </c>
      <c r="D233" s="361">
        <v>23215651</v>
      </c>
      <c r="E233" s="361">
        <f>D233-C233</f>
        <v>191702</v>
      </c>
      <c r="F233" s="362">
        <f>IF(C233=0,0,E233/C233)</f>
        <v>8.3261998191535257E-3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632</v>
      </c>
      <c r="C234" s="361">
        <v>8387614</v>
      </c>
      <c r="D234" s="361">
        <v>7041745</v>
      </c>
      <c r="E234" s="361">
        <f>D234-C234</f>
        <v>-1345869</v>
      </c>
      <c r="F234" s="362">
        <f>IF(C234=0,0,E234/C234)</f>
        <v>-0.16045910076453207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638</v>
      </c>
      <c r="C237" s="361">
        <f>C221+C233</f>
        <v>35259079</v>
      </c>
      <c r="D237" s="361">
        <f>LN_IG1+LN_IG9</f>
        <v>35964277</v>
      </c>
      <c r="E237" s="361">
        <f>D237-C237</f>
        <v>705198</v>
      </c>
      <c r="F237" s="362">
        <f>IF(C237=0,0,E237/C237)</f>
        <v>2.000046569565813E-2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639</v>
      </c>
      <c r="C238" s="361">
        <f>C222+C234</f>
        <v>13177883</v>
      </c>
      <c r="D238" s="361">
        <f>LN_IG2+LN_IG10</f>
        <v>12551851</v>
      </c>
      <c r="E238" s="361">
        <f>D238-C238</f>
        <v>-626032</v>
      </c>
      <c r="F238" s="362">
        <f>IF(C238=0,0,E238/C238)</f>
        <v>-4.7506264853011668E-2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640</v>
      </c>
      <c r="C239" s="361">
        <f>C237-C238</f>
        <v>22081196</v>
      </c>
      <c r="D239" s="361">
        <f>LN_IG13-LN_IG14</f>
        <v>23412426</v>
      </c>
      <c r="E239" s="361">
        <f>D239-C239</f>
        <v>1331230</v>
      </c>
      <c r="F239" s="362">
        <f>IF(C239=0,0,E239/C239)</f>
        <v>6.0287948170923353E-2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694</v>
      </c>
      <c r="C243" s="361">
        <v>15662907</v>
      </c>
      <c r="D243" s="361">
        <v>15433709</v>
      </c>
      <c r="E243" s="353">
        <f>D243-C243</f>
        <v>-229198</v>
      </c>
      <c r="F243" s="415">
        <f>IF(C243=0,0,E243/C243)</f>
        <v>-1.4633171224217829E-2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695</v>
      </c>
      <c r="C244" s="361">
        <v>312331109</v>
      </c>
      <c r="D244" s="361">
        <v>318194716</v>
      </c>
      <c r="E244" s="353">
        <f>D244-C244</f>
        <v>5863607</v>
      </c>
      <c r="F244" s="415">
        <f>IF(C244=0,0,E244/C244)</f>
        <v>1.877368866256611E-2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696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698</v>
      </c>
      <c r="C248" s="353">
        <v>3148344</v>
      </c>
      <c r="D248" s="353">
        <v>2828618</v>
      </c>
      <c r="E248" s="353">
        <f>D248-C248</f>
        <v>-319726</v>
      </c>
      <c r="F248" s="362">
        <f>IF(C248=0,0,E248/C248)</f>
        <v>-0.10155370569416811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699</v>
      </c>
      <c r="C249" s="353">
        <v>13865210</v>
      </c>
      <c r="D249" s="353">
        <v>11930618</v>
      </c>
      <c r="E249" s="353">
        <f>D249-C249</f>
        <v>-1934592</v>
      </c>
      <c r="F249" s="362">
        <f>IF(C249=0,0,E249/C249)</f>
        <v>-0.13952850335479952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700</v>
      </c>
      <c r="C250" s="353">
        <f>C248+C249</f>
        <v>17013554</v>
      </c>
      <c r="D250" s="353">
        <f>LN_IH4+LN_IH5</f>
        <v>14759236</v>
      </c>
      <c r="E250" s="353">
        <f>D250-C250</f>
        <v>-2254318</v>
      </c>
      <c r="F250" s="362">
        <f>IF(C250=0,0,E250/C250)</f>
        <v>-0.13250129867046004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701</v>
      </c>
      <c r="C251" s="353">
        <f>C250*C313</f>
        <v>7465446.5015911674</v>
      </c>
      <c r="D251" s="353">
        <f>LN_IH6*LN_III10</f>
        <v>6655446.6438571177</v>
      </c>
      <c r="E251" s="353">
        <f>D251-C251</f>
        <v>-809999.85773404967</v>
      </c>
      <c r="F251" s="362">
        <f>IF(C251=0,0,E251/C251)</f>
        <v>-0.10849985430361174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638</v>
      </c>
      <c r="C254" s="353">
        <f>C188+C203</f>
        <v>110099801</v>
      </c>
      <c r="D254" s="353">
        <f>LN_IF23</f>
        <v>117041966</v>
      </c>
      <c r="E254" s="353">
        <f>D254-C254</f>
        <v>6942165</v>
      </c>
      <c r="F254" s="362">
        <f>IF(C254=0,0,E254/C254)</f>
        <v>6.3053383720466483E-2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639</v>
      </c>
      <c r="C255" s="353">
        <f>C189+C204</f>
        <v>38586933</v>
      </c>
      <c r="D255" s="353">
        <f>LN_IF24</f>
        <v>35411767</v>
      </c>
      <c r="E255" s="353">
        <f>D255-C255</f>
        <v>-3175166</v>
      </c>
      <c r="F255" s="362">
        <f>IF(C255=0,0,E255/C255)</f>
        <v>-8.2286042272393098E-2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703</v>
      </c>
      <c r="C256" s="353">
        <f>C254*C313</f>
        <v>48311139.118924461</v>
      </c>
      <c r="D256" s="353">
        <f>LN_IH8*LN_III10</f>
        <v>52778244.063929789</v>
      </c>
      <c r="E256" s="353">
        <f>D256-C256</f>
        <v>4467104.9450053275</v>
      </c>
      <c r="F256" s="362">
        <f>IF(C256=0,0,E256/C256)</f>
        <v>9.2465320140950089E-2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704</v>
      </c>
      <c r="C257" s="353">
        <f>C256-C255</f>
        <v>9724206.1189244613</v>
      </c>
      <c r="D257" s="353">
        <f>LN_IH10-LN_IH9</f>
        <v>17366477.063929789</v>
      </c>
      <c r="E257" s="353">
        <f>D257-C257</f>
        <v>7642270.9450053275</v>
      </c>
      <c r="F257" s="362">
        <f>IF(C257=0,0,E257/C257)</f>
        <v>0.78590178483902762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707</v>
      </c>
      <c r="C261" s="361">
        <f>C15+C42+C188+C221</f>
        <v>289281822</v>
      </c>
      <c r="D261" s="361">
        <f>LN_IA1+LN_IB1+LN_IF1+LN_IG1</f>
        <v>290545603</v>
      </c>
      <c r="E261" s="361">
        <f t="shared" ref="E261:E274" si="26">D261-C261</f>
        <v>1263781</v>
      </c>
      <c r="F261" s="415">
        <f t="shared" ref="F261:F274" si="27">IF(C261=0,0,E261/C261)</f>
        <v>4.3686844588527243E-3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708</v>
      </c>
      <c r="C262" s="361">
        <f>C16+C43+C189+C222</f>
        <v>144725017</v>
      </c>
      <c r="D262" s="361">
        <f>+LN_IA2+LN_IB2+LN_IF2+LN_IG2</f>
        <v>147250760</v>
      </c>
      <c r="E262" s="361">
        <f t="shared" si="26"/>
        <v>2525743</v>
      </c>
      <c r="F262" s="415">
        <f t="shared" si="27"/>
        <v>1.7452013842223283E-2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709</v>
      </c>
      <c r="C263" s="366">
        <f>IF(C261=0,0,C262/C261)</f>
        <v>0.50029074070198576</v>
      </c>
      <c r="D263" s="366">
        <f>IF(LN_IIA1=0,0,LN_IIA2/LN_IIA1)</f>
        <v>0.50680773854285455</v>
      </c>
      <c r="E263" s="367">
        <f t="shared" si="26"/>
        <v>6.5169978408687879E-3</v>
      </c>
      <c r="F263" s="371">
        <f t="shared" si="27"/>
        <v>1.3026421060130806E-2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710</v>
      </c>
      <c r="C264" s="369">
        <f>C18+C45+C191+C224</f>
        <v>15328</v>
      </c>
      <c r="D264" s="369">
        <f>LN_IA4+LN_IB4+LN_IF4+LN_IG3</f>
        <v>14932</v>
      </c>
      <c r="E264" s="369">
        <f t="shared" si="26"/>
        <v>-396</v>
      </c>
      <c r="F264" s="415">
        <f t="shared" si="27"/>
        <v>-2.583507306889353E-2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711</v>
      </c>
      <c r="C265" s="439">
        <f>IF(C264=0,0,C266/C264)</f>
        <v>1.2128014483298537</v>
      </c>
      <c r="D265" s="439">
        <f>IF(LN_IIA4=0,0,LN_IIA6/LN_IIA4)</f>
        <v>1.2197990356281809</v>
      </c>
      <c r="E265" s="439">
        <f t="shared" si="26"/>
        <v>6.9975872983272236E-3</v>
      </c>
      <c r="F265" s="415">
        <f t="shared" si="27"/>
        <v>5.7697715549099868E-3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712</v>
      </c>
      <c r="C266" s="376">
        <f>C20+C47+C193+C226</f>
        <v>18589.820599999999</v>
      </c>
      <c r="D266" s="376">
        <f>LN_IA6+LN_IB6+LN_IF6+LN_IG5</f>
        <v>18214.039199999999</v>
      </c>
      <c r="E266" s="376">
        <f t="shared" si="26"/>
        <v>-375.78139999999985</v>
      </c>
      <c r="F266" s="415">
        <f t="shared" si="27"/>
        <v>-2.0214363983695458E-2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713</v>
      </c>
      <c r="C267" s="361">
        <f>C27+C56+C203+C233</f>
        <v>371879098</v>
      </c>
      <c r="D267" s="361">
        <f>LN_IA11+LN_IB13+LN_IF14+LN_IG9</f>
        <v>401441594</v>
      </c>
      <c r="E267" s="361">
        <f t="shared" si="26"/>
        <v>29562496</v>
      </c>
      <c r="F267" s="415">
        <f t="shared" si="27"/>
        <v>7.9494911542460495E-2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634</v>
      </c>
      <c r="C268" s="366">
        <f>IF(C261=0,0,C267/C261)</f>
        <v>1.2855252895911309</v>
      </c>
      <c r="D268" s="366">
        <f>IF(LN_IIA1=0,0,LN_IIA7/LN_IIA1)</f>
        <v>1.3816818766312564</v>
      </c>
      <c r="E268" s="367">
        <f t="shared" si="26"/>
        <v>9.615658704012553E-2</v>
      </c>
      <c r="F268" s="371">
        <f t="shared" si="27"/>
        <v>7.479945188064617E-2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714</v>
      </c>
      <c r="C269" s="361">
        <f>C28+C57+C204+C234</f>
        <v>158295922</v>
      </c>
      <c r="D269" s="361">
        <f>LN_IA12+LN_IB14+LN_IF15+LN_IG10</f>
        <v>164790043</v>
      </c>
      <c r="E269" s="361">
        <f t="shared" si="26"/>
        <v>6494121</v>
      </c>
      <c r="F269" s="415">
        <f t="shared" si="27"/>
        <v>4.1025194571973879E-2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633</v>
      </c>
      <c r="C270" s="366">
        <f>IF(C267=0,0,C269/C267)</f>
        <v>0.42566501546155733</v>
      </c>
      <c r="D270" s="366">
        <f>IF(LN_IIA7=0,0,LN_IIA9/LN_IIA7)</f>
        <v>0.41049568720076374</v>
      </c>
      <c r="E270" s="367">
        <f t="shared" si="26"/>
        <v>-1.5169328260793591E-2</v>
      </c>
      <c r="F270" s="371">
        <f t="shared" si="27"/>
        <v>-3.5636774716722198E-2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715</v>
      </c>
      <c r="C271" s="353">
        <f>C261+C267</f>
        <v>661160920</v>
      </c>
      <c r="D271" s="353">
        <f>LN_IIA1+LN_IIA7</f>
        <v>691987197</v>
      </c>
      <c r="E271" s="353">
        <f t="shared" si="26"/>
        <v>30826277</v>
      </c>
      <c r="F271" s="415">
        <f t="shared" si="27"/>
        <v>4.6624469274439272E-2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716</v>
      </c>
      <c r="C272" s="353">
        <f>C262+C269</f>
        <v>303020939</v>
      </c>
      <c r="D272" s="353">
        <f>LN_IIA2+LN_IIA9</f>
        <v>312040803</v>
      </c>
      <c r="E272" s="353">
        <f t="shared" si="26"/>
        <v>9019864</v>
      </c>
      <c r="F272" s="415">
        <f t="shared" si="27"/>
        <v>2.9766471022651012E-2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717</v>
      </c>
      <c r="C273" s="366">
        <f>IF(C271=0,0,C272/C271)</f>
        <v>0.45831647006601661</v>
      </c>
      <c r="D273" s="366">
        <f>IF(LN_IIA11=0,0,LN_IIA12/LN_IIA11)</f>
        <v>0.45093435883323141</v>
      </c>
      <c r="E273" s="367">
        <f t="shared" si="26"/>
        <v>-7.3821112327852045E-3</v>
      </c>
      <c r="F273" s="371">
        <f t="shared" si="27"/>
        <v>-1.6107017126663317E-2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74082</v>
      </c>
      <c r="D274" s="421">
        <f>LN_IA8+LN_IB10+LN_IF11+LN_IG6</f>
        <v>70558</v>
      </c>
      <c r="E274" s="442">
        <f t="shared" si="26"/>
        <v>-3524</v>
      </c>
      <c r="F274" s="371">
        <f t="shared" si="27"/>
        <v>-4.7568910126616452E-2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719</v>
      </c>
      <c r="C277" s="361">
        <f>C15+C188+C221</f>
        <v>217057427</v>
      </c>
      <c r="D277" s="361">
        <f>LN_IA1+LN_IF1+LN_IG1</f>
        <v>217786696</v>
      </c>
      <c r="E277" s="361">
        <f t="shared" ref="E277:E291" si="28">D277-C277</f>
        <v>729269</v>
      </c>
      <c r="F277" s="415">
        <f t="shared" ref="F277:F291" si="29">IF(C277=0,0,E277/C277)</f>
        <v>3.3597974972770684E-3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720</v>
      </c>
      <c r="C278" s="361">
        <f>C16+C189+C222</f>
        <v>92528643</v>
      </c>
      <c r="D278" s="361">
        <f>LN_IA2+LN_IF2+LN_IG2</f>
        <v>95390382</v>
      </c>
      <c r="E278" s="361">
        <f t="shared" si="28"/>
        <v>2861739</v>
      </c>
      <c r="F278" s="415">
        <f t="shared" si="29"/>
        <v>3.0928141894396959E-2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721</v>
      </c>
      <c r="C279" s="366">
        <f>IF(C277=0,0,C278/C277)</f>
        <v>0.42628646381217816</v>
      </c>
      <c r="D279" s="366">
        <f>IF(D277=0,0,LN_IIB2/D277)</f>
        <v>0.43799912369302851</v>
      </c>
      <c r="E279" s="367">
        <f t="shared" si="28"/>
        <v>1.1712659880850351E-2</v>
      </c>
      <c r="F279" s="371">
        <f t="shared" si="29"/>
        <v>2.7476030498615481E-2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722</v>
      </c>
      <c r="C280" s="369">
        <f>C18+C191+C224</f>
        <v>11036</v>
      </c>
      <c r="D280" s="369">
        <f>LN_IA4+LN_IF4+LN_IG3</f>
        <v>10857</v>
      </c>
      <c r="E280" s="369">
        <f t="shared" si="28"/>
        <v>-179</v>
      </c>
      <c r="F280" s="415">
        <f t="shared" si="29"/>
        <v>-1.6219644798840159E-2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723</v>
      </c>
      <c r="C281" s="439">
        <f>IF(C280=0,0,C282/C280)</f>
        <v>1.2509150960492932</v>
      </c>
      <c r="D281" s="439">
        <f>IF(LN_IIB4=0,0,LN_IIB6/LN_IIB4)</f>
        <v>1.2463723127935893</v>
      </c>
      <c r="E281" s="439">
        <f t="shared" si="28"/>
        <v>-4.5427832557038972E-3</v>
      </c>
      <c r="F281" s="415">
        <f t="shared" si="29"/>
        <v>-3.631568017726509E-3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724</v>
      </c>
      <c r="C282" s="376">
        <f>C20+C193+C226</f>
        <v>13805.099</v>
      </c>
      <c r="D282" s="376">
        <f>LN_IA6+LN_IF6+LN_IG5</f>
        <v>13531.864199999998</v>
      </c>
      <c r="E282" s="376">
        <f t="shared" si="28"/>
        <v>-273.234800000002</v>
      </c>
      <c r="F282" s="415">
        <f t="shared" si="29"/>
        <v>-1.9792310073256408E-2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725</v>
      </c>
      <c r="C283" s="361">
        <f>C27+C203+C233</f>
        <v>191867316</v>
      </c>
      <c r="D283" s="361">
        <f>LN_IA11+LN_IF14+LN_IG9</f>
        <v>215841619</v>
      </c>
      <c r="E283" s="361">
        <f t="shared" si="28"/>
        <v>23974303</v>
      </c>
      <c r="F283" s="415">
        <f t="shared" si="29"/>
        <v>0.12495251145327951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726</v>
      </c>
      <c r="C284" s="366">
        <f>IF(C277=0,0,C283/C277)</f>
        <v>0.88394725143406405</v>
      </c>
      <c r="D284" s="366">
        <f>IF(D277=0,0,LN_IIB7/D277)</f>
        <v>0.99106888971767126</v>
      </c>
      <c r="E284" s="367">
        <f t="shared" si="28"/>
        <v>0.10712163828360721</v>
      </c>
      <c r="F284" s="371">
        <f t="shared" si="29"/>
        <v>0.12118555503150144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727</v>
      </c>
      <c r="C285" s="361">
        <f>C28+C204+C234</f>
        <v>59197487</v>
      </c>
      <c r="D285" s="361">
        <f>LN_IA12+LN_IF15+LN_IG10</f>
        <v>59637298</v>
      </c>
      <c r="E285" s="361">
        <f t="shared" si="28"/>
        <v>439811</v>
      </c>
      <c r="F285" s="415">
        <f t="shared" si="29"/>
        <v>7.4295552444650229E-3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728</v>
      </c>
      <c r="C286" s="366">
        <f>IF(C283=0,0,C285/C283)</f>
        <v>0.30853346069634913</v>
      </c>
      <c r="D286" s="366">
        <f>IF(LN_IIB7=0,0,LN_IIB9/LN_IIB7)</f>
        <v>0.27630119842642581</v>
      </c>
      <c r="E286" s="367">
        <f t="shared" si="28"/>
        <v>-3.2232262269923317E-2</v>
      </c>
      <c r="F286" s="371">
        <f t="shared" si="29"/>
        <v>-0.10446925982412487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729</v>
      </c>
      <c r="C287" s="353">
        <f>C277+C283</f>
        <v>408924743</v>
      </c>
      <c r="D287" s="353">
        <f>D277+LN_IIB7</f>
        <v>433628315</v>
      </c>
      <c r="E287" s="353">
        <f t="shared" si="28"/>
        <v>24703572</v>
      </c>
      <c r="F287" s="415">
        <f t="shared" si="29"/>
        <v>6.0411047320753586E-2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730</v>
      </c>
      <c r="C288" s="353">
        <f>C278+C285</f>
        <v>151726130</v>
      </c>
      <c r="D288" s="353">
        <f>LN_IIB2+LN_IIB9</f>
        <v>155027680</v>
      </c>
      <c r="E288" s="353">
        <f t="shared" si="28"/>
        <v>3301550</v>
      </c>
      <c r="F288" s="415">
        <f t="shared" si="29"/>
        <v>2.1759930211098115E-2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731</v>
      </c>
      <c r="C289" s="366">
        <f>IF(C287=0,0,C288/C287)</f>
        <v>0.37103680468657774</v>
      </c>
      <c r="D289" s="366">
        <f>IF(LN_IIB11=0,0,LN_IIB12/LN_IIB11)</f>
        <v>0.35751281601617735</v>
      </c>
      <c r="E289" s="367">
        <f t="shared" si="28"/>
        <v>-1.3523988670400389E-2</v>
      </c>
      <c r="F289" s="371">
        <f t="shared" si="29"/>
        <v>-3.6449183745597351E-2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57548</v>
      </c>
      <c r="D290" s="421">
        <f>LN_IA8+LN_IF11+LN_IG6</f>
        <v>55079</v>
      </c>
      <c r="E290" s="442">
        <f t="shared" si="28"/>
        <v>-2469</v>
      </c>
      <c r="F290" s="371">
        <f t="shared" si="29"/>
        <v>-4.2903315493153543E-2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732</v>
      </c>
      <c r="C291" s="361">
        <f>C287-C288</f>
        <v>257198613</v>
      </c>
      <c r="D291" s="429">
        <f>LN_IIB11-LN_IIB12</f>
        <v>278600635</v>
      </c>
      <c r="E291" s="353">
        <f t="shared" si="28"/>
        <v>21402022</v>
      </c>
      <c r="F291" s="415">
        <f t="shared" si="29"/>
        <v>8.321204282699611E-2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620</v>
      </c>
      <c r="C294" s="379">
        <f>IF(C18=0,0,C22/C18)</f>
        <v>5.8294910830796001</v>
      </c>
      <c r="D294" s="379">
        <f>IF(LN_IA4=0,0,LN_IA8/LN_IA4)</f>
        <v>5.5672865719724705</v>
      </c>
      <c r="E294" s="379">
        <f t="shared" ref="E294:E300" si="30">D294-C294</f>
        <v>-0.26220451110712961</v>
      </c>
      <c r="F294" s="415">
        <f t="shared" ref="F294:F300" si="31">IF(C294=0,0,E294/C294)</f>
        <v>-4.4978971126346141E-2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641</v>
      </c>
      <c r="C295" s="379">
        <f>IF(C45=0,0,C51/C45)</f>
        <v>3.8522833178005591</v>
      </c>
      <c r="D295" s="379">
        <f>IF(LN_IB4=0,0,(LN_IB10)/(LN_IB4))</f>
        <v>3.7985276073619634</v>
      </c>
      <c r="E295" s="379">
        <f t="shared" si="30"/>
        <v>-5.3755710438595727E-2</v>
      </c>
      <c r="F295" s="415">
        <f t="shared" si="31"/>
        <v>-1.3954246353117991E-2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656</v>
      </c>
      <c r="C296" s="379">
        <f>IF(C86=0,0,C93/C86)</f>
        <v>3.7528089887640448</v>
      </c>
      <c r="D296" s="379">
        <f>IF(LN_IC4=0,0,LN_IC11/LN_IC4)</f>
        <v>3.1304347826086958</v>
      </c>
      <c r="E296" s="379">
        <f t="shared" si="30"/>
        <v>-0.622374206155349</v>
      </c>
      <c r="F296" s="415">
        <f t="shared" si="31"/>
        <v>-0.16584222858630557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4.4138471177944858</v>
      </c>
      <c r="D297" s="379">
        <f>IF(LN_ID4=0,0,LN_ID11/LN_ID4)</f>
        <v>4.5343461030383088</v>
      </c>
      <c r="E297" s="379">
        <f t="shared" si="30"/>
        <v>0.12049898524382296</v>
      </c>
      <c r="F297" s="415">
        <f t="shared" si="31"/>
        <v>2.7300217254473912E-2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733</v>
      </c>
      <c r="C298" s="379">
        <f>IF(C156=0,0,C163/C156)</f>
        <v>5.3859649122807021</v>
      </c>
      <c r="D298" s="379">
        <f>IF(LN_IE4=0,0,LN_IE11/LN_IE4)</f>
        <v>4.4838709677419351</v>
      </c>
      <c r="E298" s="379">
        <f t="shared" si="30"/>
        <v>-0.90209394453876701</v>
      </c>
      <c r="F298" s="415">
        <f t="shared" si="31"/>
        <v>-0.16748975517495021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3.3101123595505619</v>
      </c>
      <c r="D299" s="379">
        <f>IF(LN_IG3=0,0,LN_IG6/LN_IG3)</f>
        <v>3.2930856553147576</v>
      </c>
      <c r="E299" s="379">
        <f t="shared" si="30"/>
        <v>-1.7026704235804324E-2</v>
      </c>
      <c r="F299" s="415">
        <f t="shared" si="31"/>
        <v>-5.1438447962884751E-3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734</v>
      </c>
      <c r="C300" s="379">
        <f>IF(C264=0,0,C274/C264)</f>
        <v>4.8331158663883089</v>
      </c>
      <c r="D300" s="379">
        <f>IF(LN_IIA4=0,0,LN_IIA14/LN_IIA4)</f>
        <v>4.7252879721403698</v>
      </c>
      <c r="E300" s="379">
        <f t="shared" si="30"/>
        <v>-0.10782789424793915</v>
      </c>
      <c r="F300" s="415">
        <f t="shared" si="31"/>
        <v>-2.23102233070437E-2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729</v>
      </c>
      <c r="C304" s="353">
        <f>C35+C66+C214+C221+C233</f>
        <v>661160920</v>
      </c>
      <c r="D304" s="353">
        <f>LN_IIA11</f>
        <v>691987197</v>
      </c>
      <c r="E304" s="353">
        <f t="shared" ref="E304:E316" si="32">D304-C304</f>
        <v>30826277</v>
      </c>
      <c r="F304" s="362">
        <f>IF(C304=0,0,E304/C304)</f>
        <v>4.6624469274439272E-2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732</v>
      </c>
      <c r="C305" s="353">
        <f>C291</f>
        <v>257198613</v>
      </c>
      <c r="D305" s="353">
        <f>LN_IIB14</f>
        <v>278600635</v>
      </c>
      <c r="E305" s="353">
        <f t="shared" si="32"/>
        <v>21402022</v>
      </c>
      <c r="F305" s="362">
        <f>IF(C305=0,0,E305/C305)</f>
        <v>8.321204282699611E-2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736</v>
      </c>
      <c r="C306" s="353">
        <f>C250</f>
        <v>17013554</v>
      </c>
      <c r="D306" s="353">
        <f>LN_IH6</f>
        <v>14759236</v>
      </c>
      <c r="E306" s="353">
        <f t="shared" si="32"/>
        <v>-2254318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737</v>
      </c>
      <c r="C307" s="353">
        <f>C73-C74</f>
        <v>88924595</v>
      </c>
      <c r="D307" s="353">
        <f>LN_IB32-LN_IB33</f>
        <v>79022077</v>
      </c>
      <c r="E307" s="353">
        <f t="shared" si="32"/>
        <v>-9902518</v>
      </c>
      <c r="F307" s="362">
        <f t="shared" ref="F307:F316" si="33">IF(C307=0,0,E307/C307)</f>
        <v>-0.11135859544819968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738</v>
      </c>
      <c r="C308" s="353">
        <v>7910671</v>
      </c>
      <c r="D308" s="353">
        <v>7564445</v>
      </c>
      <c r="E308" s="353">
        <f t="shared" si="32"/>
        <v>-346226</v>
      </c>
      <c r="F308" s="362">
        <f t="shared" si="33"/>
        <v>-4.376695731626306E-2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739</v>
      </c>
      <c r="C309" s="353">
        <f>C305+C307+C308+C306</f>
        <v>371047433</v>
      </c>
      <c r="D309" s="353">
        <f>LN_III2+LN_III3+LN_III4+LN_III5</f>
        <v>379946393</v>
      </c>
      <c r="E309" s="353">
        <f t="shared" si="32"/>
        <v>8898960</v>
      </c>
      <c r="F309" s="362">
        <f t="shared" si="33"/>
        <v>2.3983348781178606E-2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740</v>
      </c>
      <c r="C310" s="353">
        <f>C304-C309</f>
        <v>290113487</v>
      </c>
      <c r="D310" s="353">
        <f>LN_III1-LN_III6</f>
        <v>312040804</v>
      </c>
      <c r="E310" s="353">
        <f t="shared" si="32"/>
        <v>21927317</v>
      </c>
      <c r="F310" s="362">
        <f t="shared" si="33"/>
        <v>7.5581860142889534E-2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741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742</v>
      </c>
      <c r="C312" s="353">
        <f>C310+C311</f>
        <v>290113487</v>
      </c>
      <c r="D312" s="353">
        <f>LN_III7+LN_III8</f>
        <v>312040804</v>
      </c>
      <c r="E312" s="353">
        <f t="shared" si="32"/>
        <v>21927317</v>
      </c>
      <c r="F312" s="362">
        <f t="shared" si="33"/>
        <v>7.5581860142889534E-2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743</v>
      </c>
      <c r="C313" s="448">
        <f>IF(C304=0,0,C312/C304)</f>
        <v>0.43879406393227233</v>
      </c>
      <c r="D313" s="448">
        <f>IF(LN_III1=0,0,LN_III9/LN_III1)</f>
        <v>0.45093436027834488</v>
      </c>
      <c r="E313" s="448">
        <f t="shared" si="32"/>
        <v>1.2140296346072554E-2</v>
      </c>
      <c r="F313" s="362">
        <f t="shared" si="33"/>
        <v>2.7667412446915882E-2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701</v>
      </c>
      <c r="C314" s="353">
        <f>C306*C313</f>
        <v>7465446.5015911674</v>
      </c>
      <c r="D314" s="353">
        <f>D313*LN_III5</f>
        <v>6655446.6438571177</v>
      </c>
      <c r="E314" s="353">
        <f t="shared" si="32"/>
        <v>-809999.85773404967</v>
      </c>
      <c r="F314" s="362">
        <f t="shared" si="33"/>
        <v>-0.10849985430361174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704</v>
      </c>
      <c r="C315" s="353">
        <f>(C214*C313)-C215</f>
        <v>9724206.1189244613</v>
      </c>
      <c r="D315" s="353">
        <f>D313*LN_IH8-LN_IH9</f>
        <v>17366477.063929789</v>
      </c>
      <c r="E315" s="353">
        <f t="shared" si="32"/>
        <v>7642270.9450053275</v>
      </c>
      <c r="F315" s="362">
        <f t="shared" si="33"/>
        <v>0.78590178483902762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746</v>
      </c>
      <c r="C318" s="353">
        <f>C314+C315+C316</f>
        <v>17189652.62051563</v>
      </c>
      <c r="D318" s="353">
        <f>D314+D315+D316</f>
        <v>24021923.707786907</v>
      </c>
      <c r="E318" s="353">
        <f>D318-C318</f>
        <v>6832271.0872712769</v>
      </c>
      <c r="F318" s="362">
        <f>IF(C318=0,0,E318/C318)</f>
        <v>0.3974641744136847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6349956.4021446342</v>
      </c>
      <c r="D322" s="353">
        <f>LN_ID22</f>
        <v>7596263.7442070665</v>
      </c>
      <c r="E322" s="353">
        <f>LN_IV2-C322</f>
        <v>1246307.3420624323</v>
      </c>
      <c r="F322" s="362">
        <f>IF(C322=0,0,E322/C322)</f>
        <v>0.19627022031860006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733</v>
      </c>
      <c r="C323" s="353">
        <f>C162+C176</f>
        <v>102069.48773947379</v>
      </c>
      <c r="D323" s="353">
        <f>LN_IE10+LN_IE22</f>
        <v>227895.93837337993</v>
      </c>
      <c r="E323" s="353">
        <f>LN_IV3-C323</f>
        <v>125826.45063390615</v>
      </c>
      <c r="F323" s="362">
        <f>IF(C323=0,0,E323/C323)</f>
        <v>1.2327528375088017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748</v>
      </c>
      <c r="C324" s="353">
        <f>C92+C106</f>
        <v>6230420.8695786782</v>
      </c>
      <c r="D324" s="353">
        <f>LN_IC10+LN_IC22</f>
        <v>5256469.0398292346</v>
      </c>
      <c r="E324" s="353">
        <f>LN_IV1-C324</f>
        <v>-973951.82974944357</v>
      </c>
      <c r="F324" s="362">
        <f>IF(C324=0,0,E324/C324)</f>
        <v>-0.15632199656125403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749</v>
      </c>
      <c r="C325" s="429">
        <f>C324+C322+C323</f>
        <v>12682446.759462785</v>
      </c>
      <c r="D325" s="429">
        <f>LN_IV1+LN_IV2+LN_IV3</f>
        <v>13080628.72240968</v>
      </c>
      <c r="E325" s="353">
        <f>LN_IV4-C325</f>
        <v>398181.96294689551</v>
      </c>
      <c r="F325" s="362">
        <f>IF(C325=0,0,E325/C325)</f>
        <v>3.1396304711454756E-2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750</v>
      </c>
      <c r="B327" s="446" t="s">
        <v>751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752</v>
      </c>
      <c r="C329" s="431">
        <v>15323591</v>
      </c>
      <c r="D329" s="431">
        <v>14779838</v>
      </c>
      <c r="E329" s="431">
        <f t="shared" ref="E329:E335" si="34">D329-C329</f>
        <v>-543753</v>
      </c>
      <c r="F329" s="462">
        <f t="shared" ref="F329:F335" si="35">IF(C329=0,0,E329/C329)</f>
        <v>-3.5484698071098345E-2</v>
      </c>
    </row>
    <row r="330" spans="1:22" s="333" customFormat="1" ht="11.25" customHeight="1" x14ac:dyDescent="0.2">
      <c r="A330" s="364">
        <v>2</v>
      </c>
      <c r="B330" s="360" t="s">
        <v>753</v>
      </c>
      <c r="C330" s="429">
        <v>15792142</v>
      </c>
      <c r="D330" s="429">
        <v>11602393</v>
      </c>
      <c r="E330" s="431">
        <f t="shared" si="34"/>
        <v>-4189749</v>
      </c>
      <c r="F330" s="463">
        <f t="shared" si="35"/>
        <v>-0.26530593506568012</v>
      </c>
    </row>
    <row r="331" spans="1:22" s="333" customFormat="1" ht="11.25" customHeight="1" x14ac:dyDescent="0.2">
      <c r="A331" s="339">
        <v>3</v>
      </c>
      <c r="B331" s="360" t="s">
        <v>754</v>
      </c>
      <c r="C331" s="429">
        <v>318813210</v>
      </c>
      <c r="D331" s="429">
        <v>323643197</v>
      </c>
      <c r="E331" s="431">
        <f t="shared" si="34"/>
        <v>4829987</v>
      </c>
      <c r="F331" s="462">
        <f t="shared" si="35"/>
        <v>1.5149896078647432E-2</v>
      </c>
    </row>
    <row r="332" spans="1:22" s="333" customFormat="1" ht="11.25" customHeight="1" x14ac:dyDescent="0.2">
      <c r="A332" s="364">
        <v>4</v>
      </c>
      <c r="B332" s="360" t="s">
        <v>755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756</v>
      </c>
      <c r="C333" s="429">
        <v>661160918</v>
      </c>
      <c r="D333" s="429">
        <v>691987197</v>
      </c>
      <c r="E333" s="431">
        <f t="shared" si="34"/>
        <v>30826279</v>
      </c>
      <c r="F333" s="462">
        <f t="shared" si="35"/>
        <v>4.6624472440459648E-2</v>
      </c>
    </row>
    <row r="334" spans="1:22" s="333" customFormat="1" ht="11.25" customHeight="1" x14ac:dyDescent="0.2">
      <c r="A334" s="339">
        <v>6</v>
      </c>
      <c r="B334" s="360" t="s">
        <v>757</v>
      </c>
      <c r="C334" s="429">
        <v>3220157</v>
      </c>
      <c r="D334" s="429">
        <v>2907353</v>
      </c>
      <c r="E334" s="429">
        <f t="shared" si="34"/>
        <v>-312804</v>
      </c>
      <c r="F334" s="463">
        <f t="shared" si="35"/>
        <v>-9.7139363080744195E-2</v>
      </c>
    </row>
    <row r="335" spans="1:22" s="333" customFormat="1" ht="11.25" customHeight="1" x14ac:dyDescent="0.2">
      <c r="A335" s="364">
        <v>7</v>
      </c>
      <c r="B335" s="360" t="s">
        <v>758</v>
      </c>
      <c r="C335" s="429">
        <v>20233711</v>
      </c>
      <c r="D335" s="429">
        <v>17666590</v>
      </c>
      <c r="E335" s="429">
        <f t="shared" si="34"/>
        <v>-2567121</v>
      </c>
      <c r="F335" s="462">
        <f t="shared" si="35"/>
        <v>-0.12687346379514861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FILING&amp;RLAWRENCE AND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759</v>
      </c>
      <c r="B5" s="710"/>
      <c r="C5" s="710"/>
      <c r="D5" s="710"/>
      <c r="E5" s="710"/>
    </row>
    <row r="6" spans="1:5" s="338" customFormat="1" ht="15.75" customHeight="1" x14ac:dyDescent="0.25">
      <c r="A6" s="710" t="s">
        <v>760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761</v>
      </c>
      <c r="D9" s="494" t="s">
        <v>762</v>
      </c>
      <c r="E9" s="495" t="s">
        <v>763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641</v>
      </c>
      <c r="C14" s="513">
        <v>72224395</v>
      </c>
      <c r="D14" s="513">
        <v>72758907</v>
      </c>
      <c r="E14" s="514">
        <f t="shared" ref="E14:E22" si="0">D14-C14</f>
        <v>534512</v>
      </c>
    </row>
    <row r="15" spans="1:5" s="506" customFormat="1" x14ac:dyDescent="0.2">
      <c r="A15" s="512">
        <v>2</v>
      </c>
      <c r="B15" s="511" t="s">
        <v>620</v>
      </c>
      <c r="C15" s="513">
        <v>155839588</v>
      </c>
      <c r="D15" s="515">
        <v>156683829</v>
      </c>
      <c r="E15" s="514">
        <f t="shared" si="0"/>
        <v>844241</v>
      </c>
    </row>
    <row r="16" spans="1:5" s="506" customFormat="1" x14ac:dyDescent="0.2">
      <c r="A16" s="512">
        <v>3</v>
      </c>
      <c r="B16" s="511" t="s">
        <v>766</v>
      </c>
      <c r="C16" s="513">
        <v>48982709</v>
      </c>
      <c r="D16" s="515">
        <v>48354241</v>
      </c>
      <c r="E16" s="514">
        <f t="shared" si="0"/>
        <v>-628468</v>
      </c>
    </row>
    <row r="17" spans="1:5" s="506" customFormat="1" x14ac:dyDescent="0.2">
      <c r="A17" s="512">
        <v>4</v>
      </c>
      <c r="B17" s="511" t="s">
        <v>114</v>
      </c>
      <c r="C17" s="513">
        <v>48004808</v>
      </c>
      <c r="D17" s="515">
        <v>47872697</v>
      </c>
      <c r="E17" s="514">
        <f t="shared" si="0"/>
        <v>-132111</v>
      </c>
    </row>
    <row r="18" spans="1:5" s="506" customFormat="1" x14ac:dyDescent="0.2">
      <c r="A18" s="512">
        <v>5</v>
      </c>
      <c r="B18" s="511" t="s">
        <v>733</v>
      </c>
      <c r="C18" s="513">
        <v>977901</v>
      </c>
      <c r="D18" s="515">
        <v>481544</v>
      </c>
      <c r="E18" s="514">
        <f t="shared" si="0"/>
        <v>-496357</v>
      </c>
    </row>
    <row r="19" spans="1:5" s="506" customFormat="1" x14ac:dyDescent="0.2">
      <c r="A19" s="512">
        <v>6</v>
      </c>
      <c r="B19" s="511" t="s">
        <v>430</v>
      </c>
      <c r="C19" s="513">
        <v>12235130</v>
      </c>
      <c r="D19" s="515">
        <v>12748626</v>
      </c>
      <c r="E19" s="514">
        <f t="shared" si="0"/>
        <v>513496</v>
      </c>
    </row>
    <row r="20" spans="1:5" s="506" customFormat="1" x14ac:dyDescent="0.2">
      <c r="A20" s="512">
        <v>7</v>
      </c>
      <c r="B20" s="511" t="s">
        <v>748</v>
      </c>
      <c r="C20" s="513">
        <v>1105922</v>
      </c>
      <c r="D20" s="515">
        <v>935031</v>
      </c>
      <c r="E20" s="514">
        <f t="shared" si="0"/>
        <v>-170891</v>
      </c>
    </row>
    <row r="21" spans="1:5" s="506" customFormat="1" x14ac:dyDescent="0.2">
      <c r="A21" s="512"/>
      <c r="B21" s="516" t="s">
        <v>767</v>
      </c>
      <c r="C21" s="517">
        <f>SUM(C15+C16+C19)</f>
        <v>217057427</v>
      </c>
      <c r="D21" s="517">
        <f>SUM(D15+D16+D19)</f>
        <v>217786696</v>
      </c>
      <c r="E21" s="517">
        <f t="shared" si="0"/>
        <v>729269</v>
      </c>
    </row>
    <row r="22" spans="1:5" s="506" customFormat="1" x14ac:dyDescent="0.2">
      <c r="A22" s="512"/>
      <c r="B22" s="516" t="s">
        <v>707</v>
      </c>
      <c r="C22" s="517">
        <f>SUM(C14+C21)</f>
        <v>289281822</v>
      </c>
      <c r="D22" s="517">
        <f>SUM(D14+D21)</f>
        <v>290545603</v>
      </c>
      <c r="E22" s="517">
        <f t="shared" si="0"/>
        <v>1263781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641</v>
      </c>
      <c r="C25" s="513">
        <v>180011782</v>
      </c>
      <c r="D25" s="513">
        <v>185599975</v>
      </c>
      <c r="E25" s="514">
        <f t="shared" ref="E25:E33" si="1">D25-C25</f>
        <v>5588193</v>
      </c>
    </row>
    <row r="26" spans="1:5" s="506" customFormat="1" x14ac:dyDescent="0.2">
      <c r="A26" s="512">
        <v>2</v>
      </c>
      <c r="B26" s="511" t="s">
        <v>620</v>
      </c>
      <c r="C26" s="513">
        <v>107726275</v>
      </c>
      <c r="D26" s="515">
        <v>123938243</v>
      </c>
      <c r="E26" s="514">
        <f t="shared" si="1"/>
        <v>16211968</v>
      </c>
    </row>
    <row r="27" spans="1:5" s="506" customFormat="1" x14ac:dyDescent="0.2">
      <c r="A27" s="512">
        <v>3</v>
      </c>
      <c r="B27" s="511" t="s">
        <v>766</v>
      </c>
      <c r="C27" s="513">
        <v>61117092</v>
      </c>
      <c r="D27" s="515">
        <v>68687725</v>
      </c>
      <c r="E27" s="514">
        <f t="shared" si="1"/>
        <v>7570633</v>
      </c>
    </row>
    <row r="28" spans="1:5" s="506" customFormat="1" x14ac:dyDescent="0.2">
      <c r="A28" s="512">
        <v>4</v>
      </c>
      <c r="B28" s="511" t="s">
        <v>114</v>
      </c>
      <c r="C28" s="513">
        <v>60194068</v>
      </c>
      <c r="D28" s="515">
        <v>67648357</v>
      </c>
      <c r="E28" s="514">
        <f t="shared" si="1"/>
        <v>7454289</v>
      </c>
    </row>
    <row r="29" spans="1:5" s="506" customFormat="1" x14ac:dyDescent="0.2">
      <c r="A29" s="512">
        <v>5</v>
      </c>
      <c r="B29" s="511" t="s">
        <v>733</v>
      </c>
      <c r="C29" s="513">
        <v>923024</v>
      </c>
      <c r="D29" s="515">
        <v>1039368</v>
      </c>
      <c r="E29" s="514">
        <f t="shared" si="1"/>
        <v>116344</v>
      </c>
    </row>
    <row r="30" spans="1:5" s="506" customFormat="1" x14ac:dyDescent="0.2">
      <c r="A30" s="512">
        <v>6</v>
      </c>
      <c r="B30" s="511" t="s">
        <v>430</v>
      </c>
      <c r="C30" s="513">
        <v>23023949</v>
      </c>
      <c r="D30" s="515">
        <v>23215651</v>
      </c>
      <c r="E30" s="514">
        <f t="shared" si="1"/>
        <v>191702</v>
      </c>
    </row>
    <row r="31" spans="1:5" s="506" customFormat="1" x14ac:dyDescent="0.2">
      <c r="A31" s="512">
        <v>7</v>
      </c>
      <c r="B31" s="511" t="s">
        <v>748</v>
      </c>
      <c r="C31" s="514">
        <v>10910851</v>
      </c>
      <c r="D31" s="518">
        <v>10178944</v>
      </c>
      <c r="E31" s="514">
        <f t="shared" si="1"/>
        <v>-731907</v>
      </c>
    </row>
    <row r="32" spans="1:5" s="506" customFormat="1" x14ac:dyDescent="0.2">
      <c r="A32" s="512"/>
      <c r="B32" s="516" t="s">
        <v>769</v>
      </c>
      <c r="C32" s="517">
        <f>SUM(C26+C27+C30)</f>
        <v>191867316</v>
      </c>
      <c r="D32" s="517">
        <f>SUM(D26+D27+D30)</f>
        <v>215841619</v>
      </c>
      <c r="E32" s="517">
        <f t="shared" si="1"/>
        <v>23974303</v>
      </c>
    </row>
    <row r="33" spans="1:5" s="506" customFormat="1" x14ac:dyDescent="0.2">
      <c r="A33" s="512"/>
      <c r="B33" s="516" t="s">
        <v>713</v>
      </c>
      <c r="C33" s="517">
        <f>SUM(C25+C32)</f>
        <v>371879098</v>
      </c>
      <c r="D33" s="517">
        <f>SUM(D25+D32)</f>
        <v>401441594</v>
      </c>
      <c r="E33" s="517">
        <f t="shared" si="1"/>
        <v>29562496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770</v>
      </c>
      <c r="C36" s="514">
        <f t="shared" ref="C36:D42" si="2">C14+C25</f>
        <v>252236177</v>
      </c>
      <c r="D36" s="514">
        <f t="shared" si="2"/>
        <v>258358882</v>
      </c>
      <c r="E36" s="514">
        <f t="shared" ref="E36:E44" si="3">D36-C36</f>
        <v>6122705</v>
      </c>
    </row>
    <row r="37" spans="1:5" s="506" customFormat="1" x14ac:dyDescent="0.2">
      <c r="A37" s="512">
        <v>2</v>
      </c>
      <c r="B37" s="511" t="s">
        <v>771</v>
      </c>
      <c r="C37" s="514">
        <f t="shared" si="2"/>
        <v>263565863</v>
      </c>
      <c r="D37" s="514">
        <f t="shared" si="2"/>
        <v>280622072</v>
      </c>
      <c r="E37" s="514">
        <f t="shared" si="3"/>
        <v>17056209</v>
      </c>
    </row>
    <row r="38" spans="1:5" s="506" customFormat="1" x14ac:dyDescent="0.2">
      <c r="A38" s="512">
        <v>3</v>
      </c>
      <c r="B38" s="511" t="s">
        <v>772</v>
      </c>
      <c r="C38" s="514">
        <f t="shared" si="2"/>
        <v>110099801</v>
      </c>
      <c r="D38" s="514">
        <f t="shared" si="2"/>
        <v>117041966</v>
      </c>
      <c r="E38" s="514">
        <f t="shared" si="3"/>
        <v>6942165</v>
      </c>
    </row>
    <row r="39" spans="1:5" s="506" customFormat="1" x14ac:dyDescent="0.2">
      <c r="A39" s="512">
        <v>4</v>
      </c>
      <c r="B39" s="511" t="s">
        <v>773</v>
      </c>
      <c r="C39" s="514">
        <f t="shared" si="2"/>
        <v>108198876</v>
      </c>
      <c r="D39" s="514">
        <f t="shared" si="2"/>
        <v>115521054</v>
      </c>
      <c r="E39" s="514">
        <f t="shared" si="3"/>
        <v>7322178</v>
      </c>
    </row>
    <row r="40" spans="1:5" s="506" customFormat="1" x14ac:dyDescent="0.2">
      <c r="A40" s="512">
        <v>5</v>
      </c>
      <c r="B40" s="511" t="s">
        <v>774</v>
      </c>
      <c r="C40" s="514">
        <f t="shared" si="2"/>
        <v>1900925</v>
      </c>
      <c r="D40" s="514">
        <f t="shared" si="2"/>
        <v>1520912</v>
      </c>
      <c r="E40" s="514">
        <f t="shared" si="3"/>
        <v>-380013</v>
      </c>
    </row>
    <row r="41" spans="1:5" s="506" customFormat="1" x14ac:dyDescent="0.2">
      <c r="A41" s="512">
        <v>6</v>
      </c>
      <c r="B41" s="511" t="s">
        <v>775</v>
      </c>
      <c r="C41" s="514">
        <f t="shared" si="2"/>
        <v>35259079</v>
      </c>
      <c r="D41" s="514">
        <f t="shared" si="2"/>
        <v>35964277</v>
      </c>
      <c r="E41" s="514">
        <f t="shared" si="3"/>
        <v>705198</v>
      </c>
    </row>
    <row r="42" spans="1:5" s="506" customFormat="1" x14ac:dyDescent="0.2">
      <c r="A42" s="512">
        <v>7</v>
      </c>
      <c r="B42" s="511" t="s">
        <v>776</v>
      </c>
      <c r="C42" s="514">
        <f t="shared" si="2"/>
        <v>12016773</v>
      </c>
      <c r="D42" s="514">
        <f t="shared" si="2"/>
        <v>11113975</v>
      </c>
      <c r="E42" s="514">
        <f t="shared" si="3"/>
        <v>-902798</v>
      </c>
    </row>
    <row r="43" spans="1:5" s="506" customFormat="1" x14ac:dyDescent="0.2">
      <c r="A43" s="512"/>
      <c r="B43" s="516" t="s">
        <v>777</v>
      </c>
      <c r="C43" s="517">
        <f>SUM(C37+C38+C41)</f>
        <v>408924743</v>
      </c>
      <c r="D43" s="517">
        <f>SUM(D37+D38+D41)</f>
        <v>433628315</v>
      </c>
      <c r="E43" s="517">
        <f t="shared" si="3"/>
        <v>24703572</v>
      </c>
    </row>
    <row r="44" spans="1:5" s="506" customFormat="1" x14ac:dyDescent="0.2">
      <c r="A44" s="512"/>
      <c r="B44" s="516" t="s">
        <v>715</v>
      </c>
      <c r="C44" s="517">
        <f>SUM(C36+C43)</f>
        <v>661160920</v>
      </c>
      <c r="D44" s="517">
        <f>SUM(D36+D43)</f>
        <v>691987197</v>
      </c>
      <c r="E44" s="517">
        <f t="shared" si="3"/>
        <v>30826277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641</v>
      </c>
      <c r="C47" s="513">
        <v>52196374</v>
      </c>
      <c r="D47" s="513">
        <v>51860378</v>
      </c>
      <c r="E47" s="514">
        <f t="shared" ref="E47:E55" si="4">D47-C47</f>
        <v>-335996</v>
      </c>
    </row>
    <row r="48" spans="1:5" s="506" customFormat="1" x14ac:dyDescent="0.2">
      <c r="A48" s="512">
        <v>2</v>
      </c>
      <c r="B48" s="511" t="s">
        <v>620</v>
      </c>
      <c r="C48" s="513">
        <v>69135193</v>
      </c>
      <c r="D48" s="515">
        <v>73626752</v>
      </c>
      <c r="E48" s="514">
        <f t="shared" si="4"/>
        <v>4491559</v>
      </c>
    </row>
    <row r="49" spans="1:5" s="506" customFormat="1" x14ac:dyDescent="0.2">
      <c r="A49" s="512">
        <v>3</v>
      </c>
      <c r="B49" s="511" t="s">
        <v>766</v>
      </c>
      <c r="C49" s="513">
        <v>18603181</v>
      </c>
      <c r="D49" s="515">
        <v>16253524</v>
      </c>
      <c r="E49" s="514">
        <f t="shared" si="4"/>
        <v>-2349657</v>
      </c>
    </row>
    <row r="50" spans="1:5" s="506" customFormat="1" x14ac:dyDescent="0.2">
      <c r="A50" s="512">
        <v>4</v>
      </c>
      <c r="B50" s="511" t="s">
        <v>114</v>
      </c>
      <c r="C50" s="513">
        <v>18472111</v>
      </c>
      <c r="D50" s="515">
        <v>16110274</v>
      </c>
      <c r="E50" s="514">
        <f t="shared" si="4"/>
        <v>-2361837</v>
      </c>
    </row>
    <row r="51" spans="1:5" s="506" customFormat="1" x14ac:dyDescent="0.2">
      <c r="A51" s="512">
        <v>5</v>
      </c>
      <c r="B51" s="511" t="s">
        <v>733</v>
      </c>
      <c r="C51" s="513">
        <v>131070</v>
      </c>
      <c r="D51" s="515">
        <v>143250</v>
      </c>
      <c r="E51" s="514">
        <f t="shared" si="4"/>
        <v>12180</v>
      </c>
    </row>
    <row r="52" spans="1:5" s="506" customFormat="1" x14ac:dyDescent="0.2">
      <c r="A52" s="512">
        <v>6</v>
      </c>
      <c r="B52" s="511" t="s">
        <v>430</v>
      </c>
      <c r="C52" s="513">
        <v>4790269</v>
      </c>
      <c r="D52" s="515">
        <v>5510106</v>
      </c>
      <c r="E52" s="514">
        <f t="shared" si="4"/>
        <v>719837</v>
      </c>
    </row>
    <row r="53" spans="1:5" s="506" customFormat="1" x14ac:dyDescent="0.2">
      <c r="A53" s="512">
        <v>7</v>
      </c>
      <c r="B53" s="511" t="s">
        <v>748</v>
      </c>
      <c r="C53" s="513">
        <v>0</v>
      </c>
      <c r="D53" s="515">
        <v>0</v>
      </c>
      <c r="E53" s="514">
        <f t="shared" si="4"/>
        <v>0</v>
      </c>
    </row>
    <row r="54" spans="1:5" s="506" customFormat="1" x14ac:dyDescent="0.2">
      <c r="A54" s="512"/>
      <c r="B54" s="516" t="s">
        <v>779</v>
      </c>
      <c r="C54" s="517">
        <f>SUM(C48+C49+C52)</f>
        <v>92528643</v>
      </c>
      <c r="D54" s="517">
        <f>SUM(D48+D49+D52)</f>
        <v>95390382</v>
      </c>
      <c r="E54" s="517">
        <f t="shared" si="4"/>
        <v>2861739</v>
      </c>
    </row>
    <row r="55" spans="1:5" s="506" customFormat="1" x14ac:dyDescent="0.2">
      <c r="A55" s="512"/>
      <c r="B55" s="516" t="s">
        <v>708</v>
      </c>
      <c r="C55" s="517">
        <f>SUM(C47+C54)</f>
        <v>144725017</v>
      </c>
      <c r="D55" s="517">
        <f>SUM(D47+D54)</f>
        <v>147250760</v>
      </c>
      <c r="E55" s="517">
        <f t="shared" si="4"/>
        <v>2525743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780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641</v>
      </c>
      <c r="C58" s="513">
        <v>99098435</v>
      </c>
      <c r="D58" s="513">
        <v>105152745</v>
      </c>
      <c r="E58" s="514">
        <f t="shared" ref="E58:E66" si="5">D58-C58</f>
        <v>6054310</v>
      </c>
    </row>
    <row r="59" spans="1:5" s="506" customFormat="1" x14ac:dyDescent="0.2">
      <c r="A59" s="512">
        <v>2</v>
      </c>
      <c r="B59" s="511" t="s">
        <v>620</v>
      </c>
      <c r="C59" s="513">
        <v>30826121</v>
      </c>
      <c r="D59" s="515">
        <v>33437310</v>
      </c>
      <c r="E59" s="514">
        <f t="shared" si="5"/>
        <v>2611189</v>
      </c>
    </row>
    <row r="60" spans="1:5" s="506" customFormat="1" x14ac:dyDescent="0.2">
      <c r="A60" s="512">
        <v>3</v>
      </c>
      <c r="B60" s="511" t="s">
        <v>766</v>
      </c>
      <c r="C60" s="513">
        <f>C61+C62</f>
        <v>19983752</v>
      </c>
      <c r="D60" s="515">
        <f>D61+D62</f>
        <v>19158243</v>
      </c>
      <c r="E60" s="514">
        <f t="shared" si="5"/>
        <v>-825509</v>
      </c>
    </row>
    <row r="61" spans="1:5" s="506" customFormat="1" x14ac:dyDescent="0.2">
      <c r="A61" s="512">
        <v>4</v>
      </c>
      <c r="B61" s="511" t="s">
        <v>114</v>
      </c>
      <c r="C61" s="513">
        <v>19528993</v>
      </c>
      <c r="D61" s="515">
        <v>18889853</v>
      </c>
      <c r="E61" s="514">
        <f t="shared" si="5"/>
        <v>-639140</v>
      </c>
    </row>
    <row r="62" spans="1:5" s="506" customFormat="1" x14ac:dyDescent="0.2">
      <c r="A62" s="512">
        <v>5</v>
      </c>
      <c r="B62" s="511" t="s">
        <v>733</v>
      </c>
      <c r="C62" s="513">
        <v>454759</v>
      </c>
      <c r="D62" s="515">
        <v>268390</v>
      </c>
      <c r="E62" s="514">
        <f t="shared" si="5"/>
        <v>-186369</v>
      </c>
    </row>
    <row r="63" spans="1:5" s="506" customFormat="1" x14ac:dyDescent="0.2">
      <c r="A63" s="512">
        <v>6</v>
      </c>
      <c r="B63" s="511" t="s">
        <v>430</v>
      </c>
      <c r="C63" s="513">
        <v>8387614</v>
      </c>
      <c r="D63" s="515">
        <v>7041745</v>
      </c>
      <c r="E63" s="514">
        <f t="shared" si="5"/>
        <v>-1345869</v>
      </c>
    </row>
    <row r="64" spans="1:5" s="506" customFormat="1" x14ac:dyDescent="0.2">
      <c r="A64" s="512">
        <v>7</v>
      </c>
      <c r="B64" s="511" t="s">
        <v>748</v>
      </c>
      <c r="C64" s="513">
        <v>0</v>
      </c>
      <c r="D64" s="515">
        <v>0</v>
      </c>
      <c r="E64" s="514">
        <f t="shared" si="5"/>
        <v>0</v>
      </c>
    </row>
    <row r="65" spans="1:5" s="506" customFormat="1" x14ac:dyDescent="0.2">
      <c r="A65" s="512"/>
      <c r="B65" s="516" t="s">
        <v>781</v>
      </c>
      <c r="C65" s="517">
        <f>SUM(C59+C60+C63)</f>
        <v>59197487</v>
      </c>
      <c r="D65" s="517">
        <f>SUM(D59+D60+D63)</f>
        <v>59637298</v>
      </c>
      <c r="E65" s="517">
        <f t="shared" si="5"/>
        <v>439811</v>
      </c>
    </row>
    <row r="66" spans="1:5" s="506" customFormat="1" x14ac:dyDescent="0.2">
      <c r="A66" s="512"/>
      <c r="B66" s="516" t="s">
        <v>714</v>
      </c>
      <c r="C66" s="517">
        <f>SUM(C58+C65)</f>
        <v>158295922</v>
      </c>
      <c r="D66" s="517">
        <f>SUM(D58+D65)</f>
        <v>164790043</v>
      </c>
      <c r="E66" s="517">
        <f t="shared" si="5"/>
        <v>6494121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770</v>
      </c>
      <c r="C69" s="514">
        <f t="shared" ref="C69:D75" si="6">C47+C58</f>
        <v>151294809</v>
      </c>
      <c r="D69" s="514">
        <f t="shared" si="6"/>
        <v>157013123</v>
      </c>
      <c r="E69" s="514">
        <f t="shared" ref="E69:E77" si="7">D69-C69</f>
        <v>5718314</v>
      </c>
    </row>
    <row r="70" spans="1:5" s="506" customFormat="1" x14ac:dyDescent="0.2">
      <c r="A70" s="512">
        <v>2</v>
      </c>
      <c r="B70" s="511" t="s">
        <v>771</v>
      </c>
      <c r="C70" s="514">
        <f t="shared" si="6"/>
        <v>99961314</v>
      </c>
      <c r="D70" s="514">
        <f t="shared" si="6"/>
        <v>107064062</v>
      </c>
      <c r="E70" s="514">
        <f t="shared" si="7"/>
        <v>7102748</v>
      </c>
    </row>
    <row r="71" spans="1:5" s="506" customFormat="1" x14ac:dyDescent="0.2">
      <c r="A71" s="512">
        <v>3</v>
      </c>
      <c r="B71" s="511" t="s">
        <v>772</v>
      </c>
      <c r="C71" s="514">
        <f t="shared" si="6"/>
        <v>38586933</v>
      </c>
      <c r="D71" s="514">
        <f t="shared" si="6"/>
        <v>35411767</v>
      </c>
      <c r="E71" s="514">
        <f t="shared" si="7"/>
        <v>-3175166</v>
      </c>
    </row>
    <row r="72" spans="1:5" s="506" customFormat="1" x14ac:dyDescent="0.2">
      <c r="A72" s="512">
        <v>4</v>
      </c>
      <c r="B72" s="511" t="s">
        <v>773</v>
      </c>
      <c r="C72" s="514">
        <f t="shared" si="6"/>
        <v>38001104</v>
      </c>
      <c r="D72" s="514">
        <f t="shared" si="6"/>
        <v>35000127</v>
      </c>
      <c r="E72" s="514">
        <f t="shared" si="7"/>
        <v>-3000977</v>
      </c>
    </row>
    <row r="73" spans="1:5" s="506" customFormat="1" x14ac:dyDescent="0.2">
      <c r="A73" s="512">
        <v>5</v>
      </c>
      <c r="B73" s="511" t="s">
        <v>774</v>
      </c>
      <c r="C73" s="514">
        <f t="shared" si="6"/>
        <v>585829</v>
      </c>
      <c r="D73" s="514">
        <f t="shared" si="6"/>
        <v>411640</v>
      </c>
      <c r="E73" s="514">
        <f t="shared" si="7"/>
        <v>-174189</v>
      </c>
    </row>
    <row r="74" spans="1:5" s="506" customFormat="1" x14ac:dyDescent="0.2">
      <c r="A74" s="512">
        <v>6</v>
      </c>
      <c r="B74" s="511" t="s">
        <v>775</v>
      </c>
      <c r="C74" s="514">
        <f t="shared" si="6"/>
        <v>13177883</v>
      </c>
      <c r="D74" s="514">
        <f t="shared" si="6"/>
        <v>12551851</v>
      </c>
      <c r="E74" s="514">
        <f t="shared" si="7"/>
        <v>-626032</v>
      </c>
    </row>
    <row r="75" spans="1:5" s="506" customFormat="1" x14ac:dyDescent="0.2">
      <c r="A75" s="512">
        <v>7</v>
      </c>
      <c r="B75" s="511" t="s">
        <v>776</v>
      </c>
      <c r="C75" s="514">
        <f t="shared" si="6"/>
        <v>0</v>
      </c>
      <c r="D75" s="514">
        <f t="shared" si="6"/>
        <v>0</v>
      </c>
      <c r="E75" s="514">
        <f t="shared" si="7"/>
        <v>0</v>
      </c>
    </row>
    <row r="76" spans="1:5" s="506" customFormat="1" x14ac:dyDescent="0.2">
      <c r="A76" s="512"/>
      <c r="B76" s="516" t="s">
        <v>782</v>
      </c>
      <c r="C76" s="517">
        <f>SUM(C70+C71+C74)</f>
        <v>151726130</v>
      </c>
      <c r="D76" s="517">
        <f>SUM(D70+D71+D74)</f>
        <v>155027680</v>
      </c>
      <c r="E76" s="517">
        <f t="shared" si="7"/>
        <v>3301550</v>
      </c>
    </row>
    <row r="77" spans="1:5" s="506" customFormat="1" x14ac:dyDescent="0.2">
      <c r="A77" s="512"/>
      <c r="B77" s="516" t="s">
        <v>716</v>
      </c>
      <c r="C77" s="517">
        <f>SUM(C69+C76)</f>
        <v>303020939</v>
      </c>
      <c r="D77" s="517">
        <f>SUM(D69+D76)</f>
        <v>312040803</v>
      </c>
      <c r="E77" s="517">
        <f t="shared" si="7"/>
        <v>9019864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641</v>
      </c>
      <c r="C83" s="523">
        <f t="shared" ref="C83:D89" si="8">IF(C$44=0,0,C14/C$44)</f>
        <v>0.10923875385738165</v>
      </c>
      <c r="D83" s="523">
        <f t="shared" si="8"/>
        <v>0.10514487452287358</v>
      </c>
      <c r="E83" s="523">
        <f t="shared" ref="E83:E91" si="9">D83-C83</f>
        <v>-4.0938793345080687E-3</v>
      </c>
    </row>
    <row r="84" spans="1:5" s="506" customFormat="1" x14ac:dyDescent="0.2">
      <c r="A84" s="512">
        <v>2</v>
      </c>
      <c r="B84" s="511" t="s">
        <v>620</v>
      </c>
      <c r="C84" s="523">
        <f t="shared" si="8"/>
        <v>0.2357059881881706</v>
      </c>
      <c r="D84" s="523">
        <f t="shared" si="8"/>
        <v>0.22642590741458474</v>
      </c>
      <c r="E84" s="523">
        <f t="shared" si="9"/>
        <v>-9.2800807735858581E-3</v>
      </c>
    </row>
    <row r="85" spans="1:5" s="506" customFormat="1" x14ac:dyDescent="0.2">
      <c r="A85" s="512">
        <v>3</v>
      </c>
      <c r="B85" s="511" t="s">
        <v>766</v>
      </c>
      <c r="C85" s="523">
        <f t="shared" si="8"/>
        <v>7.4085910885356016E-2</v>
      </c>
      <c r="D85" s="523">
        <f t="shared" si="8"/>
        <v>6.9877363641454776E-2</v>
      </c>
      <c r="E85" s="523">
        <f t="shared" si="9"/>
        <v>-4.2085472439012395E-3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7.2606844336776596E-2</v>
      </c>
      <c r="D86" s="523">
        <f t="shared" si="8"/>
        <v>6.918147793419363E-2</v>
      </c>
      <c r="E86" s="523">
        <f t="shared" si="9"/>
        <v>-3.4253664025829661E-3</v>
      </c>
    </row>
    <row r="87" spans="1:5" s="506" customFormat="1" x14ac:dyDescent="0.2">
      <c r="A87" s="512">
        <v>5</v>
      </c>
      <c r="B87" s="511" t="s">
        <v>733</v>
      </c>
      <c r="C87" s="523">
        <f t="shared" si="8"/>
        <v>1.4790665485794291E-3</v>
      </c>
      <c r="D87" s="523">
        <f t="shared" si="8"/>
        <v>6.9588570726114172E-4</v>
      </c>
      <c r="E87" s="523">
        <f t="shared" si="9"/>
        <v>-7.8318084131828735E-4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1.8505525099698876E-2</v>
      </c>
      <c r="D88" s="523">
        <f t="shared" si="8"/>
        <v>1.8423210798219437E-2</v>
      </c>
      <c r="E88" s="523">
        <f t="shared" si="9"/>
        <v>-8.2314301479438634E-5</v>
      </c>
    </row>
    <row r="89" spans="1:5" s="506" customFormat="1" x14ac:dyDescent="0.2">
      <c r="A89" s="512">
        <v>7</v>
      </c>
      <c r="B89" s="511" t="s">
        <v>748</v>
      </c>
      <c r="C89" s="523">
        <f t="shared" si="8"/>
        <v>1.6726971703046212E-3</v>
      </c>
      <c r="D89" s="523">
        <f t="shared" si="8"/>
        <v>1.3512258666831952E-3</v>
      </c>
      <c r="E89" s="523">
        <f t="shared" si="9"/>
        <v>-3.21471303621426E-4</v>
      </c>
    </row>
    <row r="90" spans="1:5" s="506" customFormat="1" x14ac:dyDescent="0.2">
      <c r="A90" s="512"/>
      <c r="B90" s="516" t="s">
        <v>785</v>
      </c>
      <c r="C90" s="524">
        <f>SUM(C84+C85+C88)</f>
        <v>0.32829742417322549</v>
      </c>
      <c r="D90" s="524">
        <f>SUM(D84+D85+D88)</f>
        <v>0.31472648185425894</v>
      </c>
      <c r="E90" s="525">
        <f t="shared" si="9"/>
        <v>-1.357094231896655E-2</v>
      </c>
    </row>
    <row r="91" spans="1:5" s="506" customFormat="1" x14ac:dyDescent="0.2">
      <c r="A91" s="512"/>
      <c r="B91" s="516" t="s">
        <v>786</v>
      </c>
      <c r="C91" s="524">
        <f>SUM(C83+C90)</f>
        <v>0.43753617803060713</v>
      </c>
      <c r="D91" s="524">
        <f>SUM(D83+D90)</f>
        <v>0.41987135637713252</v>
      </c>
      <c r="E91" s="525">
        <f t="shared" si="9"/>
        <v>-1.7664821653474605E-2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641</v>
      </c>
      <c r="C95" s="523">
        <f t="shared" ref="C95:D101" si="10">IF(C$44=0,0,C25/C$44)</f>
        <v>0.27226621621858715</v>
      </c>
      <c r="D95" s="523">
        <f t="shared" si="10"/>
        <v>0.26821301868681829</v>
      </c>
      <c r="E95" s="523">
        <f t="shared" ref="E95:E103" si="11">D95-C95</f>
        <v>-4.0531975317688596E-3</v>
      </c>
    </row>
    <row r="96" spans="1:5" s="506" customFormat="1" x14ac:dyDescent="0.2">
      <c r="A96" s="512">
        <v>2</v>
      </c>
      <c r="B96" s="511" t="s">
        <v>620</v>
      </c>
      <c r="C96" s="523">
        <f t="shared" si="10"/>
        <v>0.16293503100576484</v>
      </c>
      <c r="D96" s="523">
        <f t="shared" si="10"/>
        <v>0.1791048209234426</v>
      </c>
      <c r="E96" s="523">
        <f t="shared" si="11"/>
        <v>1.6169789917677757E-2</v>
      </c>
    </row>
    <row r="97" spans="1:5" s="506" customFormat="1" x14ac:dyDescent="0.2">
      <c r="A97" s="512">
        <v>3</v>
      </c>
      <c r="B97" s="511" t="s">
        <v>766</v>
      </c>
      <c r="C97" s="523">
        <f t="shared" si="10"/>
        <v>9.2439057045295411E-2</v>
      </c>
      <c r="D97" s="523">
        <f t="shared" si="10"/>
        <v>9.9261554690295808E-2</v>
      </c>
      <c r="E97" s="523">
        <f t="shared" si="11"/>
        <v>6.8224976450003971E-3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9.1042991470215759E-2</v>
      </c>
      <c r="D98" s="523">
        <f t="shared" si="10"/>
        <v>9.7759550022426214E-2</v>
      </c>
      <c r="E98" s="523">
        <f t="shared" si="11"/>
        <v>6.7165585522104554E-3</v>
      </c>
    </row>
    <row r="99" spans="1:5" s="506" customFormat="1" x14ac:dyDescent="0.2">
      <c r="A99" s="512">
        <v>5</v>
      </c>
      <c r="B99" s="511" t="s">
        <v>733</v>
      </c>
      <c r="C99" s="523">
        <f t="shared" si="10"/>
        <v>1.3960655750796644E-3</v>
      </c>
      <c r="D99" s="523">
        <f t="shared" si="10"/>
        <v>1.5020046678695994E-3</v>
      </c>
      <c r="E99" s="523">
        <f t="shared" si="11"/>
        <v>1.0593909278993501E-4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3.4823517699745475E-2</v>
      </c>
      <c r="D100" s="523">
        <f t="shared" si="10"/>
        <v>3.3549249322310799E-2</v>
      </c>
      <c r="E100" s="523">
        <f t="shared" si="11"/>
        <v>-1.2742683774346758E-3</v>
      </c>
    </row>
    <row r="101" spans="1:5" s="506" customFormat="1" x14ac:dyDescent="0.2">
      <c r="A101" s="512">
        <v>7</v>
      </c>
      <c r="B101" s="511" t="s">
        <v>748</v>
      </c>
      <c r="C101" s="523">
        <f t="shared" si="10"/>
        <v>1.6502564912638816E-2</v>
      </c>
      <c r="D101" s="523">
        <f t="shared" si="10"/>
        <v>1.4709728798638452E-2</v>
      </c>
      <c r="E101" s="523">
        <f t="shared" si="11"/>
        <v>-1.7928361140003637E-3</v>
      </c>
    </row>
    <row r="102" spans="1:5" s="506" customFormat="1" x14ac:dyDescent="0.2">
      <c r="A102" s="512"/>
      <c r="B102" s="516" t="s">
        <v>788</v>
      </c>
      <c r="C102" s="524">
        <f>SUM(C96+C97+C100)</f>
        <v>0.29019760575080572</v>
      </c>
      <c r="D102" s="524">
        <f>SUM(D96+D97+D100)</f>
        <v>0.31191562493604919</v>
      </c>
      <c r="E102" s="525">
        <f t="shared" si="11"/>
        <v>2.1718019185243465E-2</v>
      </c>
    </row>
    <row r="103" spans="1:5" s="506" customFormat="1" x14ac:dyDescent="0.2">
      <c r="A103" s="512"/>
      <c r="B103" s="516" t="s">
        <v>789</v>
      </c>
      <c r="C103" s="524">
        <f>SUM(C95+C102)</f>
        <v>0.56246382196939293</v>
      </c>
      <c r="D103" s="524">
        <f>SUM(D95+D102)</f>
        <v>0.58012864362286742</v>
      </c>
      <c r="E103" s="525">
        <f t="shared" si="11"/>
        <v>1.7664821653474494E-2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790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641</v>
      </c>
      <c r="C109" s="523">
        <f t="shared" ref="C109:D115" si="12">IF(C$77=0,0,C47/C$77)</f>
        <v>0.17225335705266229</v>
      </c>
      <c r="D109" s="523">
        <f t="shared" si="12"/>
        <v>0.16619742514891553</v>
      </c>
      <c r="E109" s="523">
        <f t="shared" ref="E109:E117" si="13">D109-C109</f>
        <v>-6.0559319037467585E-3</v>
      </c>
    </row>
    <row r="110" spans="1:5" s="506" customFormat="1" x14ac:dyDescent="0.2">
      <c r="A110" s="512">
        <v>2</v>
      </c>
      <c r="B110" s="511" t="s">
        <v>620</v>
      </c>
      <c r="C110" s="523">
        <f t="shared" si="12"/>
        <v>0.22815318713008145</v>
      </c>
      <c r="D110" s="523">
        <f t="shared" si="12"/>
        <v>0.23595232191477214</v>
      </c>
      <c r="E110" s="523">
        <f t="shared" si="13"/>
        <v>7.7991347846906867E-3</v>
      </c>
    </row>
    <row r="111" spans="1:5" s="506" customFormat="1" x14ac:dyDescent="0.2">
      <c r="A111" s="512">
        <v>3</v>
      </c>
      <c r="B111" s="511" t="s">
        <v>766</v>
      </c>
      <c r="C111" s="523">
        <f t="shared" si="12"/>
        <v>6.1392394404797219E-2</v>
      </c>
      <c r="D111" s="523">
        <f t="shared" si="12"/>
        <v>5.2087816220624202E-2</v>
      </c>
      <c r="E111" s="523">
        <f t="shared" si="13"/>
        <v>-9.304578184173018E-3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6.0959850038613997E-2</v>
      </c>
      <c r="D112" s="523">
        <f t="shared" si="12"/>
        <v>5.1628741642483211E-2</v>
      </c>
      <c r="E112" s="523">
        <f t="shared" si="13"/>
        <v>-9.3311083961307856E-3</v>
      </c>
    </row>
    <row r="113" spans="1:5" s="506" customFormat="1" x14ac:dyDescent="0.2">
      <c r="A113" s="512">
        <v>5</v>
      </c>
      <c r="B113" s="511" t="s">
        <v>733</v>
      </c>
      <c r="C113" s="523">
        <f t="shared" si="12"/>
        <v>4.3254436618322273E-4</v>
      </c>
      <c r="D113" s="523">
        <f t="shared" si="12"/>
        <v>4.5907457814098752E-4</v>
      </c>
      <c r="E113" s="523">
        <f t="shared" si="13"/>
        <v>2.6530211957764794E-5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1.5808376199375449E-2</v>
      </c>
      <c r="D114" s="523">
        <f t="shared" si="12"/>
        <v>1.7658286823470325E-2</v>
      </c>
      <c r="E114" s="523">
        <f t="shared" si="13"/>
        <v>1.8499106240948762E-3</v>
      </c>
    </row>
    <row r="115" spans="1:5" s="506" customFormat="1" x14ac:dyDescent="0.2">
      <c r="A115" s="512">
        <v>7</v>
      </c>
      <c r="B115" s="511" t="s">
        <v>748</v>
      </c>
      <c r="C115" s="523">
        <f t="shared" si="12"/>
        <v>0</v>
      </c>
      <c r="D115" s="523">
        <f t="shared" si="12"/>
        <v>0</v>
      </c>
      <c r="E115" s="523">
        <f t="shared" si="13"/>
        <v>0</v>
      </c>
    </row>
    <row r="116" spans="1:5" s="506" customFormat="1" x14ac:dyDescent="0.2">
      <c r="A116" s="512"/>
      <c r="B116" s="516" t="s">
        <v>785</v>
      </c>
      <c r="C116" s="524">
        <f>SUM(C110+C111+C114)</f>
        <v>0.30535395773425417</v>
      </c>
      <c r="D116" s="524">
        <f>SUM(D110+D111+D114)</f>
        <v>0.30569842495886668</v>
      </c>
      <c r="E116" s="525">
        <f t="shared" si="13"/>
        <v>3.4446722461251023E-4</v>
      </c>
    </row>
    <row r="117" spans="1:5" s="506" customFormat="1" x14ac:dyDescent="0.2">
      <c r="A117" s="512"/>
      <c r="B117" s="516" t="s">
        <v>786</v>
      </c>
      <c r="C117" s="524">
        <f>SUM(C109+C116)</f>
        <v>0.47760731478691643</v>
      </c>
      <c r="D117" s="524">
        <f>SUM(D109+D116)</f>
        <v>0.47189585010778223</v>
      </c>
      <c r="E117" s="525">
        <f t="shared" si="13"/>
        <v>-5.7114646791341928E-3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641</v>
      </c>
      <c r="C121" s="523">
        <f t="shared" ref="C121:D127" si="14">IF(C$77=0,0,C58/C$77)</f>
        <v>0.32703494130483174</v>
      </c>
      <c r="D121" s="523">
        <f t="shared" si="14"/>
        <v>0.33698395847289242</v>
      </c>
      <c r="E121" s="523">
        <f t="shared" ref="E121:E129" si="15">D121-C121</f>
        <v>9.9490171680606809E-3</v>
      </c>
    </row>
    <row r="122" spans="1:5" s="506" customFormat="1" x14ac:dyDescent="0.2">
      <c r="A122" s="512">
        <v>2</v>
      </c>
      <c r="B122" s="511" t="s">
        <v>620</v>
      </c>
      <c r="C122" s="523">
        <f t="shared" si="14"/>
        <v>0.10172934286894279</v>
      </c>
      <c r="D122" s="523">
        <f t="shared" si="14"/>
        <v>0.10715685153521413</v>
      </c>
      <c r="E122" s="523">
        <f t="shared" si="15"/>
        <v>5.4275086662713412E-3</v>
      </c>
    </row>
    <row r="123" spans="1:5" s="506" customFormat="1" x14ac:dyDescent="0.2">
      <c r="A123" s="512">
        <v>3</v>
      </c>
      <c r="B123" s="511" t="s">
        <v>766</v>
      </c>
      <c r="C123" s="523">
        <f t="shared" si="14"/>
        <v>6.5948419491895241E-2</v>
      </c>
      <c r="D123" s="523">
        <f t="shared" si="14"/>
        <v>6.1396595624066512E-2</v>
      </c>
      <c r="E123" s="523">
        <f t="shared" si="15"/>
        <v>-4.551823867828729E-3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6.4447668416736048E-2</v>
      </c>
      <c r="D124" s="523">
        <f t="shared" si="14"/>
        <v>6.0536483749530669E-2</v>
      </c>
      <c r="E124" s="523">
        <f t="shared" si="15"/>
        <v>-3.9111846672053793E-3</v>
      </c>
    </row>
    <row r="125" spans="1:5" s="506" customFormat="1" x14ac:dyDescent="0.2">
      <c r="A125" s="512">
        <v>5</v>
      </c>
      <c r="B125" s="511" t="s">
        <v>733</v>
      </c>
      <c r="C125" s="523">
        <f t="shared" si="14"/>
        <v>1.5007510751591988E-3</v>
      </c>
      <c r="D125" s="523">
        <f t="shared" si="14"/>
        <v>8.6011187453584391E-4</v>
      </c>
      <c r="E125" s="523">
        <f t="shared" si="15"/>
        <v>-6.4063920062335487E-4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2.7679981547413791E-2</v>
      </c>
      <c r="D126" s="523">
        <f t="shared" si="14"/>
        <v>2.2566744260044735E-2</v>
      </c>
      <c r="E126" s="523">
        <f t="shared" si="15"/>
        <v>-5.1132372873690553E-3</v>
      </c>
    </row>
    <row r="127" spans="1:5" s="506" customFormat="1" x14ac:dyDescent="0.2">
      <c r="A127" s="512">
        <v>7</v>
      </c>
      <c r="B127" s="511" t="s">
        <v>748</v>
      </c>
      <c r="C127" s="523">
        <f t="shared" si="14"/>
        <v>0</v>
      </c>
      <c r="D127" s="523">
        <f t="shared" si="14"/>
        <v>0</v>
      </c>
      <c r="E127" s="523">
        <f t="shared" si="15"/>
        <v>0</v>
      </c>
    </row>
    <row r="128" spans="1:5" s="506" customFormat="1" x14ac:dyDescent="0.2">
      <c r="A128" s="512"/>
      <c r="B128" s="516" t="s">
        <v>788</v>
      </c>
      <c r="C128" s="524">
        <f>SUM(C122+C123+C126)</f>
        <v>0.19535774390825184</v>
      </c>
      <c r="D128" s="524">
        <f>SUM(D122+D123+D126)</f>
        <v>0.19112019141932537</v>
      </c>
      <c r="E128" s="525">
        <f t="shared" si="15"/>
        <v>-4.2375524889264604E-3</v>
      </c>
    </row>
    <row r="129" spans="1:5" s="506" customFormat="1" x14ac:dyDescent="0.2">
      <c r="A129" s="512"/>
      <c r="B129" s="516" t="s">
        <v>789</v>
      </c>
      <c r="C129" s="524">
        <f>SUM(C121+C128)</f>
        <v>0.52239268521308357</v>
      </c>
      <c r="D129" s="524">
        <f>SUM(D121+D128)</f>
        <v>0.52810414989221777</v>
      </c>
      <c r="E129" s="525">
        <f t="shared" si="15"/>
        <v>5.7114646791341928E-3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793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641</v>
      </c>
      <c r="C137" s="530">
        <v>4292</v>
      </c>
      <c r="D137" s="530">
        <v>4075</v>
      </c>
      <c r="E137" s="531">
        <f t="shared" ref="E137:E145" si="16">D137-C137</f>
        <v>-217</v>
      </c>
    </row>
    <row r="138" spans="1:5" s="506" customFormat="1" x14ac:dyDescent="0.2">
      <c r="A138" s="512">
        <v>2</v>
      </c>
      <c r="B138" s="511" t="s">
        <v>620</v>
      </c>
      <c r="C138" s="530">
        <v>6897</v>
      </c>
      <c r="D138" s="530">
        <v>6829</v>
      </c>
      <c r="E138" s="531">
        <f t="shared" si="16"/>
        <v>-68</v>
      </c>
    </row>
    <row r="139" spans="1:5" s="506" customFormat="1" x14ac:dyDescent="0.2">
      <c r="A139" s="512">
        <v>3</v>
      </c>
      <c r="B139" s="511" t="s">
        <v>766</v>
      </c>
      <c r="C139" s="530">
        <f>C140+C141</f>
        <v>3249</v>
      </c>
      <c r="D139" s="530">
        <f>D140+D141</f>
        <v>3059</v>
      </c>
      <c r="E139" s="531">
        <f t="shared" si="16"/>
        <v>-190</v>
      </c>
    </row>
    <row r="140" spans="1:5" s="506" customFormat="1" x14ac:dyDescent="0.2">
      <c r="A140" s="512">
        <v>4</v>
      </c>
      <c r="B140" s="511" t="s">
        <v>114</v>
      </c>
      <c r="C140" s="530">
        <v>3192</v>
      </c>
      <c r="D140" s="530">
        <v>3028</v>
      </c>
      <c r="E140" s="531">
        <f t="shared" si="16"/>
        <v>-164</v>
      </c>
    </row>
    <row r="141" spans="1:5" s="506" customFormat="1" x14ac:dyDescent="0.2">
      <c r="A141" s="512">
        <v>5</v>
      </c>
      <c r="B141" s="511" t="s">
        <v>733</v>
      </c>
      <c r="C141" s="530">
        <v>57</v>
      </c>
      <c r="D141" s="530">
        <v>31</v>
      </c>
      <c r="E141" s="531">
        <f t="shared" si="16"/>
        <v>-26</v>
      </c>
    </row>
    <row r="142" spans="1:5" s="506" customFormat="1" x14ac:dyDescent="0.2">
      <c r="A142" s="512">
        <v>6</v>
      </c>
      <c r="B142" s="511" t="s">
        <v>430</v>
      </c>
      <c r="C142" s="530">
        <v>890</v>
      </c>
      <c r="D142" s="530">
        <v>969</v>
      </c>
      <c r="E142" s="531">
        <f t="shared" si="16"/>
        <v>79</v>
      </c>
    </row>
    <row r="143" spans="1:5" s="506" customFormat="1" x14ac:dyDescent="0.2">
      <c r="A143" s="512">
        <v>7</v>
      </c>
      <c r="B143" s="511" t="s">
        <v>748</v>
      </c>
      <c r="C143" s="530">
        <v>89</v>
      </c>
      <c r="D143" s="530">
        <v>69</v>
      </c>
      <c r="E143" s="531">
        <f t="shared" si="16"/>
        <v>-20</v>
      </c>
    </row>
    <row r="144" spans="1:5" s="506" customFormat="1" x14ac:dyDescent="0.2">
      <c r="A144" s="512"/>
      <c r="B144" s="516" t="s">
        <v>796</v>
      </c>
      <c r="C144" s="532">
        <f>SUM(C138+C139+C142)</f>
        <v>11036</v>
      </c>
      <c r="D144" s="532">
        <f>SUM(D138+D139+D142)</f>
        <v>10857</v>
      </c>
      <c r="E144" s="533">
        <f t="shared" si="16"/>
        <v>-179</v>
      </c>
    </row>
    <row r="145" spans="1:5" s="506" customFormat="1" x14ac:dyDescent="0.2">
      <c r="A145" s="512"/>
      <c r="B145" s="516" t="s">
        <v>710</v>
      </c>
      <c r="C145" s="532">
        <f>SUM(C137+C144)</f>
        <v>15328</v>
      </c>
      <c r="D145" s="532">
        <f>SUM(D137+D144)</f>
        <v>14932</v>
      </c>
      <c r="E145" s="533">
        <f t="shared" si="16"/>
        <v>-396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641</v>
      </c>
      <c r="C149" s="534">
        <v>16534</v>
      </c>
      <c r="D149" s="534">
        <v>15479</v>
      </c>
      <c r="E149" s="531">
        <f t="shared" ref="E149:E157" si="17">D149-C149</f>
        <v>-1055</v>
      </c>
    </row>
    <row r="150" spans="1:5" s="506" customFormat="1" x14ac:dyDescent="0.2">
      <c r="A150" s="512">
        <v>2</v>
      </c>
      <c r="B150" s="511" t="s">
        <v>620</v>
      </c>
      <c r="C150" s="534">
        <v>40206</v>
      </c>
      <c r="D150" s="534">
        <v>38019</v>
      </c>
      <c r="E150" s="531">
        <f t="shared" si="17"/>
        <v>-2187</v>
      </c>
    </row>
    <row r="151" spans="1:5" s="506" customFormat="1" x14ac:dyDescent="0.2">
      <c r="A151" s="512">
        <v>3</v>
      </c>
      <c r="B151" s="511" t="s">
        <v>766</v>
      </c>
      <c r="C151" s="534">
        <f>C152+C153</f>
        <v>14396</v>
      </c>
      <c r="D151" s="534">
        <f>D152+D153</f>
        <v>13869</v>
      </c>
      <c r="E151" s="531">
        <f t="shared" si="17"/>
        <v>-527</v>
      </c>
    </row>
    <row r="152" spans="1:5" s="506" customFormat="1" x14ac:dyDescent="0.2">
      <c r="A152" s="512">
        <v>4</v>
      </c>
      <c r="B152" s="511" t="s">
        <v>114</v>
      </c>
      <c r="C152" s="534">
        <v>14089</v>
      </c>
      <c r="D152" s="534">
        <v>13730</v>
      </c>
      <c r="E152" s="531">
        <f t="shared" si="17"/>
        <v>-359</v>
      </c>
    </row>
    <row r="153" spans="1:5" s="506" customFormat="1" x14ac:dyDescent="0.2">
      <c r="A153" s="512">
        <v>5</v>
      </c>
      <c r="B153" s="511" t="s">
        <v>733</v>
      </c>
      <c r="C153" s="535">
        <v>307</v>
      </c>
      <c r="D153" s="534">
        <v>139</v>
      </c>
      <c r="E153" s="531">
        <f t="shared" si="17"/>
        <v>-168</v>
      </c>
    </row>
    <row r="154" spans="1:5" s="506" customFormat="1" x14ac:dyDescent="0.2">
      <c r="A154" s="512">
        <v>6</v>
      </c>
      <c r="B154" s="511" t="s">
        <v>430</v>
      </c>
      <c r="C154" s="534">
        <v>2946</v>
      </c>
      <c r="D154" s="534">
        <v>3191</v>
      </c>
      <c r="E154" s="531">
        <f t="shared" si="17"/>
        <v>245</v>
      </c>
    </row>
    <row r="155" spans="1:5" s="506" customFormat="1" x14ac:dyDescent="0.2">
      <c r="A155" s="512">
        <v>7</v>
      </c>
      <c r="B155" s="511" t="s">
        <v>748</v>
      </c>
      <c r="C155" s="534">
        <v>334</v>
      </c>
      <c r="D155" s="534">
        <v>216</v>
      </c>
      <c r="E155" s="531">
        <f t="shared" si="17"/>
        <v>-118</v>
      </c>
    </row>
    <row r="156" spans="1:5" s="506" customFormat="1" x14ac:dyDescent="0.2">
      <c r="A156" s="512"/>
      <c r="B156" s="516" t="s">
        <v>797</v>
      </c>
      <c r="C156" s="532">
        <f>SUM(C150+C151+C154)</f>
        <v>57548</v>
      </c>
      <c r="D156" s="532">
        <f>SUM(D150+D151+D154)</f>
        <v>55079</v>
      </c>
      <c r="E156" s="533">
        <f t="shared" si="17"/>
        <v>-2469</v>
      </c>
    </row>
    <row r="157" spans="1:5" s="506" customFormat="1" x14ac:dyDescent="0.2">
      <c r="A157" s="512"/>
      <c r="B157" s="516" t="s">
        <v>798</v>
      </c>
      <c r="C157" s="532">
        <f>SUM(C149+C156)</f>
        <v>74082</v>
      </c>
      <c r="D157" s="532">
        <f>SUM(D149+D156)</f>
        <v>70558</v>
      </c>
      <c r="E157" s="533">
        <f t="shared" si="17"/>
        <v>-3524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641</v>
      </c>
      <c r="C161" s="536">
        <f t="shared" ref="C161:D169" si="18">IF(C137=0,0,C149/C137)</f>
        <v>3.8522833178005591</v>
      </c>
      <c r="D161" s="536">
        <f t="shared" si="18"/>
        <v>3.7985276073619634</v>
      </c>
      <c r="E161" s="537">
        <f t="shared" ref="E161:E169" si="19">D161-C161</f>
        <v>-5.3755710438595727E-2</v>
      </c>
    </row>
    <row r="162" spans="1:5" s="506" customFormat="1" x14ac:dyDescent="0.2">
      <c r="A162" s="512">
        <v>2</v>
      </c>
      <c r="B162" s="511" t="s">
        <v>620</v>
      </c>
      <c r="C162" s="536">
        <f t="shared" si="18"/>
        <v>5.8294910830796001</v>
      </c>
      <c r="D162" s="536">
        <f t="shared" si="18"/>
        <v>5.5672865719724705</v>
      </c>
      <c r="E162" s="537">
        <f t="shared" si="19"/>
        <v>-0.26220451110712961</v>
      </c>
    </row>
    <row r="163" spans="1:5" s="506" customFormat="1" x14ac:dyDescent="0.2">
      <c r="A163" s="512">
        <v>3</v>
      </c>
      <c r="B163" s="511" t="s">
        <v>766</v>
      </c>
      <c r="C163" s="536">
        <f t="shared" si="18"/>
        <v>4.4309018159433675</v>
      </c>
      <c r="D163" s="536">
        <f t="shared" si="18"/>
        <v>4.5338345864661651</v>
      </c>
      <c r="E163" s="537">
        <f t="shared" si="19"/>
        <v>0.10293277052279759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4.4138471177944858</v>
      </c>
      <c r="D164" s="536">
        <f t="shared" si="18"/>
        <v>4.5343461030383088</v>
      </c>
      <c r="E164" s="537">
        <f t="shared" si="19"/>
        <v>0.12049898524382296</v>
      </c>
    </row>
    <row r="165" spans="1:5" s="506" customFormat="1" x14ac:dyDescent="0.2">
      <c r="A165" s="512">
        <v>5</v>
      </c>
      <c r="B165" s="511" t="s">
        <v>733</v>
      </c>
      <c r="C165" s="536">
        <f t="shared" si="18"/>
        <v>5.3859649122807021</v>
      </c>
      <c r="D165" s="536">
        <f t="shared" si="18"/>
        <v>4.4838709677419351</v>
      </c>
      <c r="E165" s="537">
        <f t="shared" si="19"/>
        <v>-0.90209394453876701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3.3101123595505619</v>
      </c>
      <c r="D166" s="536">
        <f t="shared" si="18"/>
        <v>3.2930856553147576</v>
      </c>
      <c r="E166" s="537">
        <f t="shared" si="19"/>
        <v>-1.7026704235804324E-2</v>
      </c>
    </row>
    <row r="167" spans="1:5" s="506" customFormat="1" x14ac:dyDescent="0.2">
      <c r="A167" s="512">
        <v>7</v>
      </c>
      <c r="B167" s="511" t="s">
        <v>748</v>
      </c>
      <c r="C167" s="536">
        <f t="shared" si="18"/>
        <v>3.7528089887640448</v>
      </c>
      <c r="D167" s="536">
        <f t="shared" si="18"/>
        <v>3.1304347826086958</v>
      </c>
      <c r="E167" s="537">
        <f t="shared" si="19"/>
        <v>-0.622374206155349</v>
      </c>
    </row>
    <row r="168" spans="1:5" s="506" customFormat="1" x14ac:dyDescent="0.2">
      <c r="A168" s="512"/>
      <c r="B168" s="516" t="s">
        <v>800</v>
      </c>
      <c r="C168" s="538">
        <f t="shared" si="18"/>
        <v>5.2145704965567239</v>
      </c>
      <c r="D168" s="538">
        <f t="shared" si="18"/>
        <v>5.0731325412176478</v>
      </c>
      <c r="E168" s="539">
        <f t="shared" si="19"/>
        <v>-0.1414379553390761</v>
      </c>
    </row>
    <row r="169" spans="1:5" s="506" customFormat="1" x14ac:dyDescent="0.2">
      <c r="A169" s="512"/>
      <c r="B169" s="516" t="s">
        <v>734</v>
      </c>
      <c r="C169" s="538">
        <f t="shared" si="18"/>
        <v>4.8331158663883089</v>
      </c>
      <c r="D169" s="538">
        <f t="shared" si="18"/>
        <v>4.7252879721403698</v>
      </c>
      <c r="E169" s="539">
        <f t="shared" si="19"/>
        <v>-0.10782789424793915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641</v>
      </c>
      <c r="C173" s="541">
        <f t="shared" ref="C173:D181" si="20">IF(C137=0,0,C203/C137)</f>
        <v>1.1148</v>
      </c>
      <c r="D173" s="541">
        <f t="shared" si="20"/>
        <v>1.149</v>
      </c>
      <c r="E173" s="542">
        <f t="shared" ref="E173:E181" si="21">D173-C173</f>
        <v>3.4200000000000008E-2</v>
      </c>
    </row>
    <row r="174" spans="1:5" s="506" customFormat="1" x14ac:dyDescent="0.2">
      <c r="A174" s="512">
        <v>2</v>
      </c>
      <c r="B174" s="511" t="s">
        <v>620</v>
      </c>
      <c r="C174" s="541">
        <f t="shared" si="20"/>
        <v>1.4369999999999998</v>
      </c>
      <c r="D174" s="541">
        <f t="shared" si="20"/>
        <v>1.4081999999999999</v>
      </c>
      <c r="E174" s="542">
        <f t="shared" si="21"/>
        <v>-2.8799999999999937E-2</v>
      </c>
    </row>
    <row r="175" spans="1:5" s="506" customFormat="1" x14ac:dyDescent="0.2">
      <c r="A175" s="512">
        <v>0</v>
      </c>
      <c r="B175" s="511" t="s">
        <v>766</v>
      </c>
      <c r="C175" s="541">
        <f t="shared" si="20"/>
        <v>0.95108771929824554</v>
      </c>
      <c r="D175" s="541">
        <f t="shared" si="20"/>
        <v>0.99612268715266417</v>
      </c>
      <c r="E175" s="542">
        <f t="shared" si="21"/>
        <v>4.5034967854418628E-2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0.95279999999999998</v>
      </c>
      <c r="D176" s="541">
        <f t="shared" si="20"/>
        <v>0.99660000000000004</v>
      </c>
      <c r="E176" s="542">
        <f t="shared" si="21"/>
        <v>4.3800000000000061E-2</v>
      </c>
    </row>
    <row r="177" spans="1:5" s="506" customFormat="1" x14ac:dyDescent="0.2">
      <c r="A177" s="512">
        <v>5</v>
      </c>
      <c r="B177" s="511" t="s">
        <v>733</v>
      </c>
      <c r="C177" s="541">
        <f t="shared" si="20"/>
        <v>0.85519999999999985</v>
      </c>
      <c r="D177" s="541">
        <f t="shared" si="20"/>
        <v>0.94950000000000001</v>
      </c>
      <c r="E177" s="542">
        <f t="shared" si="21"/>
        <v>9.4300000000000161E-2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0.90339999999999998</v>
      </c>
      <c r="D178" s="541">
        <f t="shared" si="20"/>
        <v>0.89590000000000003</v>
      </c>
      <c r="E178" s="542">
        <f t="shared" si="21"/>
        <v>-7.4999999999999512E-3</v>
      </c>
    </row>
    <row r="179" spans="1:5" s="506" customFormat="1" x14ac:dyDescent="0.2">
      <c r="A179" s="512">
        <v>7</v>
      </c>
      <c r="B179" s="511" t="s">
        <v>748</v>
      </c>
      <c r="C179" s="541">
        <f t="shared" si="20"/>
        <v>0.89100000000000013</v>
      </c>
      <c r="D179" s="541">
        <f t="shared" si="20"/>
        <v>1.1487000000000001</v>
      </c>
      <c r="E179" s="542">
        <f t="shared" si="21"/>
        <v>0.25769999999999993</v>
      </c>
    </row>
    <row r="180" spans="1:5" s="506" customFormat="1" x14ac:dyDescent="0.2">
      <c r="A180" s="512"/>
      <c r="B180" s="516" t="s">
        <v>802</v>
      </c>
      <c r="C180" s="543">
        <f t="shared" si="20"/>
        <v>1.2509150960492932</v>
      </c>
      <c r="D180" s="543">
        <f t="shared" si="20"/>
        <v>1.2463723127935893</v>
      </c>
      <c r="E180" s="544">
        <f t="shared" si="21"/>
        <v>-4.5427832557038972E-3</v>
      </c>
    </row>
    <row r="181" spans="1:5" s="506" customFormat="1" x14ac:dyDescent="0.2">
      <c r="A181" s="512"/>
      <c r="B181" s="516" t="s">
        <v>711</v>
      </c>
      <c r="C181" s="543">
        <f t="shared" si="20"/>
        <v>1.2128014483298537</v>
      </c>
      <c r="D181" s="543">
        <f t="shared" si="20"/>
        <v>1.2197990356281809</v>
      </c>
      <c r="E181" s="544">
        <f t="shared" si="21"/>
        <v>6.9975872983272236E-3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804</v>
      </c>
      <c r="C185" s="513">
        <v>240219404</v>
      </c>
      <c r="D185" s="513">
        <v>232465068</v>
      </c>
      <c r="E185" s="514">
        <f>D185-C185</f>
        <v>-7754336</v>
      </c>
    </row>
    <row r="186" spans="1:5" s="506" customFormat="1" ht="25.5" x14ac:dyDescent="0.2">
      <c r="A186" s="512">
        <v>2</v>
      </c>
      <c r="B186" s="511" t="s">
        <v>805</v>
      </c>
      <c r="C186" s="513">
        <v>151294809</v>
      </c>
      <c r="D186" s="513">
        <v>153442991</v>
      </c>
      <c r="E186" s="514">
        <f>D186-C186</f>
        <v>2148182</v>
      </c>
    </row>
    <row r="187" spans="1:5" s="506" customFormat="1" x14ac:dyDescent="0.2">
      <c r="A187" s="512"/>
      <c r="B187" s="511" t="s">
        <v>653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737</v>
      </c>
      <c r="C188" s="546">
        <f>+C185-C186</f>
        <v>88924595</v>
      </c>
      <c r="D188" s="546">
        <f>+D185-D186</f>
        <v>79022077</v>
      </c>
      <c r="E188" s="514">
        <f t="shared" ref="E188:E197" si="22">D188-C188</f>
        <v>-9902518</v>
      </c>
    </row>
    <row r="189" spans="1:5" s="506" customFormat="1" x14ac:dyDescent="0.2">
      <c r="A189" s="512">
        <v>4</v>
      </c>
      <c r="B189" s="511" t="s">
        <v>655</v>
      </c>
      <c r="C189" s="547">
        <f>IF(C185=0,0,+C188/C185)</f>
        <v>0.37018073277710739</v>
      </c>
      <c r="D189" s="547">
        <f>IF(D185=0,0,+D188/D185)</f>
        <v>0.33993097405929396</v>
      </c>
      <c r="E189" s="523">
        <f t="shared" si="22"/>
        <v>-3.0249758717813435E-2</v>
      </c>
    </row>
    <row r="190" spans="1:5" s="506" customFormat="1" x14ac:dyDescent="0.2">
      <c r="A190" s="512">
        <v>5</v>
      </c>
      <c r="B190" s="511" t="s">
        <v>752</v>
      </c>
      <c r="C190" s="513">
        <v>15323591</v>
      </c>
      <c r="D190" s="513">
        <v>14779838</v>
      </c>
      <c r="E190" s="546">
        <f t="shared" si="22"/>
        <v>-543753</v>
      </c>
    </row>
    <row r="191" spans="1:5" s="506" customFormat="1" x14ac:dyDescent="0.2">
      <c r="A191" s="512">
        <v>6</v>
      </c>
      <c r="B191" s="511" t="s">
        <v>738</v>
      </c>
      <c r="C191" s="513">
        <v>7910671</v>
      </c>
      <c r="D191" s="513">
        <v>7564445</v>
      </c>
      <c r="E191" s="546">
        <f t="shared" si="22"/>
        <v>-346226</v>
      </c>
    </row>
    <row r="192" spans="1:5" ht="29.25" x14ac:dyDescent="0.2">
      <c r="A192" s="512">
        <v>7</v>
      </c>
      <c r="B192" s="548" t="s">
        <v>806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807</v>
      </c>
      <c r="C193" s="513">
        <v>3148344</v>
      </c>
      <c r="D193" s="513">
        <v>2828618</v>
      </c>
      <c r="E193" s="546">
        <f t="shared" si="22"/>
        <v>-319726</v>
      </c>
    </row>
    <row r="194" spans="1:5" s="506" customFormat="1" x14ac:dyDescent="0.2">
      <c r="A194" s="512">
        <v>9</v>
      </c>
      <c r="B194" s="511" t="s">
        <v>808</v>
      </c>
      <c r="C194" s="513">
        <v>13865210</v>
      </c>
      <c r="D194" s="513">
        <v>11930618</v>
      </c>
      <c r="E194" s="546">
        <f t="shared" si="22"/>
        <v>-1934592</v>
      </c>
    </row>
    <row r="195" spans="1:5" s="506" customFormat="1" x14ac:dyDescent="0.2">
      <c r="A195" s="512">
        <v>10</v>
      </c>
      <c r="B195" s="511" t="s">
        <v>809</v>
      </c>
      <c r="C195" s="513">
        <f>+C193+C194</f>
        <v>17013554</v>
      </c>
      <c r="D195" s="513">
        <f>+D193+D194</f>
        <v>14759236</v>
      </c>
      <c r="E195" s="549">
        <f t="shared" si="22"/>
        <v>-2254318</v>
      </c>
    </row>
    <row r="196" spans="1:5" s="506" customFormat="1" x14ac:dyDescent="0.2">
      <c r="A196" s="512">
        <v>11</v>
      </c>
      <c r="B196" s="511" t="s">
        <v>810</v>
      </c>
      <c r="C196" s="513">
        <v>240219404</v>
      </c>
      <c r="D196" s="513">
        <v>232465068</v>
      </c>
      <c r="E196" s="546">
        <f t="shared" si="22"/>
        <v>-7754336</v>
      </c>
    </row>
    <row r="197" spans="1:5" s="506" customFormat="1" x14ac:dyDescent="0.2">
      <c r="A197" s="512">
        <v>12</v>
      </c>
      <c r="B197" s="511" t="s">
        <v>695</v>
      </c>
      <c r="C197" s="513">
        <v>312331109</v>
      </c>
      <c r="D197" s="513">
        <v>318194716</v>
      </c>
      <c r="E197" s="546">
        <f t="shared" si="22"/>
        <v>5863607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641</v>
      </c>
      <c r="C203" s="553">
        <v>4784.7215999999999</v>
      </c>
      <c r="D203" s="553">
        <v>4682.1750000000002</v>
      </c>
      <c r="E203" s="554">
        <f t="shared" ref="E203:E211" si="23">D203-C203</f>
        <v>-102.54659999999967</v>
      </c>
    </row>
    <row r="204" spans="1:5" s="506" customFormat="1" x14ac:dyDescent="0.2">
      <c r="A204" s="512">
        <v>2</v>
      </c>
      <c r="B204" s="511" t="s">
        <v>620</v>
      </c>
      <c r="C204" s="553">
        <v>9910.9889999999996</v>
      </c>
      <c r="D204" s="553">
        <v>9616.5977999999996</v>
      </c>
      <c r="E204" s="554">
        <f t="shared" si="23"/>
        <v>-294.39120000000003</v>
      </c>
    </row>
    <row r="205" spans="1:5" s="506" customFormat="1" x14ac:dyDescent="0.2">
      <c r="A205" s="512">
        <v>3</v>
      </c>
      <c r="B205" s="511" t="s">
        <v>766</v>
      </c>
      <c r="C205" s="553">
        <f>C206+C207</f>
        <v>3090.0839999999998</v>
      </c>
      <c r="D205" s="553">
        <f>D206+D207</f>
        <v>3047.1392999999998</v>
      </c>
      <c r="E205" s="554">
        <f t="shared" si="23"/>
        <v>-42.944700000000012</v>
      </c>
    </row>
    <row r="206" spans="1:5" s="506" customFormat="1" x14ac:dyDescent="0.2">
      <c r="A206" s="512">
        <v>4</v>
      </c>
      <c r="B206" s="511" t="s">
        <v>114</v>
      </c>
      <c r="C206" s="553">
        <v>3041.3375999999998</v>
      </c>
      <c r="D206" s="553">
        <v>3017.7048</v>
      </c>
      <c r="E206" s="554">
        <f t="shared" si="23"/>
        <v>-23.632799999999861</v>
      </c>
    </row>
    <row r="207" spans="1:5" s="506" customFormat="1" x14ac:dyDescent="0.2">
      <c r="A207" s="512">
        <v>5</v>
      </c>
      <c r="B207" s="511" t="s">
        <v>733</v>
      </c>
      <c r="C207" s="553">
        <v>48.746399999999994</v>
      </c>
      <c r="D207" s="553">
        <v>29.4345</v>
      </c>
      <c r="E207" s="554">
        <f t="shared" si="23"/>
        <v>-19.311899999999994</v>
      </c>
    </row>
    <row r="208" spans="1:5" s="506" customFormat="1" x14ac:dyDescent="0.2">
      <c r="A208" s="512">
        <v>6</v>
      </c>
      <c r="B208" s="511" t="s">
        <v>430</v>
      </c>
      <c r="C208" s="553">
        <v>804.02599999999995</v>
      </c>
      <c r="D208" s="553">
        <v>868.12710000000004</v>
      </c>
      <c r="E208" s="554">
        <f t="shared" si="23"/>
        <v>64.101100000000088</v>
      </c>
    </row>
    <row r="209" spans="1:5" s="506" customFormat="1" x14ac:dyDescent="0.2">
      <c r="A209" s="512">
        <v>7</v>
      </c>
      <c r="B209" s="511" t="s">
        <v>748</v>
      </c>
      <c r="C209" s="553">
        <v>79.299000000000007</v>
      </c>
      <c r="D209" s="553">
        <v>79.260300000000001</v>
      </c>
      <c r="E209" s="554">
        <f t="shared" si="23"/>
        <v>-3.870000000000573E-2</v>
      </c>
    </row>
    <row r="210" spans="1:5" s="506" customFormat="1" x14ac:dyDescent="0.2">
      <c r="A210" s="512"/>
      <c r="B210" s="516" t="s">
        <v>813</v>
      </c>
      <c r="C210" s="555">
        <f>C204+C205+C208</f>
        <v>13805.099</v>
      </c>
      <c r="D210" s="555">
        <f>D204+D205+D208</f>
        <v>13531.864199999998</v>
      </c>
      <c r="E210" s="556">
        <f t="shared" si="23"/>
        <v>-273.234800000002</v>
      </c>
    </row>
    <row r="211" spans="1:5" s="506" customFormat="1" x14ac:dyDescent="0.2">
      <c r="A211" s="512"/>
      <c r="B211" s="516" t="s">
        <v>712</v>
      </c>
      <c r="C211" s="555">
        <f>C210+C203</f>
        <v>18589.820599999999</v>
      </c>
      <c r="D211" s="555">
        <f>D210+D203</f>
        <v>18214.039199999999</v>
      </c>
      <c r="E211" s="556">
        <f t="shared" si="23"/>
        <v>-375.78139999999985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641</v>
      </c>
      <c r="C215" s="557">
        <f>IF(C14*C137=0,0,C25/C14*C137)</f>
        <v>10697.362966404909</v>
      </c>
      <c r="D215" s="557">
        <f>IF(D14*D137=0,0,D25/D14*D137)</f>
        <v>10394.877126521431</v>
      </c>
      <c r="E215" s="557">
        <f t="shared" ref="E215:E223" si="24">D215-C215</f>
        <v>-302.48583988347855</v>
      </c>
    </row>
    <row r="216" spans="1:5" s="506" customFormat="1" x14ac:dyDescent="0.2">
      <c r="A216" s="512">
        <v>2</v>
      </c>
      <c r="B216" s="511" t="s">
        <v>620</v>
      </c>
      <c r="C216" s="557">
        <f>IF(C15*C138=0,0,C26/C15*C138)</f>
        <v>4767.6468361492334</v>
      </c>
      <c r="D216" s="557">
        <f>IF(D15*D138=0,0,D26/D15*D138)</f>
        <v>5401.7971532148349</v>
      </c>
      <c r="E216" s="557">
        <f t="shared" si="24"/>
        <v>634.15031706560148</v>
      </c>
    </row>
    <row r="217" spans="1:5" s="506" customFormat="1" x14ac:dyDescent="0.2">
      <c r="A217" s="512">
        <v>3</v>
      </c>
      <c r="B217" s="511" t="s">
        <v>766</v>
      </c>
      <c r="C217" s="557">
        <f>C218+C219</f>
        <v>4056.3059279023059</v>
      </c>
      <c r="D217" s="557">
        <f>D218+D219</f>
        <v>4345.7425612218703</v>
      </c>
      <c r="E217" s="557">
        <f t="shared" si="24"/>
        <v>289.43663331956441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4002.5046044554538</v>
      </c>
      <c r="D218" s="557">
        <f t="shared" si="25"/>
        <v>4278.8319403855603</v>
      </c>
      <c r="E218" s="557">
        <f t="shared" si="24"/>
        <v>276.32733593010653</v>
      </c>
    </row>
    <row r="219" spans="1:5" s="506" customFormat="1" x14ac:dyDescent="0.2">
      <c r="A219" s="512">
        <v>5</v>
      </c>
      <c r="B219" s="511" t="s">
        <v>733</v>
      </c>
      <c r="C219" s="557">
        <f t="shared" si="25"/>
        <v>53.801323446851981</v>
      </c>
      <c r="D219" s="557">
        <f t="shared" si="25"/>
        <v>66.910620836309874</v>
      </c>
      <c r="E219" s="557">
        <f t="shared" si="24"/>
        <v>13.109297389457893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1674.7933704014588</v>
      </c>
      <c r="D220" s="557">
        <f t="shared" si="25"/>
        <v>1764.5796354054155</v>
      </c>
      <c r="E220" s="557">
        <f t="shared" si="24"/>
        <v>89.786265003956714</v>
      </c>
    </row>
    <row r="221" spans="1:5" s="506" customFormat="1" x14ac:dyDescent="0.2">
      <c r="A221" s="512">
        <v>7</v>
      </c>
      <c r="B221" s="511" t="s">
        <v>748</v>
      </c>
      <c r="C221" s="557">
        <f t="shared" si="25"/>
        <v>878.05988035322559</v>
      </c>
      <c r="D221" s="557">
        <f t="shared" si="25"/>
        <v>751.14850309775818</v>
      </c>
      <c r="E221" s="557">
        <f t="shared" si="24"/>
        <v>-126.91137725546741</v>
      </c>
    </row>
    <row r="222" spans="1:5" s="506" customFormat="1" x14ac:dyDescent="0.2">
      <c r="A222" s="512"/>
      <c r="B222" s="516" t="s">
        <v>815</v>
      </c>
      <c r="C222" s="558">
        <f>C216+C218+C219+C220</f>
        <v>10498.746134453</v>
      </c>
      <c r="D222" s="558">
        <f>D216+D218+D219+D220</f>
        <v>11512.11934984212</v>
      </c>
      <c r="E222" s="558">
        <f t="shared" si="24"/>
        <v>1013.3732153891197</v>
      </c>
    </row>
    <row r="223" spans="1:5" s="506" customFormat="1" x14ac:dyDescent="0.2">
      <c r="A223" s="512"/>
      <c r="B223" s="516" t="s">
        <v>816</v>
      </c>
      <c r="C223" s="558">
        <f>C215+C222</f>
        <v>21196.10910085791</v>
      </c>
      <c r="D223" s="558">
        <f>D215+D222</f>
        <v>21906.996476363551</v>
      </c>
      <c r="E223" s="558">
        <f t="shared" si="24"/>
        <v>710.8873755056411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641</v>
      </c>
      <c r="C227" s="560">
        <f t="shared" ref="C227:D235" si="26">IF(C203=0,0,C47/C203)</f>
        <v>10908.967827929633</v>
      </c>
      <c r="D227" s="560">
        <f t="shared" si="26"/>
        <v>11076.129790108229</v>
      </c>
      <c r="E227" s="560">
        <f t="shared" ref="E227:E235" si="27">D227-C227</f>
        <v>167.16196217859579</v>
      </c>
    </row>
    <row r="228" spans="1:5" s="506" customFormat="1" x14ac:dyDescent="0.2">
      <c r="A228" s="512">
        <v>2</v>
      </c>
      <c r="B228" s="511" t="s">
        <v>620</v>
      </c>
      <c r="C228" s="560">
        <f t="shared" si="26"/>
        <v>6975.6099012923942</v>
      </c>
      <c r="D228" s="560">
        <f t="shared" si="26"/>
        <v>7656.2162140128185</v>
      </c>
      <c r="E228" s="560">
        <f t="shared" si="27"/>
        <v>680.60631272042428</v>
      </c>
    </row>
    <row r="229" spans="1:5" s="506" customFormat="1" x14ac:dyDescent="0.2">
      <c r="A229" s="512">
        <v>3</v>
      </c>
      <c r="B229" s="511" t="s">
        <v>766</v>
      </c>
      <c r="C229" s="560">
        <f t="shared" si="26"/>
        <v>6020.2832673804342</v>
      </c>
      <c r="D229" s="560">
        <f t="shared" si="26"/>
        <v>5334.0272300646056</v>
      </c>
      <c r="E229" s="560">
        <f t="shared" si="27"/>
        <v>-686.25603731582851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6073.6798834828469</v>
      </c>
      <c r="D230" s="560">
        <f t="shared" si="26"/>
        <v>5338.5851392753857</v>
      </c>
      <c r="E230" s="560">
        <f t="shared" si="27"/>
        <v>-735.09474420746119</v>
      </c>
    </row>
    <row r="231" spans="1:5" s="506" customFormat="1" x14ac:dyDescent="0.2">
      <c r="A231" s="512">
        <v>5</v>
      </c>
      <c r="B231" s="511" t="s">
        <v>733</v>
      </c>
      <c r="C231" s="560">
        <f t="shared" si="26"/>
        <v>2688.813943183497</v>
      </c>
      <c r="D231" s="560">
        <f t="shared" si="26"/>
        <v>4866.7380115170972</v>
      </c>
      <c r="E231" s="560">
        <f t="shared" si="27"/>
        <v>2177.9240683336002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5957.8533530010227</v>
      </c>
      <c r="D232" s="560">
        <f t="shared" si="26"/>
        <v>6347.1189875307427</v>
      </c>
      <c r="E232" s="560">
        <f t="shared" si="27"/>
        <v>389.26563452972005</v>
      </c>
    </row>
    <row r="233" spans="1:5" s="506" customFormat="1" x14ac:dyDescent="0.2">
      <c r="A233" s="512">
        <v>7</v>
      </c>
      <c r="B233" s="511" t="s">
        <v>748</v>
      </c>
      <c r="C233" s="560">
        <f t="shared" si="26"/>
        <v>0</v>
      </c>
      <c r="D233" s="560">
        <f t="shared" si="26"/>
        <v>0</v>
      </c>
      <c r="E233" s="560">
        <f t="shared" si="27"/>
        <v>0</v>
      </c>
    </row>
    <row r="234" spans="1:5" x14ac:dyDescent="0.2">
      <c r="A234" s="512"/>
      <c r="B234" s="516" t="s">
        <v>818</v>
      </c>
      <c r="C234" s="561">
        <f t="shared" si="26"/>
        <v>6702.4976061381376</v>
      </c>
      <c r="D234" s="561">
        <f t="shared" si="26"/>
        <v>7049.3156441815318</v>
      </c>
      <c r="E234" s="561">
        <f t="shared" si="27"/>
        <v>346.81803804339415</v>
      </c>
    </row>
    <row r="235" spans="1:5" s="506" customFormat="1" x14ac:dyDescent="0.2">
      <c r="A235" s="512"/>
      <c r="B235" s="516" t="s">
        <v>819</v>
      </c>
      <c r="C235" s="561">
        <f t="shared" si="26"/>
        <v>7785.1755600051356</v>
      </c>
      <c r="D235" s="561">
        <f t="shared" si="26"/>
        <v>8084.4648670790175</v>
      </c>
      <c r="E235" s="561">
        <f t="shared" si="27"/>
        <v>299.2893070738819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820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641</v>
      </c>
      <c r="C239" s="560">
        <f t="shared" ref="C239:D247" si="28">IF(C215=0,0,C58/C215)</f>
        <v>9263.8190656163424</v>
      </c>
      <c r="D239" s="560">
        <f t="shared" si="28"/>
        <v>10115.82375819661</v>
      </c>
      <c r="E239" s="562">
        <f t="shared" ref="E239:E247" si="29">D239-C239</f>
        <v>852.00469258026715</v>
      </c>
    </row>
    <row r="240" spans="1:5" s="506" customFormat="1" x14ac:dyDescent="0.2">
      <c r="A240" s="512">
        <v>2</v>
      </c>
      <c r="B240" s="511" t="s">
        <v>620</v>
      </c>
      <c r="C240" s="560">
        <f t="shared" si="28"/>
        <v>6465.6888522594218</v>
      </c>
      <c r="D240" s="560">
        <f t="shared" si="28"/>
        <v>6190.034362934206</v>
      </c>
      <c r="E240" s="562">
        <f t="shared" si="29"/>
        <v>-275.65448932521576</v>
      </c>
    </row>
    <row r="241" spans="1:5" x14ac:dyDescent="0.2">
      <c r="A241" s="512">
        <v>3</v>
      </c>
      <c r="B241" s="511" t="s">
        <v>766</v>
      </c>
      <c r="C241" s="560">
        <f t="shared" si="28"/>
        <v>4926.5889593131542</v>
      </c>
      <c r="D241" s="560">
        <f t="shared" si="28"/>
        <v>4408.50849540737</v>
      </c>
      <c r="E241" s="562">
        <f t="shared" si="29"/>
        <v>-518.0804639057842</v>
      </c>
    </row>
    <row r="242" spans="1:5" x14ac:dyDescent="0.2">
      <c r="A242" s="512">
        <v>4</v>
      </c>
      <c r="B242" s="511" t="s">
        <v>114</v>
      </c>
      <c r="C242" s="560">
        <f t="shared" si="28"/>
        <v>4879.1931377820229</v>
      </c>
      <c r="D242" s="560">
        <f t="shared" si="28"/>
        <v>4414.7218827897823</v>
      </c>
      <c r="E242" s="562">
        <f t="shared" si="29"/>
        <v>-464.47125499224057</v>
      </c>
    </row>
    <row r="243" spans="1:5" x14ac:dyDescent="0.2">
      <c r="A243" s="512">
        <v>5</v>
      </c>
      <c r="B243" s="511" t="s">
        <v>733</v>
      </c>
      <c r="C243" s="560">
        <f t="shared" si="28"/>
        <v>8452.5615889214496</v>
      </c>
      <c r="D243" s="560">
        <f t="shared" si="28"/>
        <v>4011.1718684629936</v>
      </c>
      <c r="E243" s="562">
        <f t="shared" si="29"/>
        <v>-4441.3897204584555</v>
      </c>
    </row>
    <row r="244" spans="1:5" x14ac:dyDescent="0.2">
      <c r="A244" s="512">
        <v>6</v>
      </c>
      <c r="B244" s="511" t="s">
        <v>430</v>
      </c>
      <c r="C244" s="560">
        <f t="shared" si="28"/>
        <v>5008.1485562540975</v>
      </c>
      <c r="D244" s="560">
        <f t="shared" si="28"/>
        <v>3990.6076544865859</v>
      </c>
      <c r="E244" s="562">
        <f t="shared" si="29"/>
        <v>-1017.5409017675115</v>
      </c>
    </row>
    <row r="245" spans="1:5" x14ac:dyDescent="0.2">
      <c r="A245" s="512">
        <v>7</v>
      </c>
      <c r="B245" s="511" t="s">
        <v>748</v>
      </c>
      <c r="C245" s="560">
        <f t="shared" si="28"/>
        <v>0</v>
      </c>
      <c r="D245" s="560">
        <f t="shared" si="28"/>
        <v>0</v>
      </c>
      <c r="E245" s="562">
        <f t="shared" si="29"/>
        <v>0</v>
      </c>
    </row>
    <row r="246" spans="1:5" ht="25.5" x14ac:dyDescent="0.2">
      <c r="A246" s="512"/>
      <c r="B246" s="516" t="s">
        <v>821</v>
      </c>
      <c r="C246" s="561">
        <f t="shared" si="28"/>
        <v>5638.5292340516507</v>
      </c>
      <c r="D246" s="561">
        <f t="shared" si="28"/>
        <v>5180.3926095343932</v>
      </c>
      <c r="E246" s="563">
        <f t="shared" si="29"/>
        <v>-458.13662451725759</v>
      </c>
    </row>
    <row r="247" spans="1:5" x14ac:dyDescent="0.2">
      <c r="A247" s="512"/>
      <c r="B247" s="516" t="s">
        <v>822</v>
      </c>
      <c r="C247" s="561">
        <f t="shared" si="28"/>
        <v>7468.1594271277363</v>
      </c>
      <c r="D247" s="561">
        <f t="shared" si="28"/>
        <v>7522.2563338520376</v>
      </c>
      <c r="E247" s="563">
        <f t="shared" si="29"/>
        <v>54.096906724301334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750</v>
      </c>
      <c r="B249" s="550" t="s">
        <v>747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6349956.4021446342</v>
      </c>
      <c r="D251" s="546">
        <f>((IF((IF(D15=0,0,D26/D15)*D138)=0,0,D59/(IF(D15=0,0,D26/D15)*D138)))-(IF((IF(D17=0,0,D28/D17)*D140)=0,0,D61/(IF(D17=0,0,D28/D17)*D140))))*(IF(D17=0,0,D28/D17)*D140)</f>
        <v>7596263.7442070665</v>
      </c>
      <c r="E251" s="546">
        <f>D251-C251</f>
        <v>1246307.3420624323</v>
      </c>
    </row>
    <row r="252" spans="1:5" x14ac:dyDescent="0.2">
      <c r="A252" s="512">
        <v>2</v>
      </c>
      <c r="B252" s="511" t="s">
        <v>733</v>
      </c>
      <c r="C252" s="546">
        <f>IF(C231=0,0,(C228-C231)*C207)+IF(C243=0,0,(C240-C243)*C219)</f>
        <v>102069.48773947379</v>
      </c>
      <c r="D252" s="546">
        <f>IF(D231=0,0,(D228-D231)*D207)+IF(D243=0,0,(D240-D243)*D219)</f>
        <v>227895.93837337993</v>
      </c>
      <c r="E252" s="546">
        <f>D252-C252</f>
        <v>125826.45063390615</v>
      </c>
    </row>
    <row r="253" spans="1:5" x14ac:dyDescent="0.2">
      <c r="A253" s="512">
        <v>3</v>
      </c>
      <c r="B253" s="511" t="s">
        <v>748</v>
      </c>
      <c r="C253" s="546">
        <f>IF(C233=0,0,(C228-C233)*C209+IF(C221=0,0,(C240-C245)*C221))</f>
        <v>0</v>
      </c>
      <c r="D253" s="546">
        <f>IF(D233=0,0,(D228-D233)*D209+IF(D221=0,0,(D240-D245)*D221))</f>
        <v>0</v>
      </c>
      <c r="E253" s="546">
        <f>D253-C253</f>
        <v>0</v>
      </c>
    </row>
    <row r="254" spans="1:5" ht="15" customHeight="1" x14ac:dyDescent="0.2">
      <c r="A254" s="512"/>
      <c r="B254" s="516" t="s">
        <v>749</v>
      </c>
      <c r="C254" s="564">
        <f>+C251+C252+C253</f>
        <v>6452025.8898841077</v>
      </c>
      <c r="D254" s="564">
        <f>+D251+D252+D253</f>
        <v>7824159.6825804468</v>
      </c>
      <c r="E254" s="564">
        <f>D254-C254</f>
        <v>1372133.7926963391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823</v>
      </c>
      <c r="B256" s="550" t="s">
        <v>824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715</v>
      </c>
      <c r="C258" s="546">
        <f>+C44</f>
        <v>661160920</v>
      </c>
      <c r="D258" s="549">
        <f>+D44</f>
        <v>691987197</v>
      </c>
      <c r="E258" s="546">
        <f t="shared" ref="E258:E271" si="30">D258-C258</f>
        <v>30826277</v>
      </c>
    </row>
    <row r="259" spans="1:5" x14ac:dyDescent="0.2">
      <c r="A259" s="512">
        <v>2</v>
      </c>
      <c r="B259" s="511" t="s">
        <v>732</v>
      </c>
      <c r="C259" s="546">
        <f>+(C43-C76)</f>
        <v>257198613</v>
      </c>
      <c r="D259" s="549">
        <f>+(D43-D76)</f>
        <v>278600635</v>
      </c>
      <c r="E259" s="546">
        <f t="shared" si="30"/>
        <v>21402022</v>
      </c>
    </row>
    <row r="260" spans="1:5" x14ac:dyDescent="0.2">
      <c r="A260" s="512">
        <v>3</v>
      </c>
      <c r="B260" s="511" t="s">
        <v>736</v>
      </c>
      <c r="C260" s="546">
        <f>C195</f>
        <v>17013554</v>
      </c>
      <c r="D260" s="546">
        <f>D195</f>
        <v>14759236</v>
      </c>
      <c r="E260" s="546">
        <f t="shared" si="30"/>
        <v>-2254318</v>
      </c>
    </row>
    <row r="261" spans="1:5" x14ac:dyDescent="0.2">
      <c r="A261" s="512">
        <v>4</v>
      </c>
      <c r="B261" s="511" t="s">
        <v>737</v>
      </c>
      <c r="C261" s="546">
        <f>C188</f>
        <v>88924595</v>
      </c>
      <c r="D261" s="546">
        <f>D188</f>
        <v>79022077</v>
      </c>
      <c r="E261" s="546">
        <f t="shared" si="30"/>
        <v>-9902518</v>
      </c>
    </row>
    <row r="262" spans="1:5" x14ac:dyDescent="0.2">
      <c r="A262" s="512">
        <v>5</v>
      </c>
      <c r="B262" s="511" t="s">
        <v>738</v>
      </c>
      <c r="C262" s="546">
        <f>C191</f>
        <v>7910671</v>
      </c>
      <c r="D262" s="546">
        <f>D191</f>
        <v>7564445</v>
      </c>
      <c r="E262" s="546">
        <f t="shared" si="30"/>
        <v>-346226</v>
      </c>
    </row>
    <row r="263" spans="1:5" x14ac:dyDescent="0.2">
      <c r="A263" s="512">
        <v>6</v>
      </c>
      <c r="B263" s="511" t="s">
        <v>739</v>
      </c>
      <c r="C263" s="546">
        <f>+C259+C260+C261+C262</f>
        <v>371047433</v>
      </c>
      <c r="D263" s="546">
        <f>+D259+D260+D261+D262</f>
        <v>379946393</v>
      </c>
      <c r="E263" s="546">
        <f t="shared" si="30"/>
        <v>8898960</v>
      </c>
    </row>
    <row r="264" spans="1:5" x14ac:dyDescent="0.2">
      <c r="A264" s="512">
        <v>7</v>
      </c>
      <c r="B264" s="511" t="s">
        <v>639</v>
      </c>
      <c r="C264" s="546">
        <f>+C258-C263</f>
        <v>290113487</v>
      </c>
      <c r="D264" s="546">
        <f>+D258-D263</f>
        <v>312040804</v>
      </c>
      <c r="E264" s="546">
        <f t="shared" si="30"/>
        <v>21927317</v>
      </c>
    </row>
    <row r="265" spans="1:5" x14ac:dyDescent="0.2">
      <c r="A265" s="512">
        <v>8</v>
      </c>
      <c r="B265" s="511" t="s">
        <v>825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826</v>
      </c>
      <c r="C266" s="546">
        <f>+C264+C265</f>
        <v>290113487</v>
      </c>
      <c r="D266" s="546">
        <f>+D264+D265</f>
        <v>312040804</v>
      </c>
      <c r="E266" s="565">
        <f t="shared" si="30"/>
        <v>21927317</v>
      </c>
    </row>
    <row r="267" spans="1:5" x14ac:dyDescent="0.2">
      <c r="A267" s="512">
        <v>10</v>
      </c>
      <c r="B267" s="511" t="s">
        <v>827</v>
      </c>
      <c r="C267" s="566">
        <f>IF(C258=0,0,C266/C258)</f>
        <v>0.43879406393227233</v>
      </c>
      <c r="D267" s="566">
        <f>IF(D258=0,0,D266/D258)</f>
        <v>0.45093436027834488</v>
      </c>
      <c r="E267" s="567">
        <f t="shared" si="30"/>
        <v>1.2140296346072554E-2</v>
      </c>
    </row>
    <row r="268" spans="1:5" x14ac:dyDescent="0.2">
      <c r="A268" s="512">
        <v>11</v>
      </c>
      <c r="B268" s="511" t="s">
        <v>701</v>
      </c>
      <c r="C268" s="546">
        <f>+C260*C267</f>
        <v>7465446.5015911674</v>
      </c>
      <c r="D268" s="568">
        <f>+D260*D267</f>
        <v>6655446.6438571177</v>
      </c>
      <c r="E268" s="546">
        <f t="shared" si="30"/>
        <v>-809999.85773404967</v>
      </c>
    </row>
    <row r="269" spans="1:5" x14ac:dyDescent="0.2">
      <c r="A269" s="512">
        <v>12</v>
      </c>
      <c r="B269" s="511" t="s">
        <v>828</v>
      </c>
      <c r="C269" s="546">
        <f>((C17+C18+C28+C29)*C267)-(C50+C51+C61+C62)</f>
        <v>9724206.1189244613</v>
      </c>
      <c r="D269" s="568">
        <f>((D17+D18+D28+D29)*D267)-(D50+D51+D61+D62)</f>
        <v>17366477.063929789</v>
      </c>
      <c r="E269" s="546">
        <f t="shared" si="30"/>
        <v>7642270.9450053275</v>
      </c>
    </row>
    <row r="270" spans="1:5" s="569" customFormat="1" x14ac:dyDescent="0.2">
      <c r="A270" s="570">
        <v>13</v>
      </c>
      <c r="B270" s="571" t="s">
        <v>829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830</v>
      </c>
      <c r="C271" s="546">
        <f>+C268+C269+C270</f>
        <v>17189652.62051563</v>
      </c>
      <c r="D271" s="546">
        <f>+D268+D269+D270</f>
        <v>24021923.707786907</v>
      </c>
      <c r="E271" s="549">
        <f t="shared" si="30"/>
        <v>6832271.0872712769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831</v>
      </c>
      <c r="B273" s="550" t="s">
        <v>832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833</v>
      </c>
      <c r="C275" s="340"/>
      <c r="D275" s="340"/>
      <c r="E275" s="520"/>
    </row>
    <row r="276" spans="1:5" x14ac:dyDescent="0.2">
      <c r="A276" s="512">
        <v>1</v>
      </c>
      <c r="B276" s="511" t="s">
        <v>641</v>
      </c>
      <c r="C276" s="547">
        <f t="shared" ref="C276:D284" si="31">IF(C14=0,0,+C47/C14)</f>
        <v>0.72269728254559973</v>
      </c>
      <c r="D276" s="547">
        <f t="shared" si="31"/>
        <v>0.71277016297124973</v>
      </c>
      <c r="E276" s="574">
        <f t="shared" ref="E276:E284" si="32">D276-C276</f>
        <v>-9.9271195743499963E-3</v>
      </c>
    </row>
    <row r="277" spans="1:5" x14ac:dyDescent="0.2">
      <c r="A277" s="512">
        <v>2</v>
      </c>
      <c r="B277" s="511" t="s">
        <v>620</v>
      </c>
      <c r="C277" s="547">
        <f t="shared" si="31"/>
        <v>0.44363049137424565</v>
      </c>
      <c r="D277" s="547">
        <f t="shared" si="31"/>
        <v>0.46990651473037465</v>
      </c>
      <c r="E277" s="574">
        <f t="shared" si="32"/>
        <v>2.6276023356128997E-2</v>
      </c>
    </row>
    <row r="278" spans="1:5" x14ac:dyDescent="0.2">
      <c r="A278" s="512">
        <v>3</v>
      </c>
      <c r="B278" s="511" t="s">
        <v>766</v>
      </c>
      <c r="C278" s="547">
        <f t="shared" si="31"/>
        <v>0.37979077474053141</v>
      </c>
      <c r="D278" s="547">
        <f t="shared" si="31"/>
        <v>0.33613440442587034</v>
      </c>
      <c r="E278" s="574">
        <f t="shared" si="32"/>
        <v>-4.3656370314661075E-2</v>
      </c>
    </row>
    <row r="279" spans="1:5" x14ac:dyDescent="0.2">
      <c r="A279" s="512">
        <v>4</v>
      </c>
      <c r="B279" s="511" t="s">
        <v>114</v>
      </c>
      <c r="C279" s="547">
        <f t="shared" si="31"/>
        <v>0.384797101990284</v>
      </c>
      <c r="D279" s="547">
        <f t="shared" si="31"/>
        <v>0.33652321698106963</v>
      </c>
      <c r="E279" s="574">
        <f t="shared" si="32"/>
        <v>-4.8273885009214368E-2</v>
      </c>
    </row>
    <row r="280" spans="1:5" x14ac:dyDescent="0.2">
      <c r="A280" s="512">
        <v>5</v>
      </c>
      <c r="B280" s="511" t="s">
        <v>733</v>
      </c>
      <c r="C280" s="547">
        <f t="shared" si="31"/>
        <v>0.13403197256163968</v>
      </c>
      <c r="D280" s="547">
        <f t="shared" si="31"/>
        <v>0.29748060405695015</v>
      </c>
      <c r="E280" s="574">
        <f t="shared" si="32"/>
        <v>0.16344863149531047</v>
      </c>
    </row>
    <row r="281" spans="1:5" x14ac:dyDescent="0.2">
      <c r="A281" s="512">
        <v>6</v>
      </c>
      <c r="B281" s="511" t="s">
        <v>430</v>
      </c>
      <c r="C281" s="547">
        <f t="shared" si="31"/>
        <v>0.39151762179886934</v>
      </c>
      <c r="D281" s="547">
        <f t="shared" si="31"/>
        <v>0.4322117536430985</v>
      </c>
      <c r="E281" s="574">
        <f t="shared" si="32"/>
        <v>4.0694131844229153E-2</v>
      </c>
    </row>
    <row r="282" spans="1:5" x14ac:dyDescent="0.2">
      <c r="A282" s="512">
        <v>7</v>
      </c>
      <c r="B282" s="511" t="s">
        <v>748</v>
      </c>
      <c r="C282" s="547">
        <f t="shared" si="31"/>
        <v>0</v>
      </c>
      <c r="D282" s="547">
        <f t="shared" si="31"/>
        <v>0</v>
      </c>
      <c r="E282" s="574">
        <f t="shared" si="32"/>
        <v>0</v>
      </c>
    </row>
    <row r="283" spans="1:5" ht="29.25" customHeight="1" x14ac:dyDescent="0.2">
      <c r="A283" s="512"/>
      <c r="B283" s="516" t="s">
        <v>834</v>
      </c>
      <c r="C283" s="575">
        <f t="shared" si="31"/>
        <v>0.42628646381217816</v>
      </c>
      <c r="D283" s="575">
        <f t="shared" si="31"/>
        <v>0.43799912369302851</v>
      </c>
      <c r="E283" s="576">
        <f t="shared" si="32"/>
        <v>1.1712659880850351E-2</v>
      </c>
    </row>
    <row r="284" spans="1:5" x14ac:dyDescent="0.2">
      <c r="A284" s="512"/>
      <c r="B284" s="516" t="s">
        <v>835</v>
      </c>
      <c r="C284" s="575">
        <f t="shared" si="31"/>
        <v>0.50029074070198576</v>
      </c>
      <c r="D284" s="575">
        <f t="shared" si="31"/>
        <v>0.50680773854285455</v>
      </c>
      <c r="E284" s="576">
        <f t="shared" si="32"/>
        <v>6.5169978408687879E-3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836</v>
      </c>
      <c r="C286" s="520"/>
      <c r="D286" s="520"/>
      <c r="E286" s="520"/>
    </row>
    <row r="287" spans="1:5" x14ac:dyDescent="0.2">
      <c r="A287" s="512">
        <v>1</v>
      </c>
      <c r="B287" s="511" t="s">
        <v>641</v>
      </c>
      <c r="C287" s="547">
        <f t="shared" ref="C287:D295" si="33">IF(C25=0,0,+C58/C25)</f>
        <v>0.55051082711908272</v>
      </c>
      <c r="D287" s="547">
        <f t="shared" si="33"/>
        <v>0.56655581446064307</v>
      </c>
      <c r="E287" s="574">
        <f t="shared" ref="E287:E295" si="34">D287-C287</f>
        <v>1.6044987341560346E-2</v>
      </c>
    </row>
    <row r="288" spans="1:5" x14ac:dyDescent="0.2">
      <c r="A288" s="512">
        <v>2</v>
      </c>
      <c r="B288" s="511" t="s">
        <v>620</v>
      </c>
      <c r="C288" s="547">
        <f t="shared" si="33"/>
        <v>0.28615229664257863</v>
      </c>
      <c r="D288" s="547">
        <f t="shared" si="33"/>
        <v>0.26979009215097555</v>
      </c>
      <c r="E288" s="574">
        <f t="shared" si="34"/>
        <v>-1.6362204491603083E-2</v>
      </c>
    </row>
    <row r="289" spans="1:5" x14ac:dyDescent="0.2">
      <c r="A289" s="512">
        <v>3</v>
      </c>
      <c r="B289" s="511" t="s">
        <v>766</v>
      </c>
      <c r="C289" s="547">
        <f t="shared" si="33"/>
        <v>0.32697485017775385</v>
      </c>
      <c r="D289" s="547">
        <f t="shared" si="33"/>
        <v>0.27891800172447112</v>
      </c>
      <c r="E289" s="574">
        <f t="shared" si="34"/>
        <v>-4.805684845328273E-2</v>
      </c>
    </row>
    <row r="290" spans="1:5" x14ac:dyDescent="0.2">
      <c r="A290" s="512">
        <v>4</v>
      </c>
      <c r="B290" s="511" t="s">
        <v>114</v>
      </c>
      <c r="C290" s="547">
        <f t="shared" si="33"/>
        <v>0.32443384620557625</v>
      </c>
      <c r="D290" s="547">
        <f t="shared" si="33"/>
        <v>0.27923594655816991</v>
      </c>
      <c r="E290" s="574">
        <f t="shared" si="34"/>
        <v>-4.5197899647406337E-2</v>
      </c>
    </row>
    <row r="291" spans="1:5" x14ac:dyDescent="0.2">
      <c r="A291" s="512">
        <v>5</v>
      </c>
      <c r="B291" s="511" t="s">
        <v>733</v>
      </c>
      <c r="C291" s="547">
        <f t="shared" si="33"/>
        <v>0.49268383053961762</v>
      </c>
      <c r="D291" s="547">
        <f t="shared" si="33"/>
        <v>0.25822422856966926</v>
      </c>
      <c r="E291" s="574">
        <f t="shared" si="34"/>
        <v>-0.23445960196994836</v>
      </c>
    </row>
    <row r="292" spans="1:5" x14ac:dyDescent="0.2">
      <c r="A292" s="512">
        <v>6</v>
      </c>
      <c r="B292" s="511" t="s">
        <v>430</v>
      </c>
      <c r="C292" s="547">
        <f t="shared" si="33"/>
        <v>0.36429953871075721</v>
      </c>
      <c r="D292" s="547">
        <f t="shared" si="33"/>
        <v>0.30331886880966635</v>
      </c>
      <c r="E292" s="574">
        <f t="shared" si="34"/>
        <v>-6.0980669901090856E-2</v>
      </c>
    </row>
    <row r="293" spans="1:5" x14ac:dyDescent="0.2">
      <c r="A293" s="512">
        <v>7</v>
      </c>
      <c r="B293" s="511" t="s">
        <v>748</v>
      </c>
      <c r="C293" s="547">
        <f t="shared" si="33"/>
        <v>0</v>
      </c>
      <c r="D293" s="547">
        <f t="shared" si="33"/>
        <v>0</v>
      </c>
      <c r="E293" s="574">
        <f t="shared" si="34"/>
        <v>0</v>
      </c>
    </row>
    <row r="294" spans="1:5" ht="29.25" customHeight="1" x14ac:dyDescent="0.2">
      <c r="A294" s="512"/>
      <c r="B294" s="516" t="s">
        <v>837</v>
      </c>
      <c r="C294" s="575">
        <f t="shared" si="33"/>
        <v>0.30853346069634913</v>
      </c>
      <c r="D294" s="575">
        <f t="shared" si="33"/>
        <v>0.27630119842642581</v>
      </c>
      <c r="E294" s="576">
        <f t="shared" si="34"/>
        <v>-3.2232262269923317E-2</v>
      </c>
    </row>
    <row r="295" spans="1:5" x14ac:dyDescent="0.2">
      <c r="A295" s="512"/>
      <c r="B295" s="516" t="s">
        <v>838</v>
      </c>
      <c r="C295" s="575">
        <f t="shared" si="33"/>
        <v>0.42566501546155733</v>
      </c>
      <c r="D295" s="575">
        <f t="shared" si="33"/>
        <v>0.41049568720076374</v>
      </c>
      <c r="E295" s="576">
        <f t="shared" si="34"/>
        <v>-1.5169328260793591E-2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839</v>
      </c>
      <c r="B297" s="501" t="s">
        <v>840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639</v>
      </c>
      <c r="C301" s="514">
        <f>+C48+C47+C50+C51+C52+C59+C58+C61+C62+C63</f>
        <v>303020939</v>
      </c>
      <c r="D301" s="514">
        <f>+D48+D47+D50+D51+D52+D59+D58+D61+D62+D63</f>
        <v>312040803</v>
      </c>
      <c r="E301" s="514">
        <f>D301-C301</f>
        <v>9019864</v>
      </c>
    </row>
    <row r="302" spans="1:5" ht="25.5" x14ac:dyDescent="0.2">
      <c r="A302" s="512">
        <v>2</v>
      </c>
      <c r="B302" s="511" t="s">
        <v>842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843</v>
      </c>
      <c r="C303" s="517">
        <f>+C301+C302</f>
        <v>303020939</v>
      </c>
      <c r="D303" s="517">
        <f>+D301+D302</f>
        <v>312040803</v>
      </c>
      <c r="E303" s="517">
        <f>D303-C303</f>
        <v>9019864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844</v>
      </c>
      <c r="C305" s="513">
        <v>15792142</v>
      </c>
      <c r="D305" s="578">
        <v>11602393</v>
      </c>
      <c r="E305" s="579">
        <f>D305-C305</f>
        <v>-4189749</v>
      </c>
    </row>
    <row r="306" spans="1:5" x14ac:dyDescent="0.2">
      <c r="A306" s="512">
        <v>4</v>
      </c>
      <c r="B306" s="516" t="s">
        <v>845</v>
      </c>
      <c r="C306" s="580">
        <f>+C303+C305</f>
        <v>318813081</v>
      </c>
      <c r="D306" s="580">
        <f>+D303+D305</f>
        <v>323643196</v>
      </c>
      <c r="E306" s="580">
        <f>D306-C306</f>
        <v>4830115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846</v>
      </c>
      <c r="C308" s="513">
        <v>318813210</v>
      </c>
      <c r="D308" s="513">
        <v>323643197</v>
      </c>
      <c r="E308" s="514">
        <f>D308-C308</f>
        <v>4829987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847</v>
      </c>
      <c r="C310" s="581">
        <f>C306-C308</f>
        <v>-129</v>
      </c>
      <c r="D310" s="582">
        <f>D306-D308</f>
        <v>-1</v>
      </c>
      <c r="E310" s="580">
        <f>D310-C310</f>
        <v>128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849</v>
      </c>
      <c r="C314" s="514">
        <f>+C14+C15+C16+C19+C25+C26+C27+C30</f>
        <v>661160920</v>
      </c>
      <c r="D314" s="514">
        <f>+D14+D15+D16+D19+D25+D26+D27+D30</f>
        <v>691987197</v>
      </c>
      <c r="E314" s="514">
        <f>D314-C314</f>
        <v>30826277</v>
      </c>
    </row>
    <row r="315" spans="1:5" x14ac:dyDescent="0.2">
      <c r="A315" s="512">
        <v>2</v>
      </c>
      <c r="B315" s="583" t="s">
        <v>850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851</v>
      </c>
      <c r="C316" s="581">
        <f>C314+C315</f>
        <v>661160920</v>
      </c>
      <c r="D316" s="581">
        <f>D314+D315</f>
        <v>691987197</v>
      </c>
      <c r="E316" s="517">
        <f>D316-C316</f>
        <v>30826277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852</v>
      </c>
      <c r="C318" s="513">
        <v>661160918</v>
      </c>
      <c r="D318" s="513">
        <v>691987197</v>
      </c>
      <c r="E318" s="514">
        <f>D318-C318</f>
        <v>30826279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847</v>
      </c>
      <c r="C320" s="581">
        <f>C316-C318</f>
        <v>2</v>
      </c>
      <c r="D320" s="581">
        <f>D316-D318</f>
        <v>0</v>
      </c>
      <c r="E320" s="517">
        <f>D320-C320</f>
        <v>-2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854</v>
      </c>
      <c r="C324" s="513">
        <f>+C193+C194</f>
        <v>17013554</v>
      </c>
      <c r="D324" s="513">
        <f>+D193+D194</f>
        <v>14759236</v>
      </c>
      <c r="E324" s="514">
        <f>D324-C324</f>
        <v>-2254318</v>
      </c>
    </row>
    <row r="325" spans="1:5" x14ac:dyDescent="0.2">
      <c r="A325" s="512">
        <v>2</v>
      </c>
      <c r="B325" s="511" t="s">
        <v>855</v>
      </c>
      <c r="C325" s="513">
        <v>3220157</v>
      </c>
      <c r="D325" s="513">
        <v>2907353</v>
      </c>
      <c r="E325" s="514">
        <f>D325-C325</f>
        <v>-312804</v>
      </c>
    </row>
    <row r="326" spans="1:5" x14ac:dyDescent="0.2">
      <c r="A326" s="512"/>
      <c r="B326" s="516" t="s">
        <v>856</v>
      </c>
      <c r="C326" s="581">
        <f>C324+C325</f>
        <v>20233711</v>
      </c>
      <c r="D326" s="581">
        <f>D324+D325</f>
        <v>17666589</v>
      </c>
      <c r="E326" s="517">
        <f>D326-C326</f>
        <v>-2567122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857</v>
      </c>
      <c r="C328" s="513">
        <v>20233711</v>
      </c>
      <c r="D328" s="513">
        <v>17666590</v>
      </c>
      <c r="E328" s="514">
        <f>D328-C328</f>
        <v>-2567121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858</v>
      </c>
      <c r="C330" s="581">
        <f>C326-C328</f>
        <v>0</v>
      </c>
      <c r="D330" s="581">
        <f>D326-D328</f>
        <v>-1</v>
      </c>
      <c r="E330" s="517">
        <f>D330-C330</f>
        <v>-1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FILING&amp;RLAWRENCE AND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859</v>
      </c>
      <c r="B5" s="696"/>
      <c r="C5" s="697"/>
      <c r="D5" s="585"/>
    </row>
    <row r="6" spans="1:58" s="338" customFormat="1" ht="15.75" customHeight="1" x14ac:dyDescent="0.25">
      <c r="A6" s="695" t="s">
        <v>860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641</v>
      </c>
      <c r="C14" s="513">
        <v>72758907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620</v>
      </c>
      <c r="C15" s="515">
        <v>156683829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766</v>
      </c>
      <c r="C16" s="515">
        <v>48354241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47872697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733</v>
      </c>
      <c r="C18" s="515">
        <v>481544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12748626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748</v>
      </c>
      <c r="C20" s="515">
        <v>935031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767</v>
      </c>
      <c r="C21" s="517">
        <f>SUM(C15+C16+C19)</f>
        <v>217786696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707</v>
      </c>
      <c r="C22" s="517">
        <f>SUM(C14+C21)</f>
        <v>290545603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641</v>
      </c>
      <c r="C25" s="513">
        <v>185599975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620</v>
      </c>
      <c r="C26" s="515">
        <v>123938243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766</v>
      </c>
      <c r="C27" s="515">
        <v>68687725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67648357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733</v>
      </c>
      <c r="C29" s="515">
        <v>1039368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23215651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748</v>
      </c>
      <c r="C31" s="518">
        <v>10178944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769</v>
      </c>
      <c r="C32" s="517">
        <f>SUM(C26+C27+C30)</f>
        <v>215841619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713</v>
      </c>
      <c r="C33" s="517">
        <f>SUM(C25+C32)</f>
        <v>401441594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863</v>
      </c>
      <c r="C36" s="514">
        <f>SUM(C14+C25)</f>
        <v>258358882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864</v>
      </c>
      <c r="C37" s="518">
        <f>SUM(C21+C32)</f>
        <v>433628315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638</v>
      </c>
      <c r="C38" s="517">
        <f>SUM(+C36+C37)</f>
        <v>691987197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641</v>
      </c>
      <c r="C41" s="513">
        <v>51860378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620</v>
      </c>
      <c r="C42" s="515">
        <v>73626752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766</v>
      </c>
      <c r="C43" s="515">
        <v>16253524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16110274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733</v>
      </c>
      <c r="C45" s="515">
        <v>143250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5510106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748</v>
      </c>
      <c r="C47" s="515">
        <v>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779</v>
      </c>
      <c r="C48" s="517">
        <f>SUM(C42+C43+C46)</f>
        <v>95390382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708</v>
      </c>
      <c r="C49" s="517">
        <f>SUM(C41+C48)</f>
        <v>147250760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780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641</v>
      </c>
      <c r="C52" s="513">
        <v>105152745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620</v>
      </c>
      <c r="C53" s="515">
        <v>33437310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766</v>
      </c>
      <c r="C54" s="515">
        <v>19158243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18889853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733</v>
      </c>
      <c r="C56" s="515">
        <v>268390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7041745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748</v>
      </c>
      <c r="C58" s="515">
        <v>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781</v>
      </c>
      <c r="C59" s="517">
        <f>SUM(C53+C54+C57)</f>
        <v>59637298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714</v>
      </c>
      <c r="C60" s="517">
        <f>SUM(C52+C59)</f>
        <v>164790043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865</v>
      </c>
      <c r="C63" s="514">
        <f>SUM(C41+C52)</f>
        <v>157013123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866</v>
      </c>
      <c r="C64" s="518">
        <f>SUM(C48+C59)</f>
        <v>155027680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639</v>
      </c>
      <c r="C65" s="517">
        <f>SUM(+C63+C64)</f>
        <v>312040803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641</v>
      </c>
      <c r="C70" s="530">
        <v>4075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620</v>
      </c>
      <c r="C71" s="530">
        <v>6829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766</v>
      </c>
      <c r="C72" s="530">
        <v>3059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3028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733</v>
      </c>
      <c r="C74" s="530">
        <v>31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969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748</v>
      </c>
      <c r="C76" s="545">
        <v>69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796</v>
      </c>
      <c r="C77" s="532">
        <f>SUM(C71+C72+C75)</f>
        <v>10857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710</v>
      </c>
      <c r="C78" s="596">
        <f>SUM(C70+C77)</f>
        <v>14932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641</v>
      </c>
      <c r="C81" s="541">
        <v>1.149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620</v>
      </c>
      <c r="C82" s="541">
        <v>1.4081999999999999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766</v>
      </c>
      <c r="C83" s="541">
        <f>((C73*C84)+(C74*C85))/(C73+C74)</f>
        <v>0.99612268715266417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0.99660000000000004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733</v>
      </c>
      <c r="C85" s="541">
        <v>0.94950000000000001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0.89590000000000003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748</v>
      </c>
      <c r="C87" s="541">
        <v>1.1487000000000001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802</v>
      </c>
      <c r="C88" s="543">
        <f>((C71*C82)+(C73*C84)+(C74*C85)+(C75*C86))/(C71+C73+C74+C75)</f>
        <v>1.2463723127935893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711</v>
      </c>
      <c r="C89" s="543">
        <f>((C70*C81)+(C71*C82)+(C73*C84)+(C74*C85)+(C75*C86))/(C70+C71+C73+C74+C75)</f>
        <v>1.2197990356281809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804</v>
      </c>
      <c r="C92" s="513">
        <v>232465068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805</v>
      </c>
      <c r="C93" s="546">
        <v>153442991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737</v>
      </c>
      <c r="C95" s="513">
        <f>+C92-C93</f>
        <v>79022077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655</v>
      </c>
      <c r="C96" s="597">
        <f>(+C92-C93)/C92</f>
        <v>0.33993097405929396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752</v>
      </c>
      <c r="C98" s="513">
        <v>14779838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738</v>
      </c>
      <c r="C99" s="513">
        <v>7564445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869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807</v>
      </c>
      <c r="C103" s="513">
        <v>2828618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808</v>
      </c>
      <c r="C104" s="513">
        <v>11930618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809</v>
      </c>
      <c r="C105" s="578">
        <f>+C103+C104</f>
        <v>14759236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810</v>
      </c>
      <c r="C107" s="513">
        <v>15433709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695</v>
      </c>
      <c r="C108" s="513">
        <v>318194716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840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639</v>
      </c>
      <c r="C114" s="514">
        <f>+C65</f>
        <v>312040803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842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843</v>
      </c>
      <c r="C116" s="517">
        <f>+C114+C115</f>
        <v>312040803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844</v>
      </c>
      <c r="C118" s="578">
        <v>11602393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845</v>
      </c>
      <c r="C119" s="580">
        <f>+C116+C118</f>
        <v>323643196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846</v>
      </c>
      <c r="C121" s="513">
        <v>323643197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847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849</v>
      </c>
      <c r="C127" s="514">
        <f>+C38</f>
        <v>691987197</v>
      </c>
      <c r="D127" s="588"/>
      <c r="AR127" s="507"/>
    </row>
    <row r="128" spans="1:58" s="506" customFormat="1" x14ac:dyDescent="0.2">
      <c r="A128" s="512">
        <v>2</v>
      </c>
      <c r="B128" s="583" t="s">
        <v>850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851</v>
      </c>
      <c r="C129" s="581">
        <f>C127+C128</f>
        <v>691987197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852</v>
      </c>
      <c r="C131" s="513">
        <v>691987197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847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854</v>
      </c>
      <c r="C137" s="513">
        <f>C105</f>
        <v>14759236</v>
      </c>
      <c r="D137" s="588"/>
      <c r="AR137" s="507"/>
    </row>
    <row r="138" spans="1:44" s="506" customFormat="1" x14ac:dyDescent="0.2">
      <c r="A138" s="512">
        <v>2</v>
      </c>
      <c r="B138" s="511" t="s">
        <v>870</v>
      </c>
      <c r="C138" s="513">
        <v>2907353</v>
      </c>
      <c r="D138" s="588"/>
      <c r="AR138" s="507"/>
    </row>
    <row r="139" spans="1:44" s="506" customFormat="1" x14ac:dyDescent="0.2">
      <c r="A139" s="512"/>
      <c r="B139" s="516" t="s">
        <v>856</v>
      </c>
      <c r="C139" s="581">
        <f>C137+C138</f>
        <v>17666589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871</v>
      </c>
      <c r="C141" s="513">
        <v>17666590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858</v>
      </c>
      <c r="C143" s="581">
        <f>C139-C141</f>
        <v>-1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FILING&amp;RLAWRENCE AND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615</v>
      </c>
      <c r="D8" s="35" t="s">
        <v>615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617</v>
      </c>
      <c r="D9" s="607" t="s">
        <v>618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874</v>
      </c>
      <c r="C12" s="49">
        <v>1544</v>
      </c>
      <c r="D12" s="49">
        <v>1714</v>
      </c>
      <c r="E12" s="49">
        <f>+D12-C12</f>
        <v>170</v>
      </c>
      <c r="F12" s="70">
        <f>IF(C12=0,0,+E12/C12)</f>
        <v>0.11010362694300518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875</v>
      </c>
      <c r="C13" s="49">
        <v>1383</v>
      </c>
      <c r="D13" s="49">
        <v>1364</v>
      </c>
      <c r="E13" s="49">
        <f>+D13-C13</f>
        <v>-19</v>
      </c>
      <c r="F13" s="70">
        <f>IF(C13=0,0,+E13/C13)</f>
        <v>-1.3738250180766449E-2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876</v>
      </c>
      <c r="C15" s="51">
        <v>3148344</v>
      </c>
      <c r="D15" s="51">
        <v>2828618</v>
      </c>
      <c r="E15" s="51">
        <f>+D15-C15</f>
        <v>-319726</v>
      </c>
      <c r="F15" s="70">
        <f>IF(C15=0,0,+E15/C15)</f>
        <v>-0.10155370569416811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877</v>
      </c>
      <c r="C16" s="27">
        <f>IF(C13=0,0,+C15/+C13)</f>
        <v>2276.4598698481564</v>
      </c>
      <c r="D16" s="27">
        <f>IF(D13=0,0,+D15/+D13)</f>
        <v>2073.7668621700882</v>
      </c>
      <c r="E16" s="27">
        <f>+D16-C16</f>
        <v>-202.69300767806817</v>
      </c>
      <c r="F16" s="28">
        <f>IF(C16=0,0,+E16/C16)</f>
        <v>-8.9038691330670425E-2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878</v>
      </c>
      <c r="C18" s="210">
        <v>0.46875499999999998</v>
      </c>
      <c r="D18" s="210">
        <v>0.46146599999999999</v>
      </c>
      <c r="E18" s="210">
        <f>+D18-C18</f>
        <v>-7.2889999999999899E-3</v>
      </c>
      <c r="F18" s="70">
        <f>IF(C18=0,0,+E18/C18)</f>
        <v>-1.5549700803191412E-2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879</v>
      </c>
      <c r="C19" s="27">
        <f>+C15*C18</f>
        <v>1475801.9917199998</v>
      </c>
      <c r="D19" s="27">
        <f>+D15*D18</f>
        <v>1305311.0339879999</v>
      </c>
      <c r="E19" s="27">
        <f>+D19-C19</f>
        <v>-170490.95773199992</v>
      </c>
      <c r="F19" s="28">
        <f>IF(C19=0,0,+E19/C19)</f>
        <v>-0.11552427675835983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880</v>
      </c>
      <c r="C20" s="27">
        <f>IF(C13=0,0,+C19/C13)</f>
        <v>1067.1019462906722</v>
      </c>
      <c r="D20" s="27">
        <f>IF(D13=0,0,+D19/D13)</f>
        <v>956.97289881818176</v>
      </c>
      <c r="E20" s="27">
        <f>+D20-C20</f>
        <v>-110.12904747249047</v>
      </c>
      <c r="F20" s="28">
        <f>IF(C20=0,0,+E20/C20)</f>
        <v>-0.10320386712376212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881</v>
      </c>
      <c r="C22" s="51">
        <v>650292</v>
      </c>
      <c r="D22" s="51">
        <v>356641</v>
      </c>
      <c r="E22" s="51">
        <f>+D22-C22</f>
        <v>-293651</v>
      </c>
      <c r="F22" s="70">
        <f>IF(C22=0,0,+E22/C22)</f>
        <v>-0.45156791103073696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882</v>
      </c>
      <c r="C23" s="49">
        <v>1517355</v>
      </c>
      <c r="D23" s="49">
        <v>1486688</v>
      </c>
      <c r="E23" s="49">
        <f>+D23-C23</f>
        <v>-30667</v>
      </c>
      <c r="F23" s="70">
        <f>IF(C23=0,0,+E23/C23)</f>
        <v>-2.021082739372131E-2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883</v>
      </c>
      <c r="C24" s="49">
        <v>980697</v>
      </c>
      <c r="D24" s="49">
        <v>985289</v>
      </c>
      <c r="E24" s="49">
        <f>+D24-C24</f>
        <v>4592</v>
      </c>
      <c r="F24" s="70">
        <f>IF(C24=0,0,+E24/C24)</f>
        <v>4.6823840595005385E-3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876</v>
      </c>
      <c r="C25" s="27">
        <f>+C22+C23+C24</f>
        <v>3148344</v>
      </c>
      <c r="D25" s="27">
        <f>+D22+D23+D24</f>
        <v>2828618</v>
      </c>
      <c r="E25" s="27">
        <f>+E22+E23+E24</f>
        <v>-319726</v>
      </c>
      <c r="F25" s="28">
        <f>IF(C25=0,0,+E25/C25)</f>
        <v>-0.10155370569416811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884</v>
      </c>
      <c r="C27" s="49">
        <v>230</v>
      </c>
      <c r="D27" s="49">
        <v>93</v>
      </c>
      <c r="E27" s="49">
        <f>+D27-C27</f>
        <v>-137</v>
      </c>
      <c r="F27" s="70">
        <f>IF(C27=0,0,+E27/C27)</f>
        <v>-0.59565217391304348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885</v>
      </c>
      <c r="C28" s="49">
        <v>46</v>
      </c>
      <c r="D28" s="49">
        <v>31</v>
      </c>
      <c r="E28" s="49">
        <f>+D28-C28</f>
        <v>-15</v>
      </c>
      <c r="F28" s="70">
        <f>IF(C28=0,0,+E28/C28)</f>
        <v>-0.32608695652173914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886</v>
      </c>
      <c r="C29" s="49">
        <v>857</v>
      </c>
      <c r="D29" s="49">
        <v>857</v>
      </c>
      <c r="E29" s="49">
        <f>+D29-C29</f>
        <v>0</v>
      </c>
      <c r="F29" s="70">
        <f>IF(C29=0,0,+E29/C29)</f>
        <v>0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887</v>
      </c>
      <c r="C30" s="49">
        <v>1516</v>
      </c>
      <c r="D30" s="49">
        <v>1479</v>
      </c>
      <c r="E30" s="49">
        <f>+D30-C30</f>
        <v>-37</v>
      </c>
      <c r="F30" s="70">
        <f>IF(C30=0,0,+E30/C30)</f>
        <v>-2.4406332453825858E-2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889</v>
      </c>
      <c r="C33" s="51">
        <v>3586698</v>
      </c>
      <c r="D33" s="51">
        <v>2955474</v>
      </c>
      <c r="E33" s="51">
        <f>+D33-C33</f>
        <v>-631224</v>
      </c>
      <c r="F33" s="70">
        <f>IF(C33=0,0,+E33/C33)</f>
        <v>-0.17599028409974857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890</v>
      </c>
      <c r="C34" s="49">
        <v>3862447</v>
      </c>
      <c r="D34" s="49">
        <v>3365362</v>
      </c>
      <c r="E34" s="49">
        <f>+D34-C34</f>
        <v>-497085</v>
      </c>
      <c r="F34" s="70">
        <f>IF(C34=0,0,+E34/C34)</f>
        <v>-0.12869691156927202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891</v>
      </c>
      <c r="C35" s="49">
        <v>6416065</v>
      </c>
      <c r="D35" s="49">
        <v>5609782</v>
      </c>
      <c r="E35" s="49">
        <f>+D35-C35</f>
        <v>-806283</v>
      </c>
      <c r="F35" s="70">
        <f>IF(C35=0,0,+E35/C35)</f>
        <v>-0.12566627675997671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892</v>
      </c>
      <c r="C36" s="27">
        <f>+C33+C34+C35</f>
        <v>13865210</v>
      </c>
      <c r="D36" s="27">
        <f>+D33+D34+D35</f>
        <v>11930618</v>
      </c>
      <c r="E36" s="27">
        <f>+E33+E34+E35</f>
        <v>-1934592</v>
      </c>
      <c r="F36" s="28">
        <f>IF(C36=0,0,+E36/C36)</f>
        <v>-0.13952850335479952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894</v>
      </c>
      <c r="C39" s="51">
        <f>+C25</f>
        <v>3148344</v>
      </c>
      <c r="D39" s="51">
        <f>+D25</f>
        <v>2828618</v>
      </c>
      <c r="E39" s="51">
        <f>+D39-C39</f>
        <v>-319726</v>
      </c>
      <c r="F39" s="70">
        <f>IF(C39=0,0,+E39/C39)</f>
        <v>-0.10155370569416811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895</v>
      </c>
      <c r="C40" s="49">
        <f>+C36</f>
        <v>13865210</v>
      </c>
      <c r="D40" s="49">
        <f>+D36</f>
        <v>11930618</v>
      </c>
      <c r="E40" s="49">
        <f>+D40-C40</f>
        <v>-1934592</v>
      </c>
      <c r="F40" s="70">
        <f>IF(C40=0,0,+E40/C40)</f>
        <v>-0.13952850335479952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896</v>
      </c>
      <c r="C41" s="27">
        <f>+C39+C40</f>
        <v>17013554</v>
      </c>
      <c r="D41" s="27">
        <f>+D39+D40</f>
        <v>14759236</v>
      </c>
      <c r="E41" s="27">
        <f>+E39+E40</f>
        <v>-2254318</v>
      </c>
      <c r="F41" s="28">
        <f>IF(C41=0,0,+E41/C41)</f>
        <v>-0.13250129867046004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897</v>
      </c>
      <c r="C43" s="51">
        <f t="shared" ref="C43:D45" si="0">+C22+C33</f>
        <v>4236990</v>
      </c>
      <c r="D43" s="51">
        <f t="shared" si="0"/>
        <v>3312115</v>
      </c>
      <c r="E43" s="51">
        <f>+D43-C43</f>
        <v>-924875</v>
      </c>
      <c r="F43" s="70">
        <f>IF(C43=0,0,+E43/C43)</f>
        <v>-0.21828585859301061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898</v>
      </c>
      <c r="C44" s="49">
        <f t="shared" si="0"/>
        <v>5379802</v>
      </c>
      <c r="D44" s="49">
        <f t="shared" si="0"/>
        <v>4852050</v>
      </c>
      <c r="E44" s="49">
        <f>+D44-C44</f>
        <v>-527752</v>
      </c>
      <c r="F44" s="70">
        <f>IF(C44=0,0,+E44/C44)</f>
        <v>-9.8098777613005089E-2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899</v>
      </c>
      <c r="C45" s="49">
        <f t="shared" si="0"/>
        <v>7396762</v>
      </c>
      <c r="D45" s="49">
        <f t="shared" si="0"/>
        <v>6595071</v>
      </c>
      <c r="E45" s="49">
        <f>+D45-C45</f>
        <v>-801691</v>
      </c>
      <c r="F45" s="70">
        <f>IF(C45=0,0,+E45/C45)</f>
        <v>-0.10838404696541541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896</v>
      </c>
      <c r="C46" s="27">
        <f>+C43+C44+C45</f>
        <v>17013554</v>
      </c>
      <c r="D46" s="27">
        <f>+D43+D44+D45</f>
        <v>14759236</v>
      </c>
      <c r="E46" s="27">
        <f>+E43+E44+E45</f>
        <v>-2254318</v>
      </c>
      <c r="F46" s="28">
        <f>IF(C46=0,0,+E46/C46)</f>
        <v>-0.13250129867046004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900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FILING&amp;RLAWRENCE AND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617</v>
      </c>
      <c r="D9" s="35" t="s">
        <v>618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903</v>
      </c>
      <c r="D10" s="35" t="s">
        <v>903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904</v>
      </c>
      <c r="D11" s="605" t="s">
        <v>904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240219404</v>
      </c>
      <c r="D15" s="51">
        <v>232465068</v>
      </c>
      <c r="E15" s="51">
        <f>+D15-C15</f>
        <v>-7754336</v>
      </c>
      <c r="F15" s="70">
        <f>+E15/C15</f>
        <v>-3.2280223291204238E-2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906</v>
      </c>
      <c r="C17" s="51">
        <v>88924595</v>
      </c>
      <c r="D17" s="51">
        <v>79022077</v>
      </c>
      <c r="E17" s="51">
        <f>+D17-C17</f>
        <v>-9902518</v>
      </c>
      <c r="F17" s="70">
        <f>+E17/C17</f>
        <v>-0.11135859544819968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907</v>
      </c>
      <c r="C19" s="27">
        <f>+C15-C17</f>
        <v>151294809</v>
      </c>
      <c r="D19" s="27">
        <f>+D15-D17</f>
        <v>153442991</v>
      </c>
      <c r="E19" s="27">
        <f>+D19-C19</f>
        <v>2148182</v>
      </c>
      <c r="F19" s="28">
        <f>+E19/C19</f>
        <v>1.4198649736885553E-2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908</v>
      </c>
      <c r="C21" s="628">
        <f>+C17/C15</f>
        <v>0.37018073277710739</v>
      </c>
      <c r="D21" s="628">
        <f>+D17/D15</f>
        <v>0.33993097405929396</v>
      </c>
      <c r="E21" s="628">
        <f>+D21-C21</f>
        <v>-3.0249758717813435E-2</v>
      </c>
      <c r="F21" s="28">
        <f>+E21/C21</f>
        <v>-8.1716188983902011E-2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909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FILING&amp;R&amp;12LAWRENCE AND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910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911</v>
      </c>
      <c r="B6" s="632" t="s">
        <v>912</v>
      </c>
      <c r="C6" s="632" t="s">
        <v>913</v>
      </c>
      <c r="D6" s="632" t="s">
        <v>914</v>
      </c>
      <c r="E6" s="632" t="s">
        <v>915</v>
      </c>
    </row>
    <row r="7" spans="1:6" ht="37.5" customHeight="1" x14ac:dyDescent="0.25">
      <c r="A7" s="633" t="s">
        <v>8</v>
      </c>
      <c r="B7" s="634" t="s">
        <v>916</v>
      </c>
      <c r="C7" s="631" t="s">
        <v>917</v>
      </c>
      <c r="D7" s="631" t="s">
        <v>918</v>
      </c>
      <c r="E7" s="631" t="s">
        <v>919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920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921</v>
      </c>
      <c r="C10" s="641">
        <v>277650576</v>
      </c>
      <c r="D10" s="641">
        <v>289281822</v>
      </c>
      <c r="E10" s="641">
        <v>290545603</v>
      </c>
    </row>
    <row r="11" spans="1:6" ht="26.1" customHeight="1" x14ac:dyDescent="0.25">
      <c r="A11" s="639">
        <v>2</v>
      </c>
      <c r="B11" s="640" t="s">
        <v>922</v>
      </c>
      <c r="C11" s="641">
        <v>347300572</v>
      </c>
      <c r="D11" s="641">
        <v>371879098</v>
      </c>
      <c r="E11" s="641">
        <v>401441594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624951148</v>
      </c>
      <c r="D12" s="641">
        <f>+D11+D10</f>
        <v>661160920</v>
      </c>
      <c r="E12" s="641">
        <f>+E11+E10</f>
        <v>691987197</v>
      </c>
    </row>
    <row r="13" spans="1:6" ht="26.1" customHeight="1" x14ac:dyDescent="0.25">
      <c r="A13" s="639">
        <v>4</v>
      </c>
      <c r="B13" s="640" t="s">
        <v>496</v>
      </c>
      <c r="C13" s="641">
        <v>306562977</v>
      </c>
      <c r="D13" s="641">
        <v>318813210</v>
      </c>
      <c r="E13" s="641">
        <v>323643197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923</v>
      </c>
      <c r="C16" s="641">
        <v>299648936</v>
      </c>
      <c r="D16" s="641">
        <v>312331109</v>
      </c>
      <c r="E16" s="641">
        <v>318194716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71761</v>
      </c>
      <c r="D19" s="644">
        <v>74082</v>
      </c>
      <c r="E19" s="644">
        <v>70558</v>
      </c>
    </row>
    <row r="20" spans="1:5" ht="26.1" customHeight="1" x14ac:dyDescent="0.25">
      <c r="A20" s="639">
        <v>2</v>
      </c>
      <c r="B20" s="640" t="s">
        <v>385</v>
      </c>
      <c r="C20" s="645">
        <v>15464</v>
      </c>
      <c r="D20" s="645">
        <v>15328</v>
      </c>
      <c r="E20" s="645">
        <v>14932</v>
      </c>
    </row>
    <row r="21" spans="1:5" ht="26.1" customHeight="1" x14ac:dyDescent="0.25">
      <c r="A21" s="639">
        <v>3</v>
      </c>
      <c r="B21" s="640" t="s">
        <v>925</v>
      </c>
      <c r="C21" s="646">
        <f>IF(C20=0,0,+C19/C20)</f>
        <v>4.6405199172271079</v>
      </c>
      <c r="D21" s="646">
        <f>IF(D20=0,0,+D19/D20)</f>
        <v>4.8331158663883089</v>
      </c>
      <c r="E21" s="646">
        <f>IF(E20=0,0,+E19/E20)</f>
        <v>4.7252879721403698</v>
      </c>
    </row>
    <row r="22" spans="1:5" ht="26.1" customHeight="1" x14ac:dyDescent="0.25">
      <c r="A22" s="639">
        <v>4</v>
      </c>
      <c r="B22" s="640" t="s">
        <v>926</v>
      </c>
      <c r="C22" s="645">
        <f>IF(C10=0,0,C19*(C12/C10))</f>
        <v>161523.59551246886</v>
      </c>
      <c r="D22" s="645">
        <f>IF(D10=0,0,D19*(D12/D10))</f>
        <v>169316.28450349017</v>
      </c>
      <c r="E22" s="645">
        <f>IF(E10=0,0,E19*(E12/E10))</f>
        <v>168046.70985134819</v>
      </c>
    </row>
    <row r="23" spans="1:5" ht="26.1" customHeight="1" x14ac:dyDescent="0.25">
      <c r="A23" s="639">
        <v>0</v>
      </c>
      <c r="B23" s="640" t="s">
        <v>927</v>
      </c>
      <c r="C23" s="645">
        <f>IF(C10=0,0,C20*(C12/C10))</f>
        <v>34807.219534354575</v>
      </c>
      <c r="D23" s="645">
        <f>IF(D10=0,0,D20*(D12/D10))</f>
        <v>35032.531638852852</v>
      </c>
      <c r="E23" s="645">
        <f>IF(E10=0,0,E20*(E12/E10))</f>
        <v>35563.273781857919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1.1845094671495084</v>
      </c>
      <c r="D26" s="647">
        <v>1.2128014483298537</v>
      </c>
      <c r="E26" s="647">
        <v>1.2197990356281809</v>
      </c>
    </row>
    <row r="27" spans="1:5" ht="26.1" customHeight="1" x14ac:dyDescent="0.25">
      <c r="A27" s="639">
        <v>2</v>
      </c>
      <c r="B27" s="640" t="s">
        <v>929</v>
      </c>
      <c r="C27" s="645">
        <f>C19*C26</f>
        <v>85001.58387211588</v>
      </c>
      <c r="D27" s="645">
        <f>D19*D26</f>
        <v>89846.756895172221</v>
      </c>
      <c r="E27" s="645">
        <f>E19*E26</f>
        <v>86066.580355853192</v>
      </c>
    </row>
    <row r="28" spans="1:5" ht="26.1" customHeight="1" x14ac:dyDescent="0.25">
      <c r="A28" s="639">
        <v>3</v>
      </c>
      <c r="B28" s="640" t="s">
        <v>930</v>
      </c>
      <c r="C28" s="645">
        <f>C20*C26</f>
        <v>18317.254399999998</v>
      </c>
      <c r="D28" s="645">
        <f>D20*D26</f>
        <v>18589.820599999999</v>
      </c>
      <c r="E28" s="645">
        <f>E20*E26</f>
        <v>18214.039199999999</v>
      </c>
    </row>
    <row r="29" spans="1:5" ht="26.1" customHeight="1" x14ac:dyDescent="0.25">
      <c r="A29" s="639">
        <v>4</v>
      </c>
      <c r="B29" s="640" t="s">
        <v>931</v>
      </c>
      <c r="C29" s="645">
        <f>C22*C26</f>
        <v>191326.22805254723</v>
      </c>
      <c r="D29" s="645">
        <f>D22*D26</f>
        <v>205347.03507166245</v>
      </c>
      <c r="E29" s="645">
        <f>E22*E26</f>
        <v>204983.21461716326</v>
      </c>
    </row>
    <row r="30" spans="1:5" ht="26.1" customHeight="1" x14ac:dyDescent="0.25">
      <c r="A30" s="639">
        <v>5</v>
      </c>
      <c r="B30" s="640" t="s">
        <v>932</v>
      </c>
      <c r="C30" s="645">
        <f>C23*C26</f>
        <v>41229.481063594299</v>
      </c>
      <c r="D30" s="645">
        <f>D23*D26</f>
        <v>42487.505110262166</v>
      </c>
      <c r="E30" s="645">
        <f>E23*E26</f>
        <v>43380.047062891259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934</v>
      </c>
      <c r="C33" s="641">
        <f>IF(C19=0,0,C12/C19)</f>
        <v>8708.7853848190516</v>
      </c>
      <c r="D33" s="641">
        <f>IF(D19=0,0,D12/D19)</f>
        <v>8924.7174752301507</v>
      </c>
      <c r="E33" s="641">
        <f>IF(E19=0,0,E12/E19)</f>
        <v>9807.3527736046944</v>
      </c>
    </row>
    <row r="34" spans="1:5" ht="26.1" customHeight="1" x14ac:dyDescent="0.25">
      <c r="A34" s="639">
        <v>2</v>
      </c>
      <c r="B34" s="640" t="s">
        <v>935</v>
      </c>
      <c r="C34" s="641">
        <f>IF(C20=0,0,C12/C20)</f>
        <v>40413.292033109159</v>
      </c>
      <c r="D34" s="641">
        <f>IF(D20=0,0,D12/D20)</f>
        <v>43134.193632567847</v>
      </c>
      <c r="E34" s="641">
        <f>IF(E20=0,0,E12/E20)</f>
        <v>46342.566099651754</v>
      </c>
    </row>
    <row r="35" spans="1:5" ht="26.1" customHeight="1" x14ac:dyDescent="0.25">
      <c r="A35" s="639">
        <v>3</v>
      </c>
      <c r="B35" s="640" t="s">
        <v>936</v>
      </c>
      <c r="C35" s="641">
        <f>IF(C22=0,0,C12/C22)</f>
        <v>3869.1012667047567</v>
      </c>
      <c r="D35" s="641">
        <f>IF(D22=0,0,D12/D22)</f>
        <v>3904.8867741151694</v>
      </c>
      <c r="E35" s="641">
        <f>IF(E22=0,0,E12/E22)</f>
        <v>4117.8265115224358</v>
      </c>
    </row>
    <row r="36" spans="1:5" ht="26.1" customHeight="1" x14ac:dyDescent="0.25">
      <c r="A36" s="639">
        <v>4</v>
      </c>
      <c r="B36" s="640" t="s">
        <v>937</v>
      </c>
      <c r="C36" s="641">
        <f>IF(C23=0,0,C12/C23)</f>
        <v>17954.641489912054</v>
      </c>
      <c r="D36" s="641">
        <f>IF(D23=0,0,D12/D23)</f>
        <v>18872.770224425891</v>
      </c>
      <c r="E36" s="641">
        <f>IF(E23=0,0,E12/E23)</f>
        <v>19457.916086257701</v>
      </c>
    </row>
    <row r="37" spans="1:5" ht="26.1" customHeight="1" x14ac:dyDescent="0.25">
      <c r="A37" s="639">
        <v>5</v>
      </c>
      <c r="B37" s="640" t="s">
        <v>938</v>
      </c>
      <c r="C37" s="641">
        <f>IF(C29=0,0,C12/C29)</f>
        <v>3266.4164989880992</v>
      </c>
      <c r="D37" s="641">
        <f>IF(D29=0,0,D12/D29)</f>
        <v>3219.7246956561444</v>
      </c>
      <c r="E37" s="641">
        <f>IF(E29=0,0,E12/E29)</f>
        <v>3375.8237146021411</v>
      </c>
    </row>
    <row r="38" spans="1:5" ht="26.1" customHeight="1" x14ac:dyDescent="0.25">
      <c r="A38" s="639">
        <v>6</v>
      </c>
      <c r="B38" s="640" t="s">
        <v>939</v>
      </c>
      <c r="C38" s="641">
        <f>IF(C30=0,0,C12/C30)</f>
        <v>15157.870821513514</v>
      </c>
      <c r="D38" s="641">
        <f>IF(D30=0,0,D12/D30)</f>
        <v>15561.302511977983</v>
      </c>
      <c r="E38" s="641">
        <f>IF(E30=0,0,E12/E30)</f>
        <v>15951.739194675723</v>
      </c>
    </row>
    <row r="39" spans="1:5" ht="26.1" customHeight="1" x14ac:dyDescent="0.25">
      <c r="A39" s="639">
        <v>7</v>
      </c>
      <c r="B39" s="640" t="s">
        <v>940</v>
      </c>
      <c r="C39" s="641">
        <f>IF(C22=0,0,C10/C22)</f>
        <v>1718.9474709196074</v>
      </c>
      <c r="D39" s="641">
        <f>IF(D22=0,0,D10/D22)</f>
        <v>1708.5292347886179</v>
      </c>
      <c r="E39" s="641">
        <f>IF(E22=0,0,E10/E22)</f>
        <v>1728.9574027186409</v>
      </c>
    </row>
    <row r="40" spans="1:5" ht="26.1" customHeight="1" x14ac:dyDescent="0.25">
      <c r="A40" s="639">
        <v>8</v>
      </c>
      <c r="B40" s="640" t="s">
        <v>941</v>
      </c>
      <c r="C40" s="641">
        <f>IF(C23=0,0,C10/C23)</f>
        <v>7976.8099754696032</v>
      </c>
      <c r="D40" s="641">
        <f>IF(D23=0,0,D10/D23)</f>
        <v>8257.5197528451481</v>
      </c>
      <c r="E40" s="641">
        <f>IF(E23=0,0,E10/E23)</f>
        <v>8169.8216194094475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943</v>
      </c>
      <c r="C43" s="641">
        <f>IF(C19=0,0,C13/C19)</f>
        <v>4271.9997909728127</v>
      </c>
      <c r="D43" s="641">
        <f>IF(D19=0,0,D13/D19)</f>
        <v>4303.5178585891308</v>
      </c>
      <c r="E43" s="641">
        <f>IF(E19=0,0,E13/E19)</f>
        <v>4586.9100172907392</v>
      </c>
    </row>
    <row r="44" spans="1:5" ht="26.1" customHeight="1" x14ac:dyDescent="0.25">
      <c r="A44" s="639">
        <v>2</v>
      </c>
      <c r="B44" s="640" t="s">
        <v>944</v>
      </c>
      <c r="C44" s="641">
        <f>IF(C20=0,0,C13/C20)</f>
        <v>19824.300116399379</v>
      </c>
      <c r="D44" s="641">
        <f>IF(D20=0,0,D13/D20)</f>
        <v>20799.400443632567</v>
      </c>
      <c r="E44" s="641">
        <f>IF(E20=0,0,E13/E20)</f>
        <v>21674.470733994105</v>
      </c>
    </row>
    <row r="45" spans="1:5" ht="26.1" customHeight="1" x14ac:dyDescent="0.25">
      <c r="A45" s="639">
        <v>3</v>
      </c>
      <c r="B45" s="640" t="s">
        <v>945</v>
      </c>
      <c r="C45" s="641">
        <f>IF(C22=0,0,C13/C22)</f>
        <v>1897.9454737084204</v>
      </c>
      <c r="D45" s="641">
        <f>IF(D22=0,0,D13/D22)</f>
        <v>1882.9447559335511</v>
      </c>
      <c r="E45" s="641">
        <f>IF(E22=0,0,E13/E22)</f>
        <v>1925.9121305397191</v>
      </c>
    </row>
    <row r="46" spans="1:5" ht="26.1" customHeight="1" x14ac:dyDescent="0.25">
      <c r="A46" s="639">
        <v>4</v>
      </c>
      <c r="B46" s="640" t="s">
        <v>946</v>
      </c>
      <c r="C46" s="641">
        <f>IF(C23=0,0,C13/C23)</f>
        <v>8807.4537725549635</v>
      </c>
      <c r="D46" s="641">
        <f>IF(D23=0,0,D13/D23)</f>
        <v>9100.4901754351085</v>
      </c>
      <c r="E46" s="641">
        <f>IF(E23=0,0,E13/E23)</f>
        <v>9100.4894258385684</v>
      </c>
    </row>
    <row r="47" spans="1:5" ht="26.1" customHeight="1" x14ac:dyDescent="0.25">
      <c r="A47" s="639">
        <v>5</v>
      </c>
      <c r="B47" s="640" t="s">
        <v>947</v>
      </c>
      <c r="C47" s="641">
        <f>IF(C29=0,0,C13/C29)</f>
        <v>1602.3050269710188</v>
      </c>
      <c r="D47" s="641">
        <f>IF(D29=0,0,D13/D29)</f>
        <v>1552.5581359805847</v>
      </c>
      <c r="E47" s="641">
        <f>IF(E29=0,0,E13/E29)</f>
        <v>1578.8765807212651</v>
      </c>
    </row>
    <row r="48" spans="1:5" ht="26.1" customHeight="1" x14ac:dyDescent="0.25">
      <c r="A48" s="639">
        <v>6</v>
      </c>
      <c r="B48" s="640" t="s">
        <v>948</v>
      </c>
      <c r="C48" s="641">
        <f>IF(C30=0,0,C13/C30)</f>
        <v>7435.5283911321312</v>
      </c>
      <c r="D48" s="641">
        <f>IF(D30=0,0,D13/D30)</f>
        <v>7503.6933604980222</v>
      </c>
      <c r="E48" s="641">
        <f>IF(E30=0,0,E13/E30)</f>
        <v>7460.6465163763087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950</v>
      </c>
      <c r="C51" s="641">
        <f>IF(C19=0,0,C16/C19)</f>
        <v>4175.6516213542172</v>
      </c>
      <c r="D51" s="641">
        <f>IF(D19=0,0,D16/D19)</f>
        <v>4216.0188574822496</v>
      </c>
      <c r="E51" s="641">
        <f>IF(E19=0,0,E16/E19)</f>
        <v>4509.6901272711812</v>
      </c>
    </row>
    <row r="52" spans="1:6" ht="26.1" customHeight="1" x14ac:dyDescent="0.25">
      <c r="A52" s="639">
        <v>2</v>
      </c>
      <c r="B52" s="640" t="s">
        <v>951</v>
      </c>
      <c r="C52" s="641">
        <f>IF(C20=0,0,C16/C20)</f>
        <v>19377.194516295913</v>
      </c>
      <c r="D52" s="641">
        <f>IF(D20=0,0,D16/D20)</f>
        <v>20376.507633089772</v>
      </c>
      <c r="E52" s="641">
        <f>IF(E20=0,0,E16/E20)</f>
        <v>21309.584516474686</v>
      </c>
    </row>
    <row r="53" spans="1:6" ht="26.1" customHeight="1" x14ac:dyDescent="0.25">
      <c r="A53" s="639">
        <v>3</v>
      </c>
      <c r="B53" s="640" t="s">
        <v>952</v>
      </c>
      <c r="C53" s="641">
        <f>IF(C22=0,0,C16/C22)</f>
        <v>1855.1403282554375</v>
      </c>
      <c r="D53" s="641">
        <f>IF(D22=0,0,D16/D22)</f>
        <v>1844.6607774077504</v>
      </c>
      <c r="E53" s="641">
        <f>IF(E22=0,0,E16/E22)</f>
        <v>1893.4897105779141</v>
      </c>
    </row>
    <row r="54" spans="1:6" ht="26.1" customHeight="1" x14ac:dyDescent="0.25">
      <c r="A54" s="639">
        <v>4</v>
      </c>
      <c r="B54" s="640" t="s">
        <v>953</v>
      </c>
      <c r="C54" s="641">
        <f>IF(C23=0,0,C16/C23)</f>
        <v>8608.8156425205925</v>
      </c>
      <c r="D54" s="641">
        <f>IF(D23=0,0,D16/D23)</f>
        <v>8915.4592713935926</v>
      </c>
      <c r="E54" s="641">
        <f>IF(E23=0,0,E16/E23)</f>
        <v>8947.2841547653679</v>
      </c>
    </row>
    <row r="55" spans="1:6" ht="26.1" customHeight="1" x14ac:dyDescent="0.25">
      <c r="A55" s="639">
        <v>5</v>
      </c>
      <c r="B55" s="640" t="s">
        <v>954</v>
      </c>
      <c r="C55" s="641">
        <f>IF(C29=0,0,C16/C29)</f>
        <v>1566.1675821973672</v>
      </c>
      <c r="D55" s="641">
        <f>IF(D29=0,0,D16/D29)</f>
        <v>1520.9915686924917</v>
      </c>
      <c r="E55" s="641">
        <f>IF(E29=0,0,E16/E29)</f>
        <v>1552.2964482446823</v>
      </c>
    </row>
    <row r="56" spans="1:6" ht="26.1" customHeight="1" x14ac:dyDescent="0.25">
      <c r="A56" s="639">
        <v>6</v>
      </c>
      <c r="B56" s="640" t="s">
        <v>955</v>
      </c>
      <c r="C56" s="641">
        <f>IF(C30=0,0,C16/C30)</f>
        <v>7267.8318589023065</v>
      </c>
      <c r="D56" s="641">
        <f>IF(D30=0,0,D16/D30)</f>
        <v>7351.1284832905267</v>
      </c>
      <c r="E56" s="641">
        <f>IF(E30=0,0,E16/E30)</f>
        <v>7335.0477360868144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957</v>
      </c>
      <c r="C59" s="649">
        <v>45991977</v>
      </c>
      <c r="D59" s="649">
        <v>48372889</v>
      </c>
      <c r="E59" s="649">
        <v>43204569</v>
      </c>
    </row>
    <row r="60" spans="1:6" ht="26.1" customHeight="1" x14ac:dyDescent="0.25">
      <c r="A60" s="639">
        <v>2</v>
      </c>
      <c r="B60" s="640" t="s">
        <v>958</v>
      </c>
      <c r="C60" s="649">
        <v>13654674</v>
      </c>
      <c r="D60" s="649">
        <v>14297260</v>
      </c>
      <c r="E60" s="649">
        <v>12428142</v>
      </c>
    </row>
    <row r="61" spans="1:6" ht="26.1" customHeight="1" x14ac:dyDescent="0.25">
      <c r="A61" s="650">
        <v>3</v>
      </c>
      <c r="B61" s="651" t="s">
        <v>959</v>
      </c>
      <c r="C61" s="652">
        <f>C59+C60</f>
        <v>59646651</v>
      </c>
      <c r="D61" s="652">
        <f>D59+D60</f>
        <v>62670149</v>
      </c>
      <c r="E61" s="652">
        <f>E59+E60</f>
        <v>55632711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960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961</v>
      </c>
      <c r="C64" s="641">
        <v>2994322</v>
      </c>
      <c r="D64" s="641">
        <v>2740700</v>
      </c>
      <c r="E64" s="649">
        <v>799526</v>
      </c>
      <c r="F64" s="653"/>
    </row>
    <row r="65" spans="1:6" ht="26.1" customHeight="1" x14ac:dyDescent="0.25">
      <c r="A65" s="639">
        <v>2</v>
      </c>
      <c r="B65" s="640" t="s">
        <v>962</v>
      </c>
      <c r="C65" s="649">
        <v>888992</v>
      </c>
      <c r="D65" s="649">
        <v>810051</v>
      </c>
      <c r="E65" s="649">
        <v>229988</v>
      </c>
      <c r="F65" s="653"/>
    </row>
    <row r="66" spans="1:6" ht="26.1" customHeight="1" x14ac:dyDescent="0.25">
      <c r="A66" s="650">
        <v>3</v>
      </c>
      <c r="B66" s="651" t="s">
        <v>963</v>
      </c>
      <c r="C66" s="654">
        <f>C64+C65</f>
        <v>3883314</v>
      </c>
      <c r="D66" s="654">
        <f>D64+D65</f>
        <v>3550751</v>
      </c>
      <c r="E66" s="654">
        <f>E64+E65</f>
        <v>1029514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965</v>
      </c>
      <c r="C69" s="649">
        <v>85567860</v>
      </c>
      <c r="D69" s="649">
        <v>90052061</v>
      </c>
      <c r="E69" s="649">
        <v>101709933</v>
      </c>
    </row>
    <row r="70" spans="1:6" ht="26.1" customHeight="1" x14ac:dyDescent="0.25">
      <c r="A70" s="639">
        <v>2</v>
      </c>
      <c r="B70" s="640" t="s">
        <v>966</v>
      </c>
      <c r="C70" s="649">
        <v>25404457</v>
      </c>
      <c r="D70" s="649">
        <v>26616102</v>
      </c>
      <c r="E70" s="649">
        <v>29257357</v>
      </c>
    </row>
    <row r="71" spans="1:6" ht="26.1" customHeight="1" x14ac:dyDescent="0.25">
      <c r="A71" s="650">
        <v>3</v>
      </c>
      <c r="B71" s="651" t="s">
        <v>967</v>
      </c>
      <c r="C71" s="652">
        <f>C69+C70</f>
        <v>110972317</v>
      </c>
      <c r="D71" s="652">
        <f>D69+D70</f>
        <v>116668163</v>
      </c>
      <c r="E71" s="652">
        <f>E69+E70</f>
        <v>130967290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969</v>
      </c>
      <c r="C75" s="641">
        <f t="shared" ref="C75:E76" si="0">+C59+C64+C69</f>
        <v>134554159</v>
      </c>
      <c r="D75" s="641">
        <f t="shared" si="0"/>
        <v>141165650</v>
      </c>
      <c r="E75" s="641">
        <f t="shared" si="0"/>
        <v>145714028</v>
      </c>
    </row>
    <row r="76" spans="1:6" ht="26.1" customHeight="1" x14ac:dyDescent="0.25">
      <c r="A76" s="639">
        <v>2</v>
      </c>
      <c r="B76" s="640" t="s">
        <v>970</v>
      </c>
      <c r="C76" s="641">
        <f t="shared" si="0"/>
        <v>39948123</v>
      </c>
      <c r="D76" s="641">
        <f t="shared" si="0"/>
        <v>41723413</v>
      </c>
      <c r="E76" s="641">
        <f t="shared" si="0"/>
        <v>41915487</v>
      </c>
    </row>
    <row r="77" spans="1:6" ht="26.1" customHeight="1" x14ac:dyDescent="0.25">
      <c r="A77" s="650">
        <v>3</v>
      </c>
      <c r="B77" s="651" t="s">
        <v>968</v>
      </c>
      <c r="C77" s="654">
        <f>C75+C76</f>
        <v>174502282</v>
      </c>
      <c r="D77" s="654">
        <f>D75+D76</f>
        <v>182889063</v>
      </c>
      <c r="E77" s="654">
        <f>E75+E76</f>
        <v>187629515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496.9</v>
      </c>
      <c r="D80" s="646">
        <v>519.20000000000005</v>
      </c>
      <c r="E80" s="646">
        <v>460.5</v>
      </c>
    </row>
    <row r="81" spans="1:5" ht="26.1" customHeight="1" x14ac:dyDescent="0.25">
      <c r="A81" s="639">
        <v>2</v>
      </c>
      <c r="B81" s="640" t="s">
        <v>597</v>
      </c>
      <c r="C81" s="646">
        <v>8.1</v>
      </c>
      <c r="D81" s="646">
        <v>9.4</v>
      </c>
      <c r="E81" s="646">
        <v>2.2999999999999998</v>
      </c>
    </row>
    <row r="82" spans="1:5" ht="26.1" customHeight="1" x14ac:dyDescent="0.25">
      <c r="A82" s="639">
        <v>3</v>
      </c>
      <c r="B82" s="640" t="s">
        <v>972</v>
      </c>
      <c r="C82" s="646">
        <v>1387.8</v>
      </c>
      <c r="D82" s="646">
        <v>1410.5</v>
      </c>
      <c r="E82" s="646">
        <v>1492</v>
      </c>
    </row>
    <row r="83" spans="1:5" ht="26.1" customHeight="1" x14ac:dyDescent="0.25">
      <c r="A83" s="650">
        <v>4</v>
      </c>
      <c r="B83" s="651" t="s">
        <v>971</v>
      </c>
      <c r="C83" s="656">
        <f>C80+C81+C82</f>
        <v>1892.8</v>
      </c>
      <c r="D83" s="656">
        <f>D80+D81+D82</f>
        <v>1939.1</v>
      </c>
      <c r="E83" s="656">
        <f>E80+E81+E82</f>
        <v>1954.8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974</v>
      </c>
      <c r="C86" s="649">
        <f>IF(C80=0,0,C59/C80)</f>
        <v>92557.812437110086</v>
      </c>
      <c r="D86" s="649">
        <f>IF(D80=0,0,D59/D80)</f>
        <v>93168.122110939905</v>
      </c>
      <c r="E86" s="649">
        <f>IF(E80=0,0,E59/E80)</f>
        <v>93820.996742671006</v>
      </c>
    </row>
    <row r="87" spans="1:5" ht="26.1" customHeight="1" x14ac:dyDescent="0.25">
      <c r="A87" s="639">
        <v>2</v>
      </c>
      <c r="B87" s="640" t="s">
        <v>975</v>
      </c>
      <c r="C87" s="649">
        <f>IF(C80=0,0,C60/C80)</f>
        <v>27479.722278124373</v>
      </c>
      <c r="D87" s="649">
        <f>IF(D80=0,0,D60/D80)</f>
        <v>27537.095531587056</v>
      </c>
      <c r="E87" s="649">
        <f>IF(E80=0,0,E60/E80)</f>
        <v>26988.364820846906</v>
      </c>
    </row>
    <row r="88" spans="1:5" ht="26.1" customHeight="1" x14ac:dyDescent="0.25">
      <c r="A88" s="650">
        <v>3</v>
      </c>
      <c r="B88" s="651" t="s">
        <v>976</v>
      </c>
      <c r="C88" s="652">
        <f>+C86+C87</f>
        <v>120037.53471523446</v>
      </c>
      <c r="D88" s="652">
        <f>+D86+D87</f>
        <v>120705.21764252696</v>
      </c>
      <c r="E88" s="652">
        <f>+E86+E87</f>
        <v>120809.36156351792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977</v>
      </c>
    </row>
    <row r="91" spans="1:5" ht="26.1" customHeight="1" x14ac:dyDescent="0.25">
      <c r="A91" s="639">
        <v>1</v>
      </c>
      <c r="B91" s="640" t="s">
        <v>978</v>
      </c>
      <c r="C91" s="641">
        <f>IF(C81=0,0,C64/C81)</f>
        <v>369669.38271604938</v>
      </c>
      <c r="D91" s="641">
        <f>IF(D81=0,0,D64/D81)</f>
        <v>291563.82978723402</v>
      </c>
      <c r="E91" s="641">
        <f>IF(E81=0,0,E64/E81)</f>
        <v>347620</v>
      </c>
    </row>
    <row r="92" spans="1:5" ht="26.1" customHeight="1" x14ac:dyDescent="0.25">
      <c r="A92" s="639">
        <v>2</v>
      </c>
      <c r="B92" s="640" t="s">
        <v>979</v>
      </c>
      <c r="C92" s="641">
        <f>IF(C81=0,0,C65/C81)</f>
        <v>109752.09876543211</v>
      </c>
      <c r="D92" s="641">
        <f>IF(D81=0,0,D65/D81)</f>
        <v>86175.638297872341</v>
      </c>
      <c r="E92" s="641">
        <f>IF(E81=0,0,E65/E81)</f>
        <v>99994.782608695663</v>
      </c>
    </row>
    <row r="93" spans="1:5" ht="26.1" customHeight="1" x14ac:dyDescent="0.25">
      <c r="A93" s="650">
        <v>3</v>
      </c>
      <c r="B93" s="651" t="s">
        <v>980</v>
      </c>
      <c r="C93" s="654">
        <f>+C91+C92</f>
        <v>479421.48148148146</v>
      </c>
      <c r="D93" s="654">
        <f>+D91+D92</f>
        <v>377739.46808510635</v>
      </c>
      <c r="E93" s="654">
        <f>+E91+E92</f>
        <v>447614.78260869568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981</v>
      </c>
      <c r="B95" s="642" t="s">
        <v>982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983</v>
      </c>
      <c r="C96" s="649">
        <f>IF(C82=0,0,C69/C82)</f>
        <v>61657.198443579771</v>
      </c>
      <c r="D96" s="649">
        <f>IF(D82=0,0,D69/D82)</f>
        <v>63844.070187876641</v>
      </c>
      <c r="E96" s="649">
        <f>IF(E82=0,0,E69/E82)</f>
        <v>68170.196380697045</v>
      </c>
    </row>
    <row r="97" spans="1:5" ht="26.1" customHeight="1" x14ac:dyDescent="0.25">
      <c r="A97" s="639">
        <v>2</v>
      </c>
      <c r="B97" s="640" t="s">
        <v>984</v>
      </c>
      <c r="C97" s="649">
        <f>IF(C82=0,0,C70/C82)</f>
        <v>18305.560599510016</v>
      </c>
      <c r="D97" s="649">
        <f>IF(D82=0,0,D70/D82)</f>
        <v>18869.97660404112</v>
      </c>
      <c r="E97" s="649">
        <f>IF(E82=0,0,E70/E82)</f>
        <v>19609.488605898125</v>
      </c>
    </row>
    <row r="98" spans="1:5" ht="26.1" customHeight="1" x14ac:dyDescent="0.25">
      <c r="A98" s="650">
        <v>3</v>
      </c>
      <c r="B98" s="651" t="s">
        <v>985</v>
      </c>
      <c r="C98" s="654">
        <f>+C96+C97</f>
        <v>79962.759043089784</v>
      </c>
      <c r="D98" s="654">
        <f>+D96+D97</f>
        <v>82714.046791917761</v>
      </c>
      <c r="E98" s="654">
        <f>+E96+E97</f>
        <v>87779.684986595166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986</v>
      </c>
      <c r="B100" s="642" t="s">
        <v>987</v>
      </c>
    </row>
    <row r="101" spans="1:5" ht="26.1" customHeight="1" x14ac:dyDescent="0.25">
      <c r="A101" s="639">
        <v>1</v>
      </c>
      <c r="B101" s="640" t="s">
        <v>988</v>
      </c>
      <c r="C101" s="641">
        <f>IF(C83=0,0,C75/C83)</f>
        <v>71087.3621090448</v>
      </c>
      <c r="D101" s="641">
        <f>IF(D83=0,0,D75/D83)</f>
        <v>72799.571966376156</v>
      </c>
      <c r="E101" s="641">
        <f>IF(E83=0,0,E75/E83)</f>
        <v>74541.655412318403</v>
      </c>
    </row>
    <row r="102" spans="1:5" ht="26.1" customHeight="1" x14ac:dyDescent="0.25">
      <c r="A102" s="639">
        <v>2</v>
      </c>
      <c r="B102" s="640" t="s">
        <v>989</v>
      </c>
      <c r="C102" s="658">
        <f>IF(C83=0,0,C76/C83)</f>
        <v>21105.30589602705</v>
      </c>
      <c r="D102" s="658">
        <f>IF(D83=0,0,D76/D83)</f>
        <v>21516.895982672373</v>
      </c>
      <c r="E102" s="658">
        <f>IF(E83=0,0,E76/E83)</f>
        <v>21442.340392879069</v>
      </c>
    </row>
    <row r="103" spans="1:5" ht="26.1" customHeight="1" x14ac:dyDescent="0.25">
      <c r="A103" s="650">
        <v>3</v>
      </c>
      <c r="B103" s="651" t="s">
        <v>987</v>
      </c>
      <c r="C103" s="654">
        <f>+C101+C102</f>
        <v>92192.668005071842</v>
      </c>
      <c r="D103" s="654">
        <f>+D101+D102</f>
        <v>94316.467949048529</v>
      </c>
      <c r="E103" s="654">
        <f>+E101+E102</f>
        <v>95983.995805197468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990</v>
      </c>
      <c r="B107" s="634" t="s">
        <v>991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992</v>
      </c>
      <c r="C108" s="641">
        <f>IF(C19=0,0,C77/C19)</f>
        <v>2431.7147475648335</v>
      </c>
      <c r="D108" s="641">
        <f>IF(D19=0,0,D77/D19)</f>
        <v>2468.73819551308</v>
      </c>
      <c r="E108" s="641">
        <f>IF(E19=0,0,E77/E19)</f>
        <v>2659.2238300405338</v>
      </c>
    </row>
    <row r="109" spans="1:5" ht="26.1" customHeight="1" x14ac:dyDescent="0.25">
      <c r="A109" s="639">
        <v>2</v>
      </c>
      <c r="B109" s="640" t="s">
        <v>993</v>
      </c>
      <c r="C109" s="641">
        <f>IF(C20=0,0,C77/C20)</f>
        <v>11284.420719089498</v>
      </c>
      <c r="D109" s="641">
        <f>IF(D20=0,0,D77/D20)</f>
        <v>11931.69774269311</v>
      </c>
      <c r="E109" s="641">
        <f>IF(E20=0,0,E77/E20)</f>
        <v>12565.598379319583</v>
      </c>
    </row>
    <row r="110" spans="1:5" ht="26.1" customHeight="1" x14ac:dyDescent="0.25">
      <c r="A110" s="639">
        <v>3</v>
      </c>
      <c r="B110" s="640" t="s">
        <v>994</v>
      </c>
      <c r="C110" s="641">
        <f>IF(C22=0,0,C77/C22)</f>
        <v>1080.3516442681544</v>
      </c>
      <c r="D110" s="641">
        <f>IF(D22=0,0,D77/D22)</f>
        <v>1080.1622746229707</v>
      </c>
      <c r="E110" s="641">
        <f>IF(E22=0,0,E77/E22)</f>
        <v>1116.5319164295122</v>
      </c>
    </row>
    <row r="111" spans="1:5" ht="26.1" customHeight="1" x14ac:dyDescent="0.25">
      <c r="A111" s="639">
        <v>4</v>
      </c>
      <c r="B111" s="640" t="s">
        <v>995</v>
      </c>
      <c r="C111" s="641">
        <f>IF(C23=0,0,C77/C23)</f>
        <v>5013.3933228354254</v>
      </c>
      <c r="D111" s="641">
        <f>IF(D23=0,0,D77/D23)</f>
        <v>5220.5494277543667</v>
      </c>
      <c r="E111" s="641">
        <f>IF(E23=0,0,E77/E23)</f>
        <v>5275.934835215211</v>
      </c>
    </row>
    <row r="112" spans="1:5" ht="26.1" customHeight="1" x14ac:dyDescent="0.25">
      <c r="A112" s="639">
        <v>5</v>
      </c>
      <c r="B112" s="640" t="s">
        <v>996</v>
      </c>
      <c r="C112" s="641">
        <f>IF(C29=0,0,C77/C29)</f>
        <v>912.06670290951126</v>
      </c>
      <c r="D112" s="641">
        <f>IF(D29=0,0,D77/D29)</f>
        <v>890.63405729805152</v>
      </c>
      <c r="E112" s="641">
        <f>IF(E29=0,0,E77/E29)</f>
        <v>915.34087486346687</v>
      </c>
    </row>
    <row r="113" spans="1:7" ht="25.5" customHeight="1" x14ac:dyDescent="0.25">
      <c r="A113" s="639">
        <v>6</v>
      </c>
      <c r="B113" s="640" t="s">
        <v>997</v>
      </c>
      <c r="C113" s="641">
        <f>IF(C30=0,0,C77/C30)</f>
        <v>4232.4637006912462</v>
      </c>
      <c r="D113" s="641">
        <f>IF(D30=0,0,D77/D30)</f>
        <v>4304.5375934730073</v>
      </c>
      <c r="E113" s="641">
        <f>IF(E30=0,0,E77/E30)</f>
        <v>4325.2492264007833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FILING&amp;R&amp;12LAWRENCE AND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661160918</v>
      </c>
      <c r="D12" s="51">
        <v>704064528</v>
      </c>
      <c r="E12" s="51">
        <f t="shared" ref="E12:E19" si="0">D12-C12</f>
        <v>42903610</v>
      </c>
      <c r="F12" s="70">
        <f t="shared" ref="F12:F19" si="1">IF(C12=0,0,E12/C12)</f>
        <v>6.4891328014037269E-2</v>
      </c>
    </row>
    <row r="13" spans="1:8" ht="23.1" customHeight="1" x14ac:dyDescent="0.2">
      <c r="A13" s="25">
        <v>2</v>
      </c>
      <c r="B13" s="48" t="s">
        <v>72</v>
      </c>
      <c r="C13" s="51">
        <v>337906139</v>
      </c>
      <c r="D13" s="51">
        <v>377264487</v>
      </c>
      <c r="E13" s="51">
        <f t="shared" si="0"/>
        <v>39358348</v>
      </c>
      <c r="F13" s="70">
        <f t="shared" si="1"/>
        <v>0.11647716172448705</v>
      </c>
    </row>
    <row r="14" spans="1:8" ht="23.1" customHeight="1" x14ac:dyDescent="0.2">
      <c r="A14" s="25">
        <v>3</v>
      </c>
      <c r="B14" s="48" t="s">
        <v>73</v>
      </c>
      <c r="C14" s="51">
        <v>6368501</v>
      </c>
      <c r="D14" s="51">
        <v>5735971</v>
      </c>
      <c r="E14" s="51">
        <f t="shared" si="0"/>
        <v>-632530</v>
      </c>
      <c r="F14" s="70">
        <f t="shared" si="1"/>
        <v>-9.9321645705951839E-2</v>
      </c>
    </row>
    <row r="15" spans="1:8" ht="23.1" customHeight="1" x14ac:dyDescent="0.2">
      <c r="A15" s="25">
        <v>4</v>
      </c>
      <c r="B15" s="48" t="s">
        <v>74</v>
      </c>
      <c r="C15" s="51">
        <v>-1926932</v>
      </c>
      <c r="D15" s="51">
        <v>-2579127</v>
      </c>
      <c r="E15" s="51">
        <f t="shared" si="0"/>
        <v>-652195</v>
      </c>
      <c r="F15" s="70">
        <f t="shared" si="1"/>
        <v>0.33846290372467736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318813210</v>
      </c>
      <c r="D16" s="27">
        <f>D12-D13-D14-D15</f>
        <v>323643197</v>
      </c>
      <c r="E16" s="27">
        <f t="shared" si="0"/>
        <v>4829987</v>
      </c>
      <c r="F16" s="28">
        <f t="shared" si="1"/>
        <v>1.5149896078647432E-2</v>
      </c>
    </row>
    <row r="17" spans="1:7" ht="23.1" customHeight="1" x14ac:dyDescent="0.2">
      <c r="A17" s="25">
        <v>5</v>
      </c>
      <c r="B17" s="48" t="s">
        <v>76</v>
      </c>
      <c r="C17" s="51">
        <v>15662907</v>
      </c>
      <c r="D17" s="51">
        <v>15433709</v>
      </c>
      <c r="E17" s="51">
        <f t="shared" si="0"/>
        <v>-229198</v>
      </c>
      <c r="F17" s="70">
        <f t="shared" si="1"/>
        <v>-1.4633171224217829E-2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394829</v>
      </c>
      <c r="D18" s="51">
        <v>449575</v>
      </c>
      <c r="E18" s="51">
        <f t="shared" si="0"/>
        <v>54746</v>
      </c>
      <c r="F18" s="70">
        <f t="shared" si="1"/>
        <v>0.13865749476355588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334870946</v>
      </c>
      <c r="D19" s="27">
        <f>SUM(D16:D18)</f>
        <v>339526481</v>
      </c>
      <c r="E19" s="27">
        <f t="shared" si="0"/>
        <v>4655535</v>
      </c>
      <c r="F19" s="28">
        <f t="shared" si="1"/>
        <v>1.3902475134405958E-2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141165650</v>
      </c>
      <c r="D22" s="51">
        <v>145714028</v>
      </c>
      <c r="E22" s="51">
        <f t="shared" ref="E22:E31" si="2">D22-C22</f>
        <v>4548378</v>
      </c>
      <c r="F22" s="70">
        <f t="shared" ref="F22:F31" si="3">IF(C22=0,0,E22/C22)</f>
        <v>3.2220147040020006E-2</v>
      </c>
    </row>
    <row r="23" spans="1:7" ht="23.1" customHeight="1" x14ac:dyDescent="0.2">
      <c r="A23" s="25">
        <v>2</v>
      </c>
      <c r="B23" s="48" t="s">
        <v>81</v>
      </c>
      <c r="C23" s="51">
        <v>41723413</v>
      </c>
      <c r="D23" s="51">
        <v>41915487</v>
      </c>
      <c r="E23" s="51">
        <f t="shared" si="2"/>
        <v>192074</v>
      </c>
      <c r="F23" s="70">
        <f t="shared" si="3"/>
        <v>4.6035064293517888E-3</v>
      </c>
    </row>
    <row r="24" spans="1:7" ht="23.1" customHeight="1" x14ac:dyDescent="0.2">
      <c r="A24" s="25">
        <v>3</v>
      </c>
      <c r="B24" s="48" t="s">
        <v>82</v>
      </c>
      <c r="C24" s="51">
        <v>1676732</v>
      </c>
      <c r="D24" s="51">
        <v>0</v>
      </c>
      <c r="E24" s="51">
        <f t="shared" si="2"/>
        <v>-1676732</v>
      </c>
      <c r="F24" s="70">
        <f t="shared" si="3"/>
        <v>-1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39118046</v>
      </c>
      <c r="D25" s="51">
        <v>38072467</v>
      </c>
      <c r="E25" s="51">
        <f t="shared" si="2"/>
        <v>-1045579</v>
      </c>
      <c r="F25" s="70">
        <f t="shared" si="3"/>
        <v>-2.6728814624329651E-2</v>
      </c>
    </row>
    <row r="26" spans="1:7" ht="23.1" customHeight="1" x14ac:dyDescent="0.2">
      <c r="A26" s="25">
        <v>5</v>
      </c>
      <c r="B26" s="48" t="s">
        <v>84</v>
      </c>
      <c r="C26" s="51">
        <v>17199558</v>
      </c>
      <c r="D26" s="51">
        <v>18825589</v>
      </c>
      <c r="E26" s="51">
        <f t="shared" si="2"/>
        <v>1626031</v>
      </c>
      <c r="F26" s="70">
        <f t="shared" si="3"/>
        <v>9.4539115481921107E-2</v>
      </c>
    </row>
    <row r="27" spans="1:7" ht="23.1" customHeight="1" x14ac:dyDescent="0.2">
      <c r="A27" s="25">
        <v>6</v>
      </c>
      <c r="B27" s="48" t="s">
        <v>85</v>
      </c>
      <c r="C27" s="51">
        <v>13865211</v>
      </c>
      <c r="D27" s="51">
        <v>11930619</v>
      </c>
      <c r="E27" s="51">
        <f t="shared" si="2"/>
        <v>-1934592</v>
      </c>
      <c r="F27" s="70">
        <f t="shared" si="3"/>
        <v>-0.13952849329159145</v>
      </c>
    </row>
    <row r="28" spans="1:7" ht="23.1" customHeight="1" x14ac:dyDescent="0.2">
      <c r="A28" s="25">
        <v>7</v>
      </c>
      <c r="B28" s="48" t="s">
        <v>86</v>
      </c>
      <c r="C28" s="51">
        <v>2212177</v>
      </c>
      <c r="D28" s="51">
        <v>2315992</v>
      </c>
      <c r="E28" s="51">
        <f t="shared" si="2"/>
        <v>103815</v>
      </c>
      <c r="F28" s="70">
        <f t="shared" si="3"/>
        <v>4.6928884985243044E-2</v>
      </c>
    </row>
    <row r="29" spans="1:7" ht="23.1" customHeight="1" x14ac:dyDescent="0.2">
      <c r="A29" s="25">
        <v>8</v>
      </c>
      <c r="B29" s="48" t="s">
        <v>87</v>
      </c>
      <c r="C29" s="51">
        <v>3954496</v>
      </c>
      <c r="D29" s="51">
        <v>4267471</v>
      </c>
      <c r="E29" s="51">
        <f t="shared" si="2"/>
        <v>312975</v>
      </c>
      <c r="F29" s="70">
        <f t="shared" si="3"/>
        <v>7.9144093204292026E-2</v>
      </c>
    </row>
    <row r="30" spans="1:7" ht="23.1" customHeight="1" x14ac:dyDescent="0.2">
      <c r="A30" s="25">
        <v>9</v>
      </c>
      <c r="B30" s="48" t="s">
        <v>88</v>
      </c>
      <c r="C30" s="51">
        <v>51415826</v>
      </c>
      <c r="D30" s="51">
        <v>55153063</v>
      </c>
      <c r="E30" s="51">
        <f t="shared" si="2"/>
        <v>3737237</v>
      </c>
      <c r="F30" s="70">
        <f t="shared" si="3"/>
        <v>7.268651095870754E-2</v>
      </c>
    </row>
    <row r="31" spans="1:7" ht="23.1" customHeight="1" x14ac:dyDescent="0.25">
      <c r="A31" s="29"/>
      <c r="B31" s="71" t="s">
        <v>89</v>
      </c>
      <c r="C31" s="27">
        <f>SUM(C22:C30)</f>
        <v>312331109</v>
      </c>
      <c r="D31" s="27">
        <f>SUM(D22:D30)</f>
        <v>318194716</v>
      </c>
      <c r="E31" s="27">
        <f t="shared" si="2"/>
        <v>5863607</v>
      </c>
      <c r="F31" s="28">
        <f t="shared" si="3"/>
        <v>1.877368866256611E-2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22539837</v>
      </c>
      <c r="D33" s="27">
        <f>+D19-D31</f>
        <v>21331765</v>
      </c>
      <c r="E33" s="27">
        <f>D33-C33</f>
        <v>-1208072</v>
      </c>
      <c r="F33" s="28">
        <f>IF(C33=0,0,E33/C33)</f>
        <v>-5.359719327162836E-2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4137772</v>
      </c>
      <c r="D36" s="51">
        <v>4584564</v>
      </c>
      <c r="E36" s="51">
        <f>D36-C36</f>
        <v>446792</v>
      </c>
      <c r="F36" s="70">
        <f>IF(C36=0,0,E36/C36)</f>
        <v>0.107978883321749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4137772</v>
      </c>
      <c r="D39" s="27">
        <f>SUM(D36:D38)</f>
        <v>4584564</v>
      </c>
      <c r="E39" s="27">
        <f>D39-C39</f>
        <v>446792</v>
      </c>
      <c r="F39" s="28">
        <f>IF(C39=0,0,E39/C39)</f>
        <v>0.107978883321749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26677609</v>
      </c>
      <c r="D41" s="27">
        <f>D33+D39</f>
        <v>25916329</v>
      </c>
      <c r="E41" s="27">
        <f>D41-C41</f>
        <v>-761280</v>
      </c>
      <c r="F41" s="28">
        <f>IF(C41=0,0,E41/C41)</f>
        <v>-2.8536290489901101E-2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26677609</v>
      </c>
      <c r="D48" s="27">
        <f>D41+D46</f>
        <v>25916329</v>
      </c>
      <c r="E48" s="27">
        <f>D48-C48</f>
        <v>-761280</v>
      </c>
      <c r="F48" s="28">
        <f>IF(C48=0,0,E48/C48)</f>
        <v>-2.8536290489901101E-2</v>
      </c>
    </row>
    <row r="49" spans="1:6" ht="23.1" customHeight="1" x14ac:dyDescent="0.2">
      <c r="A49" s="44"/>
      <c r="B49" s="48" t="s">
        <v>102</v>
      </c>
      <c r="C49" s="51">
        <v>2775000</v>
      </c>
      <c r="D49" s="51">
        <v>2915000</v>
      </c>
      <c r="E49" s="51">
        <f>D49-C49</f>
        <v>140000</v>
      </c>
      <c r="F49" s="70">
        <f>IF(C49=0,0,E49/C49)</f>
        <v>5.0450450450450449E-2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FILING&amp;RLAWRENCE AND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139616545</v>
      </c>
      <c r="D14" s="97">
        <v>137173465</v>
      </c>
      <c r="E14" s="97">
        <f t="shared" ref="E14:E25" si="0">D14-C14</f>
        <v>-2443080</v>
      </c>
      <c r="F14" s="98">
        <f t="shared" ref="F14:F25" si="1">IF(C14=0,0,E14/C14)</f>
        <v>-1.7498499192914421E-2</v>
      </c>
    </row>
    <row r="15" spans="1:6" ht="18" customHeight="1" x14ac:dyDescent="0.25">
      <c r="A15" s="99">
        <v>2</v>
      </c>
      <c r="B15" s="100" t="s">
        <v>113</v>
      </c>
      <c r="C15" s="97">
        <v>16223043</v>
      </c>
      <c r="D15" s="97">
        <v>19510364</v>
      </c>
      <c r="E15" s="97">
        <f t="shared" si="0"/>
        <v>3287321</v>
      </c>
      <c r="F15" s="98">
        <f t="shared" si="1"/>
        <v>0.20263282295436189</v>
      </c>
    </row>
    <row r="16" spans="1:6" ht="18" customHeight="1" x14ac:dyDescent="0.25">
      <c r="A16" s="99">
        <v>3</v>
      </c>
      <c r="B16" s="100" t="s">
        <v>114</v>
      </c>
      <c r="C16" s="97">
        <v>29897324</v>
      </c>
      <c r="D16" s="97">
        <v>44148844</v>
      </c>
      <c r="E16" s="97">
        <f t="shared" si="0"/>
        <v>14251520</v>
      </c>
      <c r="F16" s="98">
        <f t="shared" si="1"/>
        <v>0.47668212713619451</v>
      </c>
    </row>
    <row r="17" spans="1:6" ht="18" customHeight="1" x14ac:dyDescent="0.25">
      <c r="A17" s="99">
        <v>4</v>
      </c>
      <c r="B17" s="100" t="s">
        <v>115</v>
      </c>
      <c r="C17" s="97">
        <v>18107484</v>
      </c>
      <c r="D17" s="97">
        <v>3723853</v>
      </c>
      <c r="E17" s="97">
        <f t="shared" si="0"/>
        <v>-14383631</v>
      </c>
      <c r="F17" s="98">
        <f t="shared" si="1"/>
        <v>-0.7943472986086858</v>
      </c>
    </row>
    <row r="18" spans="1:6" ht="18" customHeight="1" x14ac:dyDescent="0.25">
      <c r="A18" s="99">
        <v>5</v>
      </c>
      <c r="B18" s="100" t="s">
        <v>116</v>
      </c>
      <c r="C18" s="97">
        <v>12235130</v>
      </c>
      <c r="D18" s="97">
        <v>12748626</v>
      </c>
      <c r="E18" s="97">
        <f t="shared" si="0"/>
        <v>513496</v>
      </c>
      <c r="F18" s="98">
        <f t="shared" si="1"/>
        <v>4.1968986026302946E-2</v>
      </c>
    </row>
    <row r="19" spans="1:6" ht="18" customHeight="1" x14ac:dyDescent="0.25">
      <c r="A19" s="99">
        <v>6</v>
      </c>
      <c r="B19" s="100" t="s">
        <v>117</v>
      </c>
      <c r="C19" s="97">
        <v>7631501</v>
      </c>
      <c r="D19" s="97">
        <v>6512435</v>
      </c>
      <c r="E19" s="97">
        <f t="shared" si="0"/>
        <v>-1119066</v>
      </c>
      <c r="F19" s="98">
        <f t="shared" si="1"/>
        <v>-0.14663773221021659</v>
      </c>
    </row>
    <row r="20" spans="1:6" ht="18" customHeight="1" x14ac:dyDescent="0.25">
      <c r="A20" s="99">
        <v>7</v>
      </c>
      <c r="B20" s="100" t="s">
        <v>118</v>
      </c>
      <c r="C20" s="97">
        <v>60286502</v>
      </c>
      <c r="D20" s="97">
        <v>61812212</v>
      </c>
      <c r="E20" s="97">
        <f t="shared" si="0"/>
        <v>1525710</v>
      </c>
      <c r="F20" s="98">
        <f t="shared" si="1"/>
        <v>2.5307655103293272E-2</v>
      </c>
    </row>
    <row r="21" spans="1:6" ht="18" customHeight="1" x14ac:dyDescent="0.25">
      <c r="A21" s="99">
        <v>8</v>
      </c>
      <c r="B21" s="100" t="s">
        <v>119</v>
      </c>
      <c r="C21" s="97">
        <v>3200470</v>
      </c>
      <c r="D21" s="97">
        <v>3499229</v>
      </c>
      <c r="E21" s="97">
        <f t="shared" si="0"/>
        <v>298759</v>
      </c>
      <c r="F21" s="98">
        <f t="shared" si="1"/>
        <v>9.3348476942449077E-2</v>
      </c>
    </row>
    <row r="22" spans="1:6" ht="18" customHeight="1" x14ac:dyDescent="0.25">
      <c r="A22" s="99">
        <v>9</v>
      </c>
      <c r="B22" s="100" t="s">
        <v>120</v>
      </c>
      <c r="C22" s="97">
        <v>1105922</v>
      </c>
      <c r="D22" s="97">
        <v>935031</v>
      </c>
      <c r="E22" s="97">
        <f t="shared" si="0"/>
        <v>-170891</v>
      </c>
      <c r="F22" s="98">
        <f t="shared" si="1"/>
        <v>-0.15452355591081468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977901</v>
      </c>
      <c r="D24" s="97">
        <v>481545</v>
      </c>
      <c r="E24" s="97">
        <f t="shared" si="0"/>
        <v>-496356</v>
      </c>
      <c r="F24" s="98">
        <f t="shared" si="1"/>
        <v>-0.50757285246666073</v>
      </c>
    </row>
    <row r="25" spans="1:6" ht="18" customHeight="1" x14ac:dyDescent="0.25">
      <c r="A25" s="101"/>
      <c r="B25" s="102" t="s">
        <v>123</v>
      </c>
      <c r="C25" s="103">
        <f>SUM(C14:C24)</f>
        <v>289281822</v>
      </c>
      <c r="D25" s="103">
        <f>SUM(D14:D24)</f>
        <v>290545604</v>
      </c>
      <c r="E25" s="103">
        <f t="shared" si="0"/>
        <v>1263782</v>
      </c>
      <c r="F25" s="104">
        <f t="shared" si="1"/>
        <v>4.3686879156893581E-3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94348371</v>
      </c>
      <c r="D27" s="97">
        <v>106175439</v>
      </c>
      <c r="E27" s="97">
        <f t="shared" ref="E27:E38" si="2">D27-C27</f>
        <v>11827068</v>
      </c>
      <c r="F27" s="98">
        <f t="shared" ref="F27:F38" si="3">IF(C27=0,0,E27/C27)</f>
        <v>0.12535529627745243</v>
      </c>
    </row>
    <row r="28" spans="1:6" ht="18" customHeight="1" x14ac:dyDescent="0.25">
      <c r="A28" s="99">
        <v>2</v>
      </c>
      <c r="B28" s="100" t="s">
        <v>113</v>
      </c>
      <c r="C28" s="97">
        <v>13377904</v>
      </c>
      <c r="D28" s="97">
        <v>17762804</v>
      </c>
      <c r="E28" s="97">
        <f t="shared" si="2"/>
        <v>4384900</v>
      </c>
      <c r="F28" s="98">
        <f t="shared" si="3"/>
        <v>0.32777182434557761</v>
      </c>
    </row>
    <row r="29" spans="1:6" ht="18" customHeight="1" x14ac:dyDescent="0.25">
      <c r="A29" s="99">
        <v>3</v>
      </c>
      <c r="B29" s="100" t="s">
        <v>114</v>
      </c>
      <c r="C29" s="97">
        <v>27942466</v>
      </c>
      <c r="D29" s="97">
        <v>59277644</v>
      </c>
      <c r="E29" s="97">
        <f t="shared" si="2"/>
        <v>31335178</v>
      </c>
      <c r="F29" s="98">
        <f t="shared" si="3"/>
        <v>1.1214177732201589</v>
      </c>
    </row>
    <row r="30" spans="1:6" ht="18" customHeight="1" x14ac:dyDescent="0.25">
      <c r="A30" s="99">
        <v>4</v>
      </c>
      <c r="B30" s="100" t="s">
        <v>115</v>
      </c>
      <c r="C30" s="97">
        <v>32251602</v>
      </c>
      <c r="D30" s="97">
        <v>8370713</v>
      </c>
      <c r="E30" s="97">
        <f t="shared" si="2"/>
        <v>-23880889</v>
      </c>
      <c r="F30" s="98">
        <f t="shared" si="3"/>
        <v>-0.74045590045418519</v>
      </c>
    </row>
    <row r="31" spans="1:6" ht="18" customHeight="1" x14ac:dyDescent="0.25">
      <c r="A31" s="99">
        <v>5</v>
      </c>
      <c r="B31" s="100" t="s">
        <v>116</v>
      </c>
      <c r="C31" s="97">
        <v>23023949</v>
      </c>
      <c r="D31" s="97">
        <v>23215651</v>
      </c>
      <c r="E31" s="97">
        <f t="shared" si="2"/>
        <v>191702</v>
      </c>
      <c r="F31" s="98">
        <f t="shared" si="3"/>
        <v>8.3261998191535257E-3</v>
      </c>
    </row>
    <row r="32" spans="1:6" ht="18" customHeight="1" x14ac:dyDescent="0.25">
      <c r="A32" s="99">
        <v>6</v>
      </c>
      <c r="B32" s="100" t="s">
        <v>117</v>
      </c>
      <c r="C32" s="97">
        <v>17711987</v>
      </c>
      <c r="D32" s="97">
        <v>17713800</v>
      </c>
      <c r="E32" s="97">
        <f t="shared" si="2"/>
        <v>1813</v>
      </c>
      <c r="F32" s="98">
        <f t="shared" si="3"/>
        <v>1.0236005706192084E-4</v>
      </c>
    </row>
    <row r="33" spans="1:6" ht="18" customHeight="1" x14ac:dyDescent="0.25">
      <c r="A33" s="99">
        <v>7</v>
      </c>
      <c r="B33" s="100" t="s">
        <v>118</v>
      </c>
      <c r="C33" s="97">
        <v>144961817</v>
      </c>
      <c r="D33" s="97">
        <v>149295624</v>
      </c>
      <c r="E33" s="97">
        <f t="shared" si="2"/>
        <v>4333807</v>
      </c>
      <c r="F33" s="98">
        <f t="shared" si="3"/>
        <v>2.989619673434419E-2</v>
      </c>
    </row>
    <row r="34" spans="1:6" ht="18" customHeight="1" x14ac:dyDescent="0.25">
      <c r="A34" s="99">
        <v>8</v>
      </c>
      <c r="B34" s="100" t="s">
        <v>119</v>
      </c>
      <c r="C34" s="97">
        <v>6427127</v>
      </c>
      <c r="D34" s="97">
        <v>8411607</v>
      </c>
      <c r="E34" s="97">
        <f t="shared" si="2"/>
        <v>1984480</v>
      </c>
      <c r="F34" s="98">
        <f t="shared" si="3"/>
        <v>0.30876626523795159</v>
      </c>
    </row>
    <row r="35" spans="1:6" ht="18" customHeight="1" x14ac:dyDescent="0.25">
      <c r="A35" s="99">
        <v>9</v>
      </c>
      <c r="B35" s="100" t="s">
        <v>120</v>
      </c>
      <c r="C35" s="97">
        <v>10910851</v>
      </c>
      <c r="D35" s="97">
        <v>10178944</v>
      </c>
      <c r="E35" s="97">
        <f t="shared" si="2"/>
        <v>-731907</v>
      </c>
      <c r="F35" s="98">
        <f t="shared" si="3"/>
        <v>-6.7080652095789783E-2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923024</v>
      </c>
      <c r="D37" s="97">
        <v>1039368</v>
      </c>
      <c r="E37" s="97">
        <f t="shared" si="2"/>
        <v>116344</v>
      </c>
      <c r="F37" s="98">
        <f t="shared" si="3"/>
        <v>0.12604656000277351</v>
      </c>
    </row>
    <row r="38" spans="1:6" ht="18" customHeight="1" x14ac:dyDescent="0.25">
      <c r="A38" s="101"/>
      <c r="B38" s="102" t="s">
        <v>126</v>
      </c>
      <c r="C38" s="103">
        <f>SUM(C27:C37)</f>
        <v>371879098</v>
      </c>
      <c r="D38" s="103">
        <f>SUM(D27:D37)</f>
        <v>401441594</v>
      </c>
      <c r="E38" s="103">
        <f t="shared" si="2"/>
        <v>29562496</v>
      </c>
      <c r="F38" s="104">
        <f t="shared" si="3"/>
        <v>7.9494911542460495E-2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233964916</v>
      </c>
      <c r="D41" s="103">
        <f t="shared" si="4"/>
        <v>243348904</v>
      </c>
      <c r="E41" s="107">
        <f t="shared" ref="E41:E52" si="5">D41-C41</f>
        <v>9383988</v>
      </c>
      <c r="F41" s="108">
        <f t="shared" ref="F41:F52" si="6">IF(C41=0,0,E41/C41)</f>
        <v>4.010852635700303E-2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29600947</v>
      </c>
      <c r="D42" s="103">
        <f t="shared" si="4"/>
        <v>37273168</v>
      </c>
      <c r="E42" s="107">
        <f t="shared" si="5"/>
        <v>7672221</v>
      </c>
      <c r="F42" s="108">
        <f t="shared" si="6"/>
        <v>0.25918836312905802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57839790</v>
      </c>
      <c r="D43" s="103">
        <f t="shared" si="4"/>
        <v>103426488</v>
      </c>
      <c r="E43" s="107">
        <f t="shared" si="5"/>
        <v>45586698</v>
      </c>
      <c r="F43" s="108">
        <f t="shared" si="6"/>
        <v>0.78815462504272582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50359086</v>
      </c>
      <c r="D44" s="103">
        <f t="shared" si="4"/>
        <v>12094566</v>
      </c>
      <c r="E44" s="107">
        <f t="shared" si="5"/>
        <v>-38264520</v>
      </c>
      <c r="F44" s="108">
        <f t="shared" si="6"/>
        <v>-0.75983348863797884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35259079</v>
      </c>
      <c r="D45" s="103">
        <f t="shared" si="4"/>
        <v>35964277</v>
      </c>
      <c r="E45" s="107">
        <f t="shared" si="5"/>
        <v>705198</v>
      </c>
      <c r="F45" s="108">
        <f t="shared" si="6"/>
        <v>2.000046569565813E-2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25343488</v>
      </c>
      <c r="D46" s="103">
        <f t="shared" si="4"/>
        <v>24226235</v>
      </c>
      <c r="E46" s="107">
        <f t="shared" si="5"/>
        <v>-1117253</v>
      </c>
      <c r="F46" s="108">
        <f t="shared" si="6"/>
        <v>-4.4084421213054809E-2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205248319</v>
      </c>
      <c r="D47" s="103">
        <f t="shared" si="4"/>
        <v>211107836</v>
      </c>
      <c r="E47" s="107">
        <f t="shared" si="5"/>
        <v>5859517</v>
      </c>
      <c r="F47" s="108">
        <f t="shared" si="6"/>
        <v>2.8548428696266205E-2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9627597</v>
      </c>
      <c r="D48" s="103">
        <f t="shared" si="4"/>
        <v>11910836</v>
      </c>
      <c r="E48" s="107">
        <f t="shared" si="5"/>
        <v>2283239</v>
      </c>
      <c r="F48" s="108">
        <f t="shared" si="6"/>
        <v>0.23715564745803133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12016773</v>
      </c>
      <c r="D49" s="103">
        <f t="shared" si="4"/>
        <v>11113975</v>
      </c>
      <c r="E49" s="107">
        <f t="shared" si="5"/>
        <v>-902798</v>
      </c>
      <c r="F49" s="108">
        <f t="shared" si="6"/>
        <v>-7.5128156286217607E-2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1900925</v>
      </c>
      <c r="D51" s="103">
        <f t="shared" si="4"/>
        <v>1520913</v>
      </c>
      <c r="E51" s="107">
        <f t="shared" si="5"/>
        <v>-380012</v>
      </c>
      <c r="F51" s="108">
        <f t="shared" si="6"/>
        <v>-0.19990899167510554</v>
      </c>
    </row>
    <row r="52" spans="1:6" ht="18.75" customHeight="1" thickBot="1" x14ac:dyDescent="0.3">
      <c r="A52" s="109"/>
      <c r="B52" s="110" t="s">
        <v>128</v>
      </c>
      <c r="C52" s="111">
        <f>SUM(C41:C51)</f>
        <v>661160920</v>
      </c>
      <c r="D52" s="112">
        <f>SUM(D41:D51)</f>
        <v>691987198</v>
      </c>
      <c r="E52" s="111">
        <f t="shared" si="5"/>
        <v>30826278</v>
      </c>
      <c r="F52" s="113">
        <f t="shared" si="6"/>
        <v>4.6624470786930355E-2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62725256</v>
      </c>
      <c r="D57" s="97">
        <v>65798159</v>
      </c>
      <c r="E57" s="97">
        <f t="shared" ref="E57:E68" si="7">D57-C57</f>
        <v>3072903</v>
      </c>
      <c r="F57" s="98">
        <f t="shared" ref="F57:F68" si="8">IF(C57=0,0,E57/C57)</f>
        <v>4.8989883755914843E-2</v>
      </c>
    </row>
    <row r="58" spans="1:6" ht="18" customHeight="1" x14ac:dyDescent="0.25">
      <c r="A58" s="99">
        <v>2</v>
      </c>
      <c r="B58" s="100" t="s">
        <v>113</v>
      </c>
      <c r="C58" s="97">
        <v>6409937</v>
      </c>
      <c r="D58" s="97">
        <v>7828593</v>
      </c>
      <c r="E58" s="97">
        <f t="shared" si="7"/>
        <v>1418656</v>
      </c>
      <c r="F58" s="98">
        <f t="shared" si="8"/>
        <v>0.22132136400092545</v>
      </c>
    </row>
    <row r="59" spans="1:6" ht="18" customHeight="1" x14ac:dyDescent="0.25">
      <c r="A59" s="99">
        <v>3</v>
      </c>
      <c r="B59" s="100" t="s">
        <v>114</v>
      </c>
      <c r="C59" s="97">
        <v>12325734</v>
      </c>
      <c r="D59" s="97">
        <v>15056489</v>
      </c>
      <c r="E59" s="97">
        <f t="shared" si="7"/>
        <v>2730755</v>
      </c>
      <c r="F59" s="98">
        <f t="shared" si="8"/>
        <v>0.22154907772632446</v>
      </c>
    </row>
    <row r="60" spans="1:6" ht="18" customHeight="1" x14ac:dyDescent="0.25">
      <c r="A60" s="99">
        <v>4</v>
      </c>
      <c r="B60" s="100" t="s">
        <v>115</v>
      </c>
      <c r="C60" s="97">
        <v>6146377</v>
      </c>
      <c r="D60" s="97">
        <v>1053785</v>
      </c>
      <c r="E60" s="97">
        <f t="shared" si="7"/>
        <v>-5092592</v>
      </c>
      <c r="F60" s="98">
        <f t="shared" si="8"/>
        <v>-0.82855184444429619</v>
      </c>
    </row>
    <row r="61" spans="1:6" ht="18" customHeight="1" x14ac:dyDescent="0.25">
      <c r="A61" s="99">
        <v>5</v>
      </c>
      <c r="B61" s="100" t="s">
        <v>116</v>
      </c>
      <c r="C61" s="97">
        <v>4790269</v>
      </c>
      <c r="D61" s="97">
        <v>5510106</v>
      </c>
      <c r="E61" s="97">
        <f t="shared" si="7"/>
        <v>719837</v>
      </c>
      <c r="F61" s="98">
        <f t="shared" si="8"/>
        <v>0.15027068417243375</v>
      </c>
    </row>
    <row r="62" spans="1:6" ht="18" customHeight="1" x14ac:dyDescent="0.25">
      <c r="A62" s="99">
        <v>6</v>
      </c>
      <c r="B62" s="100" t="s">
        <v>117</v>
      </c>
      <c r="C62" s="97">
        <v>4710203</v>
      </c>
      <c r="D62" s="97">
        <v>1933177</v>
      </c>
      <c r="E62" s="97">
        <f t="shared" si="7"/>
        <v>-2777026</v>
      </c>
      <c r="F62" s="98">
        <f t="shared" si="8"/>
        <v>-0.58957671251111687</v>
      </c>
    </row>
    <row r="63" spans="1:6" ht="18" customHeight="1" x14ac:dyDescent="0.25">
      <c r="A63" s="99">
        <v>7</v>
      </c>
      <c r="B63" s="100" t="s">
        <v>118</v>
      </c>
      <c r="C63" s="97">
        <v>45443830</v>
      </c>
      <c r="D63" s="97">
        <v>47490126</v>
      </c>
      <c r="E63" s="97">
        <f t="shared" si="7"/>
        <v>2046296</v>
      </c>
      <c r="F63" s="98">
        <f t="shared" si="8"/>
        <v>4.5029127166438219E-2</v>
      </c>
    </row>
    <row r="64" spans="1:6" ht="18" customHeight="1" x14ac:dyDescent="0.25">
      <c r="A64" s="99">
        <v>8</v>
      </c>
      <c r="B64" s="100" t="s">
        <v>119</v>
      </c>
      <c r="C64" s="97">
        <v>2042341</v>
      </c>
      <c r="D64" s="97">
        <v>2437075</v>
      </c>
      <c r="E64" s="97">
        <f t="shared" si="7"/>
        <v>394734</v>
      </c>
      <c r="F64" s="98">
        <f t="shared" si="8"/>
        <v>0.19327526598153785</v>
      </c>
    </row>
    <row r="65" spans="1:6" ht="18" customHeight="1" x14ac:dyDescent="0.25">
      <c r="A65" s="99">
        <v>9</v>
      </c>
      <c r="B65" s="100" t="s">
        <v>120</v>
      </c>
      <c r="C65" s="97">
        <v>0</v>
      </c>
      <c r="D65" s="97">
        <v>0</v>
      </c>
      <c r="E65" s="97">
        <f t="shared" si="7"/>
        <v>0</v>
      </c>
      <c r="F65" s="98">
        <f t="shared" si="8"/>
        <v>0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131070</v>
      </c>
      <c r="D67" s="97">
        <v>143250</v>
      </c>
      <c r="E67" s="97">
        <f t="shared" si="7"/>
        <v>12180</v>
      </c>
      <c r="F67" s="98">
        <f t="shared" si="8"/>
        <v>9.2927443350881211E-2</v>
      </c>
    </row>
    <row r="68" spans="1:6" ht="18" customHeight="1" x14ac:dyDescent="0.25">
      <c r="A68" s="101"/>
      <c r="B68" s="102" t="s">
        <v>131</v>
      </c>
      <c r="C68" s="103">
        <f>SUM(C57:C67)</f>
        <v>144725017</v>
      </c>
      <c r="D68" s="103">
        <f>SUM(D57:D67)</f>
        <v>147250760</v>
      </c>
      <c r="E68" s="103">
        <f t="shared" si="7"/>
        <v>2525743</v>
      </c>
      <c r="F68" s="104">
        <f t="shared" si="8"/>
        <v>1.7452013842223283E-2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27174464</v>
      </c>
      <c r="D70" s="97">
        <v>28926489</v>
      </c>
      <c r="E70" s="97">
        <f t="shared" ref="E70:E81" si="9">D70-C70</f>
        <v>1752025</v>
      </c>
      <c r="F70" s="98">
        <f t="shared" ref="F70:F81" si="10">IF(C70=0,0,E70/C70)</f>
        <v>6.4473212792715992E-2</v>
      </c>
    </row>
    <row r="71" spans="1:6" ht="18" customHeight="1" x14ac:dyDescent="0.25">
      <c r="A71" s="99">
        <v>2</v>
      </c>
      <c r="B71" s="100" t="s">
        <v>113</v>
      </c>
      <c r="C71" s="97">
        <v>3651657</v>
      </c>
      <c r="D71" s="97">
        <v>4510821</v>
      </c>
      <c r="E71" s="97">
        <f t="shared" si="9"/>
        <v>859164</v>
      </c>
      <c r="F71" s="98">
        <f t="shared" si="10"/>
        <v>0.2352805863201281</v>
      </c>
    </row>
    <row r="72" spans="1:6" ht="18" customHeight="1" x14ac:dyDescent="0.25">
      <c r="A72" s="99">
        <v>3</v>
      </c>
      <c r="B72" s="100" t="s">
        <v>114</v>
      </c>
      <c r="C72" s="97">
        <v>8910228</v>
      </c>
      <c r="D72" s="97">
        <v>16329436</v>
      </c>
      <c r="E72" s="97">
        <f t="shared" si="9"/>
        <v>7419208</v>
      </c>
      <c r="F72" s="98">
        <f t="shared" si="10"/>
        <v>0.83266197004161957</v>
      </c>
    </row>
    <row r="73" spans="1:6" ht="18" customHeight="1" x14ac:dyDescent="0.25">
      <c r="A73" s="99">
        <v>4</v>
      </c>
      <c r="B73" s="100" t="s">
        <v>115</v>
      </c>
      <c r="C73" s="97">
        <v>10618765</v>
      </c>
      <c r="D73" s="97">
        <v>2560417</v>
      </c>
      <c r="E73" s="97">
        <f t="shared" si="9"/>
        <v>-8058348</v>
      </c>
      <c r="F73" s="98">
        <f t="shared" si="10"/>
        <v>-0.75887808045474214</v>
      </c>
    </row>
    <row r="74" spans="1:6" ht="18" customHeight="1" x14ac:dyDescent="0.25">
      <c r="A74" s="99">
        <v>5</v>
      </c>
      <c r="B74" s="100" t="s">
        <v>116</v>
      </c>
      <c r="C74" s="97">
        <v>8387614</v>
      </c>
      <c r="D74" s="97">
        <v>7041745</v>
      </c>
      <c r="E74" s="97">
        <f t="shared" si="9"/>
        <v>-1345869</v>
      </c>
      <c r="F74" s="98">
        <f t="shared" si="10"/>
        <v>-0.16045910076453207</v>
      </c>
    </row>
    <row r="75" spans="1:6" ht="18" customHeight="1" x14ac:dyDescent="0.25">
      <c r="A75" s="99">
        <v>6</v>
      </c>
      <c r="B75" s="100" t="s">
        <v>117</v>
      </c>
      <c r="C75" s="97">
        <v>10399743</v>
      </c>
      <c r="D75" s="97">
        <v>11343689</v>
      </c>
      <c r="E75" s="97">
        <f t="shared" si="9"/>
        <v>943946</v>
      </c>
      <c r="F75" s="98">
        <f t="shared" si="10"/>
        <v>9.0766281435993176E-2</v>
      </c>
    </row>
    <row r="76" spans="1:6" ht="18" customHeight="1" x14ac:dyDescent="0.25">
      <c r="A76" s="99">
        <v>7</v>
      </c>
      <c r="B76" s="100" t="s">
        <v>118</v>
      </c>
      <c r="C76" s="97">
        <v>84447092</v>
      </c>
      <c r="D76" s="97">
        <v>88263167</v>
      </c>
      <c r="E76" s="97">
        <f t="shared" si="9"/>
        <v>3816075</v>
      </c>
      <c r="F76" s="98">
        <f t="shared" si="10"/>
        <v>4.5188945049759677E-2</v>
      </c>
    </row>
    <row r="77" spans="1:6" ht="18" customHeight="1" x14ac:dyDescent="0.25">
      <c r="A77" s="99">
        <v>8</v>
      </c>
      <c r="B77" s="100" t="s">
        <v>119</v>
      </c>
      <c r="C77" s="97">
        <v>4251600</v>
      </c>
      <c r="D77" s="97">
        <v>5545889</v>
      </c>
      <c r="E77" s="97">
        <f t="shared" si="9"/>
        <v>1294289</v>
      </c>
      <c r="F77" s="98">
        <f t="shared" si="10"/>
        <v>0.30442398155988332</v>
      </c>
    </row>
    <row r="78" spans="1:6" ht="18" customHeight="1" x14ac:dyDescent="0.25">
      <c r="A78" s="99">
        <v>9</v>
      </c>
      <c r="B78" s="100" t="s">
        <v>120</v>
      </c>
      <c r="C78" s="97">
        <v>0</v>
      </c>
      <c r="D78" s="97">
        <v>0</v>
      </c>
      <c r="E78" s="97">
        <f t="shared" si="9"/>
        <v>0</v>
      </c>
      <c r="F78" s="98">
        <f t="shared" si="10"/>
        <v>0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454759</v>
      </c>
      <c r="D80" s="97">
        <v>268389</v>
      </c>
      <c r="E80" s="97">
        <f t="shared" si="9"/>
        <v>-186370</v>
      </c>
      <c r="F80" s="98">
        <f t="shared" si="10"/>
        <v>-0.40982146587533175</v>
      </c>
    </row>
    <row r="81" spans="1:6" ht="18" customHeight="1" x14ac:dyDescent="0.25">
      <c r="A81" s="101"/>
      <c r="B81" s="102" t="s">
        <v>133</v>
      </c>
      <c r="C81" s="103">
        <f>SUM(C70:C80)</f>
        <v>158295922</v>
      </c>
      <c r="D81" s="103">
        <f>SUM(D70:D80)</f>
        <v>164790042</v>
      </c>
      <c r="E81" s="103">
        <f t="shared" si="9"/>
        <v>6494120</v>
      </c>
      <c r="F81" s="104">
        <f t="shared" si="10"/>
        <v>4.1025188254691744E-2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89899720</v>
      </c>
      <c r="D84" s="103">
        <f t="shared" si="11"/>
        <v>94724648</v>
      </c>
      <c r="E84" s="103">
        <f t="shared" ref="E84:E95" si="12">D84-C84</f>
        <v>4824928</v>
      </c>
      <c r="F84" s="104">
        <f t="shared" ref="F84:F95" si="13">IF(C84=0,0,E84/C84)</f>
        <v>5.3670111542060417E-2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10061594</v>
      </c>
      <c r="D85" s="103">
        <f t="shared" si="11"/>
        <v>12339414</v>
      </c>
      <c r="E85" s="103">
        <f t="shared" si="12"/>
        <v>2277820</v>
      </c>
      <c r="F85" s="104">
        <f t="shared" si="13"/>
        <v>0.22638758828869462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21235962</v>
      </c>
      <c r="D86" s="103">
        <f t="shared" si="11"/>
        <v>31385925</v>
      </c>
      <c r="E86" s="103">
        <f t="shared" si="12"/>
        <v>10149963</v>
      </c>
      <c r="F86" s="104">
        <f t="shared" si="13"/>
        <v>0.4779610643492393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16765142</v>
      </c>
      <c r="D87" s="103">
        <f t="shared" si="11"/>
        <v>3614202</v>
      </c>
      <c r="E87" s="103">
        <f t="shared" si="12"/>
        <v>-13150940</v>
      </c>
      <c r="F87" s="104">
        <f t="shared" si="13"/>
        <v>-0.78442162911593594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13177883</v>
      </c>
      <c r="D88" s="103">
        <f t="shared" si="11"/>
        <v>12551851</v>
      </c>
      <c r="E88" s="103">
        <f t="shared" si="12"/>
        <v>-626032</v>
      </c>
      <c r="F88" s="104">
        <f t="shared" si="13"/>
        <v>-4.7506264853011668E-2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15109946</v>
      </c>
      <c r="D89" s="103">
        <f t="shared" si="11"/>
        <v>13276866</v>
      </c>
      <c r="E89" s="103">
        <f t="shared" si="12"/>
        <v>-1833080</v>
      </c>
      <c r="F89" s="104">
        <f t="shared" si="13"/>
        <v>-0.12131611853543355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129890922</v>
      </c>
      <c r="D90" s="103">
        <f t="shared" si="11"/>
        <v>135753293</v>
      </c>
      <c r="E90" s="103">
        <f t="shared" si="12"/>
        <v>5862371</v>
      </c>
      <c r="F90" s="104">
        <f t="shared" si="13"/>
        <v>4.5133030928828116E-2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6293941</v>
      </c>
      <c r="D91" s="103">
        <f t="shared" si="11"/>
        <v>7982964</v>
      </c>
      <c r="E91" s="103">
        <f t="shared" si="12"/>
        <v>1689023</v>
      </c>
      <c r="F91" s="104">
        <f t="shared" si="13"/>
        <v>0.26835698014963916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0</v>
      </c>
      <c r="D92" s="103">
        <f t="shared" si="11"/>
        <v>0</v>
      </c>
      <c r="E92" s="103">
        <f t="shared" si="12"/>
        <v>0</v>
      </c>
      <c r="F92" s="104">
        <f t="shared" si="13"/>
        <v>0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585829</v>
      </c>
      <c r="D94" s="103">
        <f t="shared" si="11"/>
        <v>411639</v>
      </c>
      <c r="E94" s="103">
        <f t="shared" si="12"/>
        <v>-174190</v>
      </c>
      <c r="F94" s="104">
        <f t="shared" si="13"/>
        <v>-0.2973393259807896</v>
      </c>
    </row>
    <row r="95" spans="1:6" ht="18.75" customHeight="1" thickBot="1" x14ac:dyDescent="0.3">
      <c r="A95" s="115"/>
      <c r="B95" s="116" t="s">
        <v>134</v>
      </c>
      <c r="C95" s="112">
        <f>SUM(C84:C94)</f>
        <v>303020939</v>
      </c>
      <c r="D95" s="112">
        <f>SUM(D84:D94)</f>
        <v>312040802</v>
      </c>
      <c r="E95" s="112">
        <f t="shared" si="12"/>
        <v>9019863</v>
      </c>
      <c r="F95" s="113">
        <f t="shared" si="13"/>
        <v>2.9766467722549036E-2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6253</v>
      </c>
      <c r="D100" s="117">
        <v>6066</v>
      </c>
      <c r="E100" s="117">
        <f t="shared" ref="E100:E111" si="14">D100-C100</f>
        <v>-187</v>
      </c>
      <c r="F100" s="98">
        <f t="shared" ref="F100:F111" si="15">IF(C100=0,0,E100/C100)</f>
        <v>-2.9905645290260675E-2</v>
      </c>
    </row>
    <row r="101" spans="1:6" ht="18" customHeight="1" x14ac:dyDescent="0.25">
      <c r="A101" s="99">
        <v>2</v>
      </c>
      <c r="B101" s="100" t="s">
        <v>113</v>
      </c>
      <c r="C101" s="117">
        <v>644</v>
      </c>
      <c r="D101" s="117">
        <v>763</v>
      </c>
      <c r="E101" s="117">
        <f t="shared" si="14"/>
        <v>119</v>
      </c>
      <c r="F101" s="98">
        <f t="shared" si="15"/>
        <v>0.18478260869565216</v>
      </c>
    </row>
    <row r="102" spans="1:6" ht="18" customHeight="1" x14ac:dyDescent="0.25">
      <c r="A102" s="99">
        <v>3</v>
      </c>
      <c r="B102" s="100" t="s">
        <v>114</v>
      </c>
      <c r="C102" s="117">
        <v>1630</v>
      </c>
      <c r="D102" s="117">
        <v>2764</v>
      </c>
      <c r="E102" s="117">
        <f t="shared" si="14"/>
        <v>1134</v>
      </c>
      <c r="F102" s="98">
        <f t="shared" si="15"/>
        <v>0.69570552147239262</v>
      </c>
    </row>
    <row r="103" spans="1:6" ht="18" customHeight="1" x14ac:dyDescent="0.25">
      <c r="A103" s="99">
        <v>4</v>
      </c>
      <c r="B103" s="100" t="s">
        <v>115</v>
      </c>
      <c r="C103" s="117">
        <v>1562</v>
      </c>
      <c r="D103" s="117">
        <v>264</v>
      </c>
      <c r="E103" s="117">
        <f t="shared" si="14"/>
        <v>-1298</v>
      </c>
      <c r="F103" s="98">
        <f t="shared" si="15"/>
        <v>-0.83098591549295775</v>
      </c>
    </row>
    <row r="104" spans="1:6" ht="18" customHeight="1" x14ac:dyDescent="0.25">
      <c r="A104" s="99">
        <v>5</v>
      </c>
      <c r="B104" s="100" t="s">
        <v>116</v>
      </c>
      <c r="C104" s="117">
        <v>890</v>
      </c>
      <c r="D104" s="117">
        <v>969</v>
      </c>
      <c r="E104" s="117">
        <f t="shared" si="14"/>
        <v>79</v>
      </c>
      <c r="F104" s="98">
        <f t="shared" si="15"/>
        <v>8.8764044943820231E-2</v>
      </c>
    </row>
    <row r="105" spans="1:6" ht="18" customHeight="1" x14ac:dyDescent="0.25">
      <c r="A105" s="99">
        <v>6</v>
      </c>
      <c r="B105" s="100" t="s">
        <v>117</v>
      </c>
      <c r="C105" s="117">
        <v>462</v>
      </c>
      <c r="D105" s="117">
        <v>435</v>
      </c>
      <c r="E105" s="117">
        <f t="shared" si="14"/>
        <v>-27</v>
      </c>
      <c r="F105" s="98">
        <f t="shared" si="15"/>
        <v>-5.844155844155844E-2</v>
      </c>
    </row>
    <row r="106" spans="1:6" ht="18" customHeight="1" x14ac:dyDescent="0.25">
      <c r="A106" s="99">
        <v>7</v>
      </c>
      <c r="B106" s="100" t="s">
        <v>118</v>
      </c>
      <c r="C106" s="117">
        <v>3636</v>
      </c>
      <c r="D106" s="117">
        <v>3460</v>
      </c>
      <c r="E106" s="117">
        <f t="shared" si="14"/>
        <v>-176</v>
      </c>
      <c r="F106" s="98">
        <f t="shared" si="15"/>
        <v>-4.8404840484048403E-2</v>
      </c>
    </row>
    <row r="107" spans="1:6" ht="18" customHeight="1" x14ac:dyDescent="0.25">
      <c r="A107" s="99">
        <v>8</v>
      </c>
      <c r="B107" s="100" t="s">
        <v>119</v>
      </c>
      <c r="C107" s="117">
        <v>105</v>
      </c>
      <c r="D107" s="117">
        <v>111</v>
      </c>
      <c r="E107" s="117">
        <f t="shared" si="14"/>
        <v>6</v>
      </c>
      <c r="F107" s="98">
        <f t="shared" si="15"/>
        <v>5.7142857142857141E-2</v>
      </c>
    </row>
    <row r="108" spans="1:6" ht="18" customHeight="1" x14ac:dyDescent="0.25">
      <c r="A108" s="99">
        <v>9</v>
      </c>
      <c r="B108" s="100" t="s">
        <v>120</v>
      </c>
      <c r="C108" s="117">
        <v>89</v>
      </c>
      <c r="D108" s="117">
        <v>69</v>
      </c>
      <c r="E108" s="117">
        <f t="shared" si="14"/>
        <v>-20</v>
      </c>
      <c r="F108" s="98">
        <f t="shared" si="15"/>
        <v>-0.2247191011235955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57</v>
      </c>
      <c r="D110" s="117">
        <v>31</v>
      </c>
      <c r="E110" s="117">
        <f t="shared" si="14"/>
        <v>-26</v>
      </c>
      <c r="F110" s="98">
        <f t="shared" si="15"/>
        <v>-0.45614035087719296</v>
      </c>
    </row>
    <row r="111" spans="1:6" ht="18" customHeight="1" x14ac:dyDescent="0.25">
      <c r="A111" s="101"/>
      <c r="B111" s="102" t="s">
        <v>138</v>
      </c>
      <c r="C111" s="118">
        <f>SUM(C100:C110)</f>
        <v>15328</v>
      </c>
      <c r="D111" s="118">
        <f>SUM(D100:D110)</f>
        <v>14932</v>
      </c>
      <c r="E111" s="118">
        <f t="shared" si="14"/>
        <v>-396</v>
      </c>
      <c r="F111" s="104">
        <f t="shared" si="15"/>
        <v>-2.583507306889353E-2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36505</v>
      </c>
      <c r="D113" s="117">
        <v>33701</v>
      </c>
      <c r="E113" s="117">
        <f t="shared" ref="E113:E124" si="16">D113-C113</f>
        <v>-2804</v>
      </c>
      <c r="F113" s="98">
        <f t="shared" ref="F113:F124" si="17">IF(C113=0,0,E113/C113)</f>
        <v>-7.6811395699219284E-2</v>
      </c>
    </row>
    <row r="114" spans="1:6" ht="18" customHeight="1" x14ac:dyDescent="0.25">
      <c r="A114" s="99">
        <v>2</v>
      </c>
      <c r="B114" s="100" t="s">
        <v>113</v>
      </c>
      <c r="C114" s="117">
        <v>3701</v>
      </c>
      <c r="D114" s="117">
        <v>4318</v>
      </c>
      <c r="E114" s="117">
        <f t="shared" si="16"/>
        <v>617</v>
      </c>
      <c r="F114" s="98">
        <f t="shared" si="17"/>
        <v>0.1667116995406647</v>
      </c>
    </row>
    <row r="115" spans="1:6" ht="18" customHeight="1" x14ac:dyDescent="0.25">
      <c r="A115" s="99">
        <v>3</v>
      </c>
      <c r="B115" s="100" t="s">
        <v>114</v>
      </c>
      <c r="C115" s="117">
        <v>8969</v>
      </c>
      <c r="D115" s="117">
        <v>12799</v>
      </c>
      <c r="E115" s="117">
        <f t="shared" si="16"/>
        <v>3830</v>
      </c>
      <c r="F115" s="98">
        <f t="shared" si="17"/>
        <v>0.42702642435054078</v>
      </c>
    </row>
    <row r="116" spans="1:6" ht="18" customHeight="1" x14ac:dyDescent="0.25">
      <c r="A116" s="99">
        <v>4</v>
      </c>
      <c r="B116" s="100" t="s">
        <v>115</v>
      </c>
      <c r="C116" s="117">
        <v>5120</v>
      </c>
      <c r="D116" s="117">
        <v>931</v>
      </c>
      <c r="E116" s="117">
        <f t="shared" si="16"/>
        <v>-4189</v>
      </c>
      <c r="F116" s="98">
        <f t="shared" si="17"/>
        <v>-0.81816406249999996</v>
      </c>
    </row>
    <row r="117" spans="1:6" ht="18" customHeight="1" x14ac:dyDescent="0.25">
      <c r="A117" s="99">
        <v>5</v>
      </c>
      <c r="B117" s="100" t="s">
        <v>116</v>
      </c>
      <c r="C117" s="117">
        <v>2946</v>
      </c>
      <c r="D117" s="117">
        <v>3191</v>
      </c>
      <c r="E117" s="117">
        <f t="shared" si="16"/>
        <v>245</v>
      </c>
      <c r="F117" s="98">
        <f t="shared" si="17"/>
        <v>8.3163611676849963E-2</v>
      </c>
    </row>
    <row r="118" spans="1:6" ht="18" customHeight="1" x14ac:dyDescent="0.25">
      <c r="A118" s="99">
        <v>6</v>
      </c>
      <c r="B118" s="100" t="s">
        <v>117</v>
      </c>
      <c r="C118" s="117">
        <v>1877</v>
      </c>
      <c r="D118" s="117">
        <v>1533</v>
      </c>
      <c r="E118" s="117">
        <f t="shared" si="16"/>
        <v>-344</v>
      </c>
      <c r="F118" s="98">
        <f t="shared" si="17"/>
        <v>-0.18327117741076185</v>
      </c>
    </row>
    <row r="119" spans="1:6" ht="18" customHeight="1" x14ac:dyDescent="0.25">
      <c r="A119" s="99">
        <v>7</v>
      </c>
      <c r="B119" s="100" t="s">
        <v>118</v>
      </c>
      <c r="C119" s="117">
        <v>13889</v>
      </c>
      <c r="D119" s="117">
        <v>13304</v>
      </c>
      <c r="E119" s="117">
        <f t="shared" si="16"/>
        <v>-585</v>
      </c>
      <c r="F119" s="98">
        <f t="shared" si="17"/>
        <v>-4.2119663042695661E-2</v>
      </c>
    </row>
    <row r="120" spans="1:6" ht="18" customHeight="1" x14ac:dyDescent="0.25">
      <c r="A120" s="99">
        <v>8</v>
      </c>
      <c r="B120" s="100" t="s">
        <v>119</v>
      </c>
      <c r="C120" s="117">
        <v>434</v>
      </c>
      <c r="D120" s="117">
        <v>426</v>
      </c>
      <c r="E120" s="117">
        <f t="shared" si="16"/>
        <v>-8</v>
      </c>
      <c r="F120" s="98">
        <f t="shared" si="17"/>
        <v>-1.8433179723502304E-2</v>
      </c>
    </row>
    <row r="121" spans="1:6" ht="18" customHeight="1" x14ac:dyDescent="0.25">
      <c r="A121" s="99">
        <v>9</v>
      </c>
      <c r="B121" s="100" t="s">
        <v>120</v>
      </c>
      <c r="C121" s="117">
        <v>334</v>
      </c>
      <c r="D121" s="117">
        <v>216</v>
      </c>
      <c r="E121" s="117">
        <f t="shared" si="16"/>
        <v>-118</v>
      </c>
      <c r="F121" s="98">
        <f t="shared" si="17"/>
        <v>-0.3532934131736527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307</v>
      </c>
      <c r="D123" s="117">
        <v>139</v>
      </c>
      <c r="E123" s="117">
        <f t="shared" si="16"/>
        <v>-168</v>
      </c>
      <c r="F123" s="98">
        <f t="shared" si="17"/>
        <v>-0.54723127035830621</v>
      </c>
    </row>
    <row r="124" spans="1:6" ht="18" customHeight="1" x14ac:dyDescent="0.25">
      <c r="A124" s="101"/>
      <c r="B124" s="102" t="s">
        <v>140</v>
      </c>
      <c r="C124" s="118">
        <f>SUM(C113:C123)</f>
        <v>74082</v>
      </c>
      <c r="D124" s="118">
        <f>SUM(D113:D123)</f>
        <v>70558</v>
      </c>
      <c r="E124" s="118">
        <f t="shared" si="16"/>
        <v>-3524</v>
      </c>
      <c r="F124" s="104">
        <f t="shared" si="17"/>
        <v>-4.7568910126616452E-2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139197</v>
      </c>
      <c r="D126" s="117">
        <v>126202</v>
      </c>
      <c r="E126" s="117">
        <f t="shared" ref="E126:E137" si="18">D126-C126</f>
        <v>-12995</v>
      </c>
      <c r="F126" s="98">
        <f t="shared" ref="F126:F137" si="19">IF(C126=0,0,E126/C126)</f>
        <v>-9.3356897059563071E-2</v>
      </c>
    </row>
    <row r="127" spans="1:6" ht="18" customHeight="1" x14ac:dyDescent="0.25">
      <c r="A127" s="99">
        <v>2</v>
      </c>
      <c r="B127" s="100" t="s">
        <v>113</v>
      </c>
      <c r="C127" s="117">
        <v>17301</v>
      </c>
      <c r="D127" s="117">
        <v>18901</v>
      </c>
      <c r="E127" s="117">
        <f t="shared" si="18"/>
        <v>1600</v>
      </c>
      <c r="F127" s="98">
        <f t="shared" si="19"/>
        <v>9.2480203456447599E-2</v>
      </c>
    </row>
    <row r="128" spans="1:6" ht="18" customHeight="1" x14ac:dyDescent="0.25">
      <c r="A128" s="99">
        <v>3</v>
      </c>
      <c r="B128" s="100" t="s">
        <v>114</v>
      </c>
      <c r="C128" s="117">
        <v>24922</v>
      </c>
      <c r="D128" s="117">
        <v>35110</v>
      </c>
      <c r="E128" s="117">
        <f t="shared" si="18"/>
        <v>10188</v>
      </c>
      <c r="F128" s="98">
        <f t="shared" si="19"/>
        <v>0.40879544177834842</v>
      </c>
    </row>
    <row r="129" spans="1:6" ht="18" customHeight="1" x14ac:dyDescent="0.25">
      <c r="A129" s="99">
        <v>4</v>
      </c>
      <c r="B129" s="100" t="s">
        <v>115</v>
      </c>
      <c r="C129" s="117">
        <v>37233</v>
      </c>
      <c r="D129" s="117">
        <v>5403</v>
      </c>
      <c r="E129" s="117">
        <f t="shared" si="18"/>
        <v>-31830</v>
      </c>
      <c r="F129" s="98">
        <f t="shared" si="19"/>
        <v>-0.85488679397308842</v>
      </c>
    </row>
    <row r="130" spans="1:6" ht="18" customHeight="1" x14ac:dyDescent="0.25">
      <c r="A130" s="99">
        <v>5</v>
      </c>
      <c r="B130" s="100" t="s">
        <v>116</v>
      </c>
      <c r="C130" s="117">
        <v>19268</v>
      </c>
      <c r="D130" s="117">
        <v>13182</v>
      </c>
      <c r="E130" s="117">
        <f t="shared" si="18"/>
        <v>-6086</v>
      </c>
      <c r="F130" s="98">
        <f t="shared" si="19"/>
        <v>-0.31586049408345446</v>
      </c>
    </row>
    <row r="131" spans="1:6" ht="18" customHeight="1" x14ac:dyDescent="0.25">
      <c r="A131" s="99">
        <v>6</v>
      </c>
      <c r="B131" s="100" t="s">
        <v>117</v>
      </c>
      <c r="C131" s="117">
        <v>31530</v>
      </c>
      <c r="D131" s="117">
        <v>58131</v>
      </c>
      <c r="E131" s="117">
        <f t="shared" si="18"/>
        <v>26601</v>
      </c>
      <c r="F131" s="98">
        <f t="shared" si="19"/>
        <v>0.8436726926736442</v>
      </c>
    </row>
    <row r="132" spans="1:6" ht="18" customHeight="1" x14ac:dyDescent="0.25">
      <c r="A132" s="99">
        <v>7</v>
      </c>
      <c r="B132" s="100" t="s">
        <v>118</v>
      </c>
      <c r="C132" s="117">
        <v>146619</v>
      </c>
      <c r="D132" s="117">
        <v>93730</v>
      </c>
      <c r="E132" s="117">
        <f t="shared" si="18"/>
        <v>-52889</v>
      </c>
      <c r="F132" s="98">
        <f t="shared" si="19"/>
        <v>-0.36072405349920544</v>
      </c>
    </row>
    <row r="133" spans="1:6" ht="18" customHeight="1" x14ac:dyDescent="0.25">
      <c r="A133" s="99">
        <v>8</v>
      </c>
      <c r="B133" s="100" t="s">
        <v>119</v>
      </c>
      <c r="C133" s="117">
        <v>4772</v>
      </c>
      <c r="D133" s="117">
        <v>4832</v>
      </c>
      <c r="E133" s="117">
        <f t="shared" si="18"/>
        <v>60</v>
      </c>
      <c r="F133" s="98">
        <f t="shared" si="19"/>
        <v>1.2573344509639563E-2</v>
      </c>
    </row>
    <row r="134" spans="1:6" ht="18" customHeight="1" x14ac:dyDescent="0.25">
      <c r="A134" s="99">
        <v>9</v>
      </c>
      <c r="B134" s="100" t="s">
        <v>120</v>
      </c>
      <c r="C134" s="117">
        <v>9380</v>
      </c>
      <c r="D134" s="117">
        <v>3307</v>
      </c>
      <c r="E134" s="117">
        <f t="shared" si="18"/>
        <v>-6073</v>
      </c>
      <c r="F134" s="98">
        <f t="shared" si="19"/>
        <v>-0.64744136460554369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2338</v>
      </c>
      <c r="D136" s="117">
        <v>933</v>
      </c>
      <c r="E136" s="117">
        <f t="shared" si="18"/>
        <v>-1405</v>
      </c>
      <c r="F136" s="98">
        <f t="shared" si="19"/>
        <v>-0.60094097519247225</v>
      </c>
    </row>
    <row r="137" spans="1:6" ht="18" customHeight="1" x14ac:dyDescent="0.25">
      <c r="A137" s="101"/>
      <c r="B137" s="102" t="s">
        <v>143</v>
      </c>
      <c r="C137" s="118">
        <f>SUM(C126:C136)</f>
        <v>432560</v>
      </c>
      <c r="D137" s="118">
        <f>SUM(D126:D136)</f>
        <v>359731</v>
      </c>
      <c r="E137" s="118">
        <f t="shared" si="18"/>
        <v>-72829</v>
      </c>
      <c r="F137" s="104">
        <f t="shared" si="19"/>
        <v>-0.16836739411873497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14240565</v>
      </c>
      <c r="D142" s="97">
        <v>15677778</v>
      </c>
      <c r="E142" s="97">
        <f t="shared" ref="E142:E153" si="20">D142-C142</f>
        <v>1437213</v>
      </c>
      <c r="F142" s="98">
        <f t="shared" ref="F142:F153" si="21">IF(C142=0,0,E142/C142)</f>
        <v>0.10092387486030224</v>
      </c>
    </row>
    <row r="143" spans="1:6" ht="18" customHeight="1" x14ac:dyDescent="0.25">
      <c r="A143" s="99">
        <v>2</v>
      </c>
      <c r="B143" s="100" t="s">
        <v>113</v>
      </c>
      <c r="C143" s="97">
        <v>1541452</v>
      </c>
      <c r="D143" s="97">
        <v>2085655</v>
      </c>
      <c r="E143" s="97">
        <f t="shared" si="20"/>
        <v>544203</v>
      </c>
      <c r="F143" s="98">
        <f t="shared" si="21"/>
        <v>0.35304569976878941</v>
      </c>
    </row>
    <row r="144" spans="1:6" ht="18" customHeight="1" x14ac:dyDescent="0.25">
      <c r="A144" s="99">
        <v>3</v>
      </c>
      <c r="B144" s="100" t="s">
        <v>114</v>
      </c>
      <c r="C144" s="97">
        <v>1107481</v>
      </c>
      <c r="D144" s="97">
        <v>23464022</v>
      </c>
      <c r="E144" s="97">
        <f t="shared" si="20"/>
        <v>22356541</v>
      </c>
      <c r="F144" s="98">
        <f t="shared" si="21"/>
        <v>20.186839322751361</v>
      </c>
    </row>
    <row r="145" spans="1:6" ht="18" customHeight="1" x14ac:dyDescent="0.25">
      <c r="A145" s="99">
        <v>4</v>
      </c>
      <c r="B145" s="100" t="s">
        <v>115</v>
      </c>
      <c r="C145" s="97">
        <v>14015762</v>
      </c>
      <c r="D145" s="97">
        <v>3286666</v>
      </c>
      <c r="E145" s="97">
        <f t="shared" si="20"/>
        <v>-10729096</v>
      </c>
      <c r="F145" s="98">
        <f t="shared" si="21"/>
        <v>-0.76550215393212295</v>
      </c>
    </row>
    <row r="146" spans="1:6" ht="18" customHeight="1" x14ac:dyDescent="0.25">
      <c r="A146" s="99">
        <v>5</v>
      </c>
      <c r="B146" s="100" t="s">
        <v>116</v>
      </c>
      <c r="C146" s="97">
        <v>7844029</v>
      </c>
      <c r="D146" s="97">
        <v>6772968</v>
      </c>
      <c r="E146" s="97">
        <f t="shared" si="20"/>
        <v>-1071061</v>
      </c>
      <c r="F146" s="98">
        <f t="shared" si="21"/>
        <v>-0.13654475270297955</v>
      </c>
    </row>
    <row r="147" spans="1:6" ht="18" customHeight="1" x14ac:dyDescent="0.25">
      <c r="A147" s="99">
        <v>6</v>
      </c>
      <c r="B147" s="100" t="s">
        <v>117</v>
      </c>
      <c r="C147" s="97">
        <v>4360919</v>
      </c>
      <c r="D147" s="97">
        <v>5848357</v>
      </c>
      <c r="E147" s="97">
        <f t="shared" si="20"/>
        <v>1487438</v>
      </c>
      <c r="F147" s="98">
        <f t="shared" si="21"/>
        <v>0.34108361104620377</v>
      </c>
    </row>
    <row r="148" spans="1:6" ht="18" customHeight="1" x14ac:dyDescent="0.25">
      <c r="A148" s="99">
        <v>7</v>
      </c>
      <c r="B148" s="100" t="s">
        <v>118</v>
      </c>
      <c r="C148" s="97">
        <v>22555514</v>
      </c>
      <c r="D148" s="97">
        <v>22206731</v>
      </c>
      <c r="E148" s="97">
        <f t="shared" si="20"/>
        <v>-348783</v>
      </c>
      <c r="F148" s="98">
        <f t="shared" si="21"/>
        <v>-1.546331420334735E-2</v>
      </c>
    </row>
    <row r="149" spans="1:6" ht="18" customHeight="1" x14ac:dyDescent="0.25">
      <c r="A149" s="99">
        <v>8</v>
      </c>
      <c r="B149" s="100" t="s">
        <v>119</v>
      </c>
      <c r="C149" s="97">
        <v>1136665</v>
      </c>
      <c r="D149" s="97">
        <v>1254884</v>
      </c>
      <c r="E149" s="97">
        <f t="shared" si="20"/>
        <v>118219</v>
      </c>
      <c r="F149" s="98">
        <f t="shared" si="21"/>
        <v>0.10400513783744551</v>
      </c>
    </row>
    <row r="150" spans="1:6" ht="18" customHeight="1" x14ac:dyDescent="0.25">
      <c r="A150" s="99">
        <v>9</v>
      </c>
      <c r="B150" s="100" t="s">
        <v>120</v>
      </c>
      <c r="C150" s="97">
        <v>6203173</v>
      </c>
      <c r="D150" s="97">
        <v>4821664</v>
      </c>
      <c r="E150" s="97">
        <f t="shared" si="20"/>
        <v>-1381509</v>
      </c>
      <c r="F150" s="98">
        <f t="shared" si="21"/>
        <v>-0.22271005499927216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1846612</v>
      </c>
      <c r="D152" s="97">
        <v>457753</v>
      </c>
      <c r="E152" s="97">
        <f t="shared" si="20"/>
        <v>-1388859</v>
      </c>
      <c r="F152" s="98">
        <f t="shared" si="21"/>
        <v>-0.75211197587798628</v>
      </c>
    </row>
    <row r="153" spans="1:6" ht="33.75" customHeight="1" x14ac:dyDescent="0.25">
      <c r="A153" s="101"/>
      <c r="B153" s="102" t="s">
        <v>147</v>
      </c>
      <c r="C153" s="103">
        <f>SUM(C142:C152)</f>
        <v>74852172</v>
      </c>
      <c r="D153" s="103">
        <f>SUM(D142:D152)</f>
        <v>85876478</v>
      </c>
      <c r="E153" s="103">
        <f t="shared" si="20"/>
        <v>11024306</v>
      </c>
      <c r="F153" s="104">
        <f t="shared" si="21"/>
        <v>0.14728104349463633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3268051</v>
      </c>
      <c r="D155" s="97">
        <v>3435848</v>
      </c>
      <c r="E155" s="97">
        <f t="shared" ref="E155:E166" si="22">D155-C155</f>
        <v>167797</v>
      </c>
      <c r="F155" s="98">
        <f t="shared" ref="F155:F166" si="23">IF(C155=0,0,E155/C155)</f>
        <v>5.1344669957720981E-2</v>
      </c>
    </row>
    <row r="156" spans="1:6" ht="18" customHeight="1" x14ac:dyDescent="0.25">
      <c r="A156" s="99">
        <v>2</v>
      </c>
      <c r="B156" s="100" t="s">
        <v>113</v>
      </c>
      <c r="C156" s="97">
        <v>371014</v>
      </c>
      <c r="D156" s="97">
        <v>499008</v>
      </c>
      <c r="E156" s="97">
        <f t="shared" si="22"/>
        <v>127994</v>
      </c>
      <c r="F156" s="98">
        <f t="shared" si="23"/>
        <v>0.34498428630725525</v>
      </c>
    </row>
    <row r="157" spans="1:6" ht="18" customHeight="1" x14ac:dyDescent="0.25">
      <c r="A157" s="99">
        <v>3</v>
      </c>
      <c r="B157" s="100" t="s">
        <v>114</v>
      </c>
      <c r="C157" s="97">
        <v>2907713</v>
      </c>
      <c r="D157" s="97">
        <v>5959757</v>
      </c>
      <c r="E157" s="97">
        <f t="shared" si="22"/>
        <v>3052044</v>
      </c>
      <c r="F157" s="98">
        <f t="shared" si="23"/>
        <v>1.0496372922637138</v>
      </c>
    </row>
    <row r="158" spans="1:6" ht="18" customHeight="1" x14ac:dyDescent="0.25">
      <c r="A158" s="99">
        <v>4</v>
      </c>
      <c r="B158" s="100" t="s">
        <v>115</v>
      </c>
      <c r="C158" s="97">
        <v>4391144</v>
      </c>
      <c r="D158" s="97">
        <v>979039</v>
      </c>
      <c r="E158" s="97">
        <f t="shared" si="22"/>
        <v>-3412105</v>
      </c>
      <c r="F158" s="98">
        <f t="shared" si="23"/>
        <v>-0.77704238348822086</v>
      </c>
    </row>
    <row r="159" spans="1:6" ht="18" customHeight="1" x14ac:dyDescent="0.25">
      <c r="A159" s="99">
        <v>5</v>
      </c>
      <c r="B159" s="100" t="s">
        <v>116</v>
      </c>
      <c r="C159" s="97">
        <v>2836864</v>
      </c>
      <c r="D159" s="97">
        <v>2190052</v>
      </c>
      <c r="E159" s="97">
        <f t="shared" si="22"/>
        <v>-646812</v>
      </c>
      <c r="F159" s="98">
        <f t="shared" si="23"/>
        <v>-0.22800247033343862</v>
      </c>
    </row>
    <row r="160" spans="1:6" ht="18" customHeight="1" x14ac:dyDescent="0.25">
      <c r="A160" s="99">
        <v>6</v>
      </c>
      <c r="B160" s="100" t="s">
        <v>117</v>
      </c>
      <c r="C160" s="97">
        <v>2979686</v>
      </c>
      <c r="D160" s="97">
        <v>3173166</v>
      </c>
      <c r="E160" s="97">
        <f t="shared" si="22"/>
        <v>193480</v>
      </c>
      <c r="F160" s="98">
        <f t="shared" si="23"/>
        <v>6.4933016431932764E-2</v>
      </c>
    </row>
    <row r="161" spans="1:6" ht="18" customHeight="1" x14ac:dyDescent="0.25">
      <c r="A161" s="99">
        <v>7</v>
      </c>
      <c r="B161" s="100" t="s">
        <v>118</v>
      </c>
      <c r="C161" s="97">
        <v>14362388</v>
      </c>
      <c r="D161" s="97">
        <v>13908639</v>
      </c>
      <c r="E161" s="97">
        <f t="shared" si="22"/>
        <v>-453749</v>
      </c>
      <c r="F161" s="98">
        <f t="shared" si="23"/>
        <v>-3.1592866033141563E-2</v>
      </c>
    </row>
    <row r="162" spans="1:6" ht="18" customHeight="1" x14ac:dyDescent="0.25">
      <c r="A162" s="99">
        <v>8</v>
      </c>
      <c r="B162" s="100" t="s">
        <v>119</v>
      </c>
      <c r="C162" s="97">
        <v>821566</v>
      </c>
      <c r="D162" s="97">
        <v>1033514</v>
      </c>
      <c r="E162" s="97">
        <f t="shared" si="22"/>
        <v>211948</v>
      </c>
      <c r="F162" s="98">
        <f t="shared" si="23"/>
        <v>0.25798049091612846</v>
      </c>
    </row>
    <row r="163" spans="1:6" ht="18" customHeight="1" x14ac:dyDescent="0.25">
      <c r="A163" s="99">
        <v>9</v>
      </c>
      <c r="B163" s="100" t="s">
        <v>120</v>
      </c>
      <c r="C163" s="97">
        <v>682245</v>
      </c>
      <c r="D163" s="97">
        <v>158407</v>
      </c>
      <c r="E163" s="97">
        <f t="shared" si="22"/>
        <v>-523838</v>
      </c>
      <c r="F163" s="98">
        <f t="shared" si="23"/>
        <v>-0.76781508109256935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403450</v>
      </c>
      <c r="D165" s="97">
        <v>100439</v>
      </c>
      <c r="E165" s="97">
        <f t="shared" si="22"/>
        <v>-303011</v>
      </c>
      <c r="F165" s="98">
        <f t="shared" si="23"/>
        <v>-0.75104969636881891</v>
      </c>
    </row>
    <row r="166" spans="1:6" ht="33.75" customHeight="1" x14ac:dyDescent="0.25">
      <c r="A166" s="101"/>
      <c r="B166" s="102" t="s">
        <v>149</v>
      </c>
      <c r="C166" s="103">
        <f>SUM(C155:C165)</f>
        <v>33024121</v>
      </c>
      <c r="D166" s="103">
        <f>SUM(D155:D165)</f>
        <v>31437869</v>
      </c>
      <c r="E166" s="103">
        <f t="shared" si="22"/>
        <v>-1586252</v>
      </c>
      <c r="F166" s="104">
        <f t="shared" si="23"/>
        <v>-4.8033133115034314E-2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10083</v>
      </c>
      <c r="D168" s="117">
        <v>11060</v>
      </c>
      <c r="E168" s="117">
        <f t="shared" ref="E168:E179" si="24">D168-C168</f>
        <v>977</v>
      </c>
      <c r="F168" s="98">
        <f t="shared" ref="F168:F179" si="25">IF(C168=0,0,E168/C168)</f>
        <v>9.6895765149261126E-2</v>
      </c>
    </row>
    <row r="169" spans="1:6" ht="18" customHeight="1" x14ac:dyDescent="0.25">
      <c r="A169" s="99">
        <v>2</v>
      </c>
      <c r="B169" s="100" t="s">
        <v>113</v>
      </c>
      <c r="C169" s="117">
        <v>985</v>
      </c>
      <c r="D169" s="117">
        <v>1331</v>
      </c>
      <c r="E169" s="117">
        <f t="shared" si="24"/>
        <v>346</v>
      </c>
      <c r="F169" s="98">
        <f t="shared" si="25"/>
        <v>0.35126903553299493</v>
      </c>
    </row>
    <row r="170" spans="1:6" ht="18" customHeight="1" x14ac:dyDescent="0.25">
      <c r="A170" s="99">
        <v>3</v>
      </c>
      <c r="B170" s="100" t="s">
        <v>114</v>
      </c>
      <c r="C170" s="117">
        <v>9382</v>
      </c>
      <c r="D170" s="117">
        <v>22829</v>
      </c>
      <c r="E170" s="117">
        <f t="shared" si="24"/>
        <v>13447</v>
      </c>
      <c r="F170" s="98">
        <f t="shared" si="25"/>
        <v>1.4332764868897889</v>
      </c>
    </row>
    <row r="171" spans="1:6" ht="18" customHeight="1" x14ac:dyDescent="0.25">
      <c r="A171" s="99">
        <v>4</v>
      </c>
      <c r="B171" s="100" t="s">
        <v>115</v>
      </c>
      <c r="C171" s="117">
        <v>14787</v>
      </c>
      <c r="D171" s="117">
        <v>3614</v>
      </c>
      <c r="E171" s="117">
        <f t="shared" si="24"/>
        <v>-11173</v>
      </c>
      <c r="F171" s="98">
        <f t="shared" si="25"/>
        <v>-0.75559613173733686</v>
      </c>
    </row>
    <row r="172" spans="1:6" ht="18" customHeight="1" x14ac:dyDescent="0.25">
      <c r="A172" s="99">
        <v>5</v>
      </c>
      <c r="B172" s="100" t="s">
        <v>116</v>
      </c>
      <c r="C172" s="117">
        <v>7016</v>
      </c>
      <c r="D172" s="117">
        <v>6443</v>
      </c>
      <c r="E172" s="117">
        <f t="shared" si="24"/>
        <v>-573</v>
      </c>
      <c r="F172" s="98">
        <f t="shared" si="25"/>
        <v>-8.1670467502850633E-2</v>
      </c>
    </row>
    <row r="173" spans="1:6" ht="18" customHeight="1" x14ac:dyDescent="0.25">
      <c r="A173" s="99">
        <v>6</v>
      </c>
      <c r="B173" s="100" t="s">
        <v>117</v>
      </c>
      <c r="C173" s="117">
        <v>3686</v>
      </c>
      <c r="D173" s="117">
        <v>5013</v>
      </c>
      <c r="E173" s="117">
        <f t="shared" si="24"/>
        <v>1327</v>
      </c>
      <c r="F173" s="98">
        <f t="shared" si="25"/>
        <v>0.36001085187194792</v>
      </c>
    </row>
    <row r="174" spans="1:6" ht="18" customHeight="1" x14ac:dyDescent="0.25">
      <c r="A174" s="99">
        <v>7</v>
      </c>
      <c r="B174" s="100" t="s">
        <v>118</v>
      </c>
      <c r="C174" s="117">
        <v>18534</v>
      </c>
      <c r="D174" s="117">
        <v>19143</v>
      </c>
      <c r="E174" s="117">
        <f t="shared" si="24"/>
        <v>609</v>
      </c>
      <c r="F174" s="98">
        <f t="shared" si="25"/>
        <v>3.2858530268695368E-2</v>
      </c>
    </row>
    <row r="175" spans="1:6" ht="18" customHeight="1" x14ac:dyDescent="0.25">
      <c r="A175" s="99">
        <v>8</v>
      </c>
      <c r="B175" s="100" t="s">
        <v>119</v>
      </c>
      <c r="C175" s="117">
        <v>1297</v>
      </c>
      <c r="D175" s="117">
        <v>1557</v>
      </c>
      <c r="E175" s="117">
        <f t="shared" si="24"/>
        <v>260</v>
      </c>
      <c r="F175" s="98">
        <f t="shared" si="25"/>
        <v>0.20046260601387819</v>
      </c>
    </row>
    <row r="176" spans="1:6" ht="18" customHeight="1" x14ac:dyDescent="0.25">
      <c r="A176" s="99">
        <v>9</v>
      </c>
      <c r="B176" s="100" t="s">
        <v>120</v>
      </c>
      <c r="C176" s="117">
        <v>5428</v>
      </c>
      <c r="D176" s="117">
        <v>4810</v>
      </c>
      <c r="E176" s="117">
        <f t="shared" si="24"/>
        <v>-618</v>
      </c>
      <c r="F176" s="98">
        <f t="shared" si="25"/>
        <v>-0.11385408990420044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1373</v>
      </c>
      <c r="D178" s="117">
        <v>340</v>
      </c>
      <c r="E178" s="117">
        <f t="shared" si="24"/>
        <v>-1033</v>
      </c>
      <c r="F178" s="98">
        <f t="shared" si="25"/>
        <v>-0.75236707938820102</v>
      </c>
    </row>
    <row r="179" spans="1:6" ht="33.75" customHeight="1" x14ac:dyDescent="0.25">
      <c r="A179" s="101"/>
      <c r="B179" s="102" t="s">
        <v>151</v>
      </c>
      <c r="C179" s="118">
        <f>SUM(C168:C178)</f>
        <v>72571</v>
      </c>
      <c r="D179" s="118">
        <f>SUM(D168:D178)</f>
        <v>76140</v>
      </c>
      <c r="E179" s="118">
        <f t="shared" si="24"/>
        <v>3569</v>
      </c>
      <c r="F179" s="104">
        <f t="shared" si="25"/>
        <v>4.9179424287938707E-2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/>
  <headerFooter>
    <oddHeader>&amp;LOFFICE OF HEALTH CARE ACCESS&amp;CTWELVE MONTHS ACTUAL FILING&amp;RLAWRENCE AND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48372889</v>
      </c>
      <c r="D15" s="146">
        <v>43204569</v>
      </c>
      <c r="E15" s="146">
        <f>+D15-C15</f>
        <v>-5168320</v>
      </c>
      <c r="F15" s="150">
        <f>IF(C15=0,0,E15/C15)</f>
        <v>-0.10684331878544612</v>
      </c>
    </row>
    <row r="16" spans="1:7" ht="15" customHeight="1" x14ac:dyDescent="0.2">
      <c r="A16" s="141">
        <v>2</v>
      </c>
      <c r="B16" s="149" t="s">
        <v>158</v>
      </c>
      <c r="C16" s="146">
        <v>2740700</v>
      </c>
      <c r="D16" s="146">
        <v>799526</v>
      </c>
      <c r="E16" s="146">
        <f>+D16-C16</f>
        <v>-1941174</v>
      </c>
      <c r="F16" s="150">
        <f>IF(C16=0,0,E16/C16)</f>
        <v>-0.7082767176268836</v>
      </c>
    </row>
    <row r="17" spans="1:7" ht="15" customHeight="1" x14ac:dyDescent="0.2">
      <c r="A17" s="141">
        <v>3</v>
      </c>
      <c r="B17" s="149" t="s">
        <v>159</v>
      </c>
      <c r="C17" s="146">
        <v>90052061</v>
      </c>
      <c r="D17" s="146">
        <v>101709933</v>
      </c>
      <c r="E17" s="146">
        <f>+D17-C17</f>
        <v>11657872</v>
      </c>
      <c r="F17" s="150">
        <f>IF(C17=0,0,E17/C17)</f>
        <v>0.12945702597523004</v>
      </c>
    </row>
    <row r="18" spans="1:7" ht="15.75" customHeight="1" x14ac:dyDescent="0.25">
      <c r="A18" s="141"/>
      <c r="B18" s="151" t="s">
        <v>160</v>
      </c>
      <c r="C18" s="147">
        <f>SUM(C15:C17)</f>
        <v>141165650</v>
      </c>
      <c r="D18" s="147">
        <f>SUM(D15:D17)</f>
        <v>145714028</v>
      </c>
      <c r="E18" s="147">
        <f>+D18-C18</f>
        <v>4548378</v>
      </c>
      <c r="F18" s="148">
        <f>IF(C18=0,0,E18/C18)</f>
        <v>3.2220147040020006E-2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14297260</v>
      </c>
      <c r="D21" s="146">
        <v>12428142</v>
      </c>
      <c r="E21" s="146">
        <f>+D21-C21</f>
        <v>-1869118</v>
      </c>
      <c r="F21" s="150">
        <f>IF(C21=0,0,E21/C21)</f>
        <v>-0.13073260191113542</v>
      </c>
    </row>
    <row r="22" spans="1:7" ht="15" customHeight="1" x14ac:dyDescent="0.2">
      <c r="A22" s="141">
        <v>2</v>
      </c>
      <c r="B22" s="149" t="s">
        <v>163</v>
      </c>
      <c r="C22" s="146">
        <v>810051</v>
      </c>
      <c r="D22" s="146">
        <v>229988</v>
      </c>
      <c r="E22" s="146">
        <f>+D22-C22</f>
        <v>-580063</v>
      </c>
      <c r="F22" s="150">
        <f>IF(C22=0,0,E22/C22)</f>
        <v>-0.71608207384473321</v>
      </c>
    </row>
    <row r="23" spans="1:7" ht="15" customHeight="1" x14ac:dyDescent="0.2">
      <c r="A23" s="141">
        <v>3</v>
      </c>
      <c r="B23" s="149" t="s">
        <v>164</v>
      </c>
      <c r="C23" s="146">
        <v>26616102</v>
      </c>
      <c r="D23" s="146">
        <v>29257357</v>
      </c>
      <c r="E23" s="146">
        <f>+D23-C23</f>
        <v>2641255</v>
      </c>
      <c r="F23" s="150">
        <f>IF(C23=0,0,E23/C23)</f>
        <v>9.9235229861983548E-2</v>
      </c>
    </row>
    <row r="24" spans="1:7" ht="15.75" customHeight="1" x14ac:dyDescent="0.25">
      <c r="A24" s="141"/>
      <c r="B24" s="151" t="s">
        <v>165</v>
      </c>
      <c r="C24" s="147">
        <f>SUM(C21:C23)</f>
        <v>41723413</v>
      </c>
      <c r="D24" s="147">
        <f>SUM(D21:D23)</f>
        <v>41915487</v>
      </c>
      <c r="E24" s="147">
        <f>+D24-C24</f>
        <v>192074</v>
      </c>
      <c r="F24" s="148">
        <f>IF(C24=0,0,E24/C24)</f>
        <v>4.6035064293517888E-3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288491</v>
      </c>
      <c r="D27" s="146">
        <v>387613</v>
      </c>
      <c r="E27" s="146">
        <f>+D27-C27</f>
        <v>99122</v>
      </c>
      <c r="F27" s="150">
        <f>IF(C27=0,0,E27/C27)</f>
        <v>0.34358784156178185</v>
      </c>
    </row>
    <row r="28" spans="1:7" ht="15" customHeight="1" x14ac:dyDescent="0.2">
      <c r="A28" s="141">
        <v>2</v>
      </c>
      <c r="B28" s="149" t="s">
        <v>168</v>
      </c>
      <c r="C28" s="146">
        <v>1676732</v>
      </c>
      <c r="D28" s="146">
        <v>0</v>
      </c>
      <c r="E28" s="146">
        <f>+D28-C28</f>
        <v>-1676732</v>
      </c>
      <c r="F28" s="150">
        <f>IF(C28=0,0,E28/C28)</f>
        <v>-1</v>
      </c>
    </row>
    <row r="29" spans="1:7" ht="15" customHeight="1" x14ac:dyDescent="0.2">
      <c r="A29" s="141">
        <v>3</v>
      </c>
      <c r="B29" s="149" t="s">
        <v>169</v>
      </c>
      <c r="C29" s="146">
        <v>4121629</v>
      </c>
      <c r="D29" s="146">
        <v>1921890</v>
      </c>
      <c r="E29" s="146">
        <f>+D29-C29</f>
        <v>-2199739</v>
      </c>
      <c r="F29" s="150">
        <f>IF(C29=0,0,E29/C29)</f>
        <v>-0.53370621179150279</v>
      </c>
    </row>
    <row r="30" spans="1:7" ht="15.75" customHeight="1" x14ac:dyDescent="0.25">
      <c r="A30" s="141"/>
      <c r="B30" s="151" t="s">
        <v>170</v>
      </c>
      <c r="C30" s="147">
        <f>SUM(C27:C29)</f>
        <v>6086852</v>
      </c>
      <c r="D30" s="147">
        <f>SUM(D27:D29)</f>
        <v>2309503</v>
      </c>
      <c r="E30" s="147">
        <f>+D30-C30</f>
        <v>-3777349</v>
      </c>
      <c r="F30" s="148">
        <f>IF(C30=0,0,E30/C30)</f>
        <v>-0.62057513473302783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28916037</v>
      </c>
      <c r="D33" s="146">
        <v>26953135</v>
      </c>
      <c r="E33" s="146">
        <f>+D33-C33</f>
        <v>-1962902</v>
      </c>
      <c r="F33" s="150">
        <f>IF(C33=0,0,E33/C33)</f>
        <v>-6.7882815338768582E-2</v>
      </c>
    </row>
    <row r="34" spans="1:7" ht="15" customHeight="1" x14ac:dyDescent="0.2">
      <c r="A34" s="141">
        <v>2</v>
      </c>
      <c r="B34" s="149" t="s">
        <v>174</v>
      </c>
      <c r="C34" s="146">
        <v>10202009</v>
      </c>
      <c r="D34" s="146">
        <v>11119332</v>
      </c>
      <c r="E34" s="146">
        <f>+D34-C34</f>
        <v>917323</v>
      </c>
      <c r="F34" s="150">
        <f>IF(C34=0,0,E34/C34)</f>
        <v>8.9915917541339166E-2</v>
      </c>
    </row>
    <row r="35" spans="1:7" ht="15.75" customHeight="1" x14ac:dyDescent="0.25">
      <c r="A35" s="141"/>
      <c r="B35" s="151" t="s">
        <v>175</v>
      </c>
      <c r="C35" s="147">
        <f>SUM(C33:C34)</f>
        <v>39118046</v>
      </c>
      <c r="D35" s="147">
        <f>SUM(D33:D34)</f>
        <v>38072467</v>
      </c>
      <c r="E35" s="147">
        <f>+D35-C35</f>
        <v>-1045579</v>
      </c>
      <c r="F35" s="148">
        <f>IF(C35=0,0,E35/C35)</f>
        <v>-2.6728814624329651E-2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3460991</v>
      </c>
      <c r="D38" s="146">
        <v>3410863</v>
      </c>
      <c r="E38" s="146">
        <f>+D38-C38</f>
        <v>-50128</v>
      </c>
      <c r="F38" s="150">
        <f>IF(C38=0,0,E38/C38)</f>
        <v>-1.4483712901882728E-2</v>
      </c>
    </row>
    <row r="39" spans="1:7" ht="15" customHeight="1" x14ac:dyDescent="0.2">
      <c r="A39" s="141">
        <v>2</v>
      </c>
      <c r="B39" s="149" t="s">
        <v>179</v>
      </c>
      <c r="C39" s="146">
        <v>12910100</v>
      </c>
      <c r="D39" s="146">
        <v>14440402</v>
      </c>
      <c r="E39" s="146">
        <f>+D39-C39</f>
        <v>1530302</v>
      </c>
      <c r="F39" s="150">
        <f>IF(C39=0,0,E39/C39)</f>
        <v>0.11853525534271617</v>
      </c>
    </row>
    <row r="40" spans="1:7" ht="15" customHeight="1" x14ac:dyDescent="0.2">
      <c r="A40" s="141">
        <v>3</v>
      </c>
      <c r="B40" s="149" t="s">
        <v>180</v>
      </c>
      <c r="C40" s="146">
        <v>828467</v>
      </c>
      <c r="D40" s="146">
        <v>974324</v>
      </c>
      <c r="E40" s="146">
        <f>+D40-C40</f>
        <v>145857</v>
      </c>
      <c r="F40" s="150">
        <f>IF(C40=0,0,E40/C40)</f>
        <v>0.17605649953468272</v>
      </c>
    </row>
    <row r="41" spans="1:7" ht="15.75" customHeight="1" x14ac:dyDescent="0.25">
      <c r="A41" s="141"/>
      <c r="B41" s="151" t="s">
        <v>181</v>
      </c>
      <c r="C41" s="147">
        <f>SUM(C38:C40)</f>
        <v>17199558</v>
      </c>
      <c r="D41" s="147">
        <f>SUM(D38:D40)</f>
        <v>18825589</v>
      </c>
      <c r="E41" s="147">
        <f>+D41-C41</f>
        <v>1626031</v>
      </c>
      <c r="F41" s="148">
        <f>IF(C41=0,0,E41/C41)</f>
        <v>9.4539115481921107E-2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13865211</v>
      </c>
      <c r="D44" s="146">
        <v>11930619</v>
      </c>
      <c r="E44" s="146">
        <f>+D44-C44</f>
        <v>-1934592</v>
      </c>
      <c r="F44" s="150">
        <f>IF(C44=0,0,E44/C44)</f>
        <v>-0.13952849329159145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2212177</v>
      </c>
      <c r="D47" s="146">
        <v>2315992</v>
      </c>
      <c r="E47" s="146">
        <f>+D47-C47</f>
        <v>103815</v>
      </c>
      <c r="F47" s="150">
        <f>IF(C47=0,0,E47/C47)</f>
        <v>4.6928884985243044E-2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3954496</v>
      </c>
      <c r="D50" s="146">
        <v>4267471</v>
      </c>
      <c r="E50" s="146">
        <f>+D50-C50</f>
        <v>312975</v>
      </c>
      <c r="F50" s="150">
        <f>IF(C50=0,0,E50/C50)</f>
        <v>7.9144093204292026E-2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132521</v>
      </c>
      <c r="D53" s="146">
        <v>126966</v>
      </c>
      <c r="E53" s="146">
        <f t="shared" ref="E53:E59" si="0">+D53-C53</f>
        <v>-5555</v>
      </c>
      <c r="F53" s="150">
        <f t="shared" ref="F53:F59" si="1">IF(C53=0,0,E53/C53)</f>
        <v>-4.1917884712611583E-2</v>
      </c>
    </row>
    <row r="54" spans="1:7" ht="15" customHeight="1" x14ac:dyDescent="0.2">
      <c r="A54" s="141">
        <v>2</v>
      </c>
      <c r="B54" s="149" t="s">
        <v>193</v>
      </c>
      <c r="C54" s="146">
        <v>1130500</v>
      </c>
      <c r="D54" s="146">
        <v>994253</v>
      </c>
      <c r="E54" s="146">
        <f t="shared" si="0"/>
        <v>-136247</v>
      </c>
      <c r="F54" s="150">
        <f t="shared" si="1"/>
        <v>-0.12051923927465723</v>
      </c>
    </row>
    <row r="55" spans="1:7" ht="15" customHeight="1" x14ac:dyDescent="0.2">
      <c r="A55" s="141">
        <v>3</v>
      </c>
      <c r="B55" s="149" t="s">
        <v>194</v>
      </c>
      <c r="C55" s="146">
        <v>60230</v>
      </c>
      <c r="D55" s="146">
        <v>55323</v>
      </c>
      <c r="E55" s="146">
        <f t="shared" si="0"/>
        <v>-4907</v>
      </c>
      <c r="F55" s="150">
        <f t="shared" si="1"/>
        <v>-8.1471027727046327E-2</v>
      </c>
    </row>
    <row r="56" spans="1:7" ht="15" customHeight="1" x14ac:dyDescent="0.2">
      <c r="A56" s="141">
        <v>4</v>
      </c>
      <c r="B56" s="149" t="s">
        <v>195</v>
      </c>
      <c r="C56" s="146">
        <v>3078811</v>
      </c>
      <c r="D56" s="146">
        <v>2619267</v>
      </c>
      <c r="E56" s="146">
        <f t="shared" si="0"/>
        <v>-459544</v>
      </c>
      <c r="F56" s="150">
        <f t="shared" si="1"/>
        <v>-0.14926021766194808</v>
      </c>
    </row>
    <row r="57" spans="1:7" ht="15" customHeight="1" x14ac:dyDescent="0.2">
      <c r="A57" s="141">
        <v>5</v>
      </c>
      <c r="B57" s="149" t="s">
        <v>196</v>
      </c>
      <c r="C57" s="146">
        <v>517320</v>
      </c>
      <c r="D57" s="146">
        <v>497039</v>
      </c>
      <c r="E57" s="146">
        <f t="shared" si="0"/>
        <v>-20281</v>
      </c>
      <c r="F57" s="150">
        <f t="shared" si="1"/>
        <v>-3.9203974329235287E-2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4919382</v>
      </c>
      <c r="D59" s="147">
        <f>SUM(D53:D58)</f>
        <v>4292848</v>
      </c>
      <c r="E59" s="147">
        <f t="shared" si="0"/>
        <v>-626534</v>
      </c>
      <c r="F59" s="148">
        <f t="shared" si="1"/>
        <v>-0.127360306640143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948777</v>
      </c>
      <c r="D62" s="146">
        <v>601254</v>
      </c>
      <c r="E62" s="146">
        <f t="shared" ref="E62:E90" si="2">+D62-C62</f>
        <v>-347523</v>
      </c>
      <c r="F62" s="150">
        <f t="shared" ref="F62:F90" si="3">IF(C62=0,0,E62/C62)</f>
        <v>-0.36628522824646886</v>
      </c>
    </row>
    <row r="63" spans="1:7" ht="15" customHeight="1" x14ac:dyDescent="0.2">
      <c r="A63" s="141">
        <v>2</v>
      </c>
      <c r="B63" s="149" t="s">
        <v>202</v>
      </c>
      <c r="C63" s="146">
        <v>1207627</v>
      </c>
      <c r="D63" s="146">
        <v>1226135</v>
      </c>
      <c r="E63" s="146">
        <f t="shared" si="2"/>
        <v>18508</v>
      </c>
      <c r="F63" s="150">
        <f t="shared" si="3"/>
        <v>1.5325924312722389E-2</v>
      </c>
    </row>
    <row r="64" spans="1:7" ht="15" customHeight="1" x14ac:dyDescent="0.2">
      <c r="A64" s="141">
        <v>3</v>
      </c>
      <c r="B64" s="149" t="s">
        <v>203</v>
      </c>
      <c r="C64" s="146">
        <v>2228689</v>
      </c>
      <c r="D64" s="146">
        <v>1493299</v>
      </c>
      <c r="E64" s="146">
        <f t="shared" si="2"/>
        <v>-735390</v>
      </c>
      <c r="F64" s="150">
        <f t="shared" si="3"/>
        <v>-0.32996528452377161</v>
      </c>
    </row>
    <row r="65" spans="1:6" ht="15" customHeight="1" x14ac:dyDescent="0.2">
      <c r="A65" s="141">
        <v>4</v>
      </c>
      <c r="B65" s="149" t="s">
        <v>204</v>
      </c>
      <c r="C65" s="146">
        <v>489553</v>
      </c>
      <c r="D65" s="146">
        <v>463665</v>
      </c>
      <c r="E65" s="146">
        <f t="shared" si="2"/>
        <v>-25888</v>
      </c>
      <c r="F65" s="150">
        <f t="shared" si="3"/>
        <v>-5.2880893386415773E-2</v>
      </c>
    </row>
    <row r="66" spans="1:6" ht="15" customHeight="1" x14ac:dyDescent="0.2">
      <c r="A66" s="141">
        <v>5</v>
      </c>
      <c r="B66" s="149" t="s">
        <v>205</v>
      </c>
      <c r="C66" s="146">
        <v>2664656</v>
      </c>
      <c r="D66" s="146">
        <v>1342899</v>
      </c>
      <c r="E66" s="146">
        <f t="shared" si="2"/>
        <v>-1321757</v>
      </c>
      <c r="F66" s="150">
        <f t="shared" si="3"/>
        <v>-0.49603288379438099</v>
      </c>
    </row>
    <row r="67" spans="1:6" ht="15" customHeight="1" x14ac:dyDescent="0.2">
      <c r="A67" s="141">
        <v>6</v>
      </c>
      <c r="B67" s="149" t="s">
        <v>206</v>
      </c>
      <c r="C67" s="146">
        <v>2426892</v>
      </c>
      <c r="D67" s="146">
        <v>2309643</v>
      </c>
      <c r="E67" s="146">
        <f t="shared" si="2"/>
        <v>-117249</v>
      </c>
      <c r="F67" s="150">
        <f t="shared" si="3"/>
        <v>-4.8312409452089339E-2</v>
      </c>
    </row>
    <row r="68" spans="1:6" ht="15" customHeight="1" x14ac:dyDescent="0.2">
      <c r="A68" s="141">
        <v>7</v>
      </c>
      <c r="B68" s="149" t="s">
        <v>207</v>
      </c>
      <c r="C68" s="146">
        <v>7839168</v>
      </c>
      <c r="D68" s="146">
        <v>8574599</v>
      </c>
      <c r="E68" s="146">
        <f t="shared" si="2"/>
        <v>735431</v>
      </c>
      <c r="F68" s="150">
        <f t="shared" si="3"/>
        <v>9.3814930359956569E-2</v>
      </c>
    </row>
    <row r="69" spans="1:6" ht="15" customHeight="1" x14ac:dyDescent="0.2">
      <c r="A69" s="141">
        <v>8</v>
      </c>
      <c r="B69" s="149" t="s">
        <v>208</v>
      </c>
      <c r="C69" s="146">
        <v>610175</v>
      </c>
      <c r="D69" s="146">
        <v>735338</v>
      </c>
      <c r="E69" s="146">
        <f t="shared" si="2"/>
        <v>125163</v>
      </c>
      <c r="F69" s="150">
        <f t="shared" si="3"/>
        <v>0.20512639816446102</v>
      </c>
    </row>
    <row r="70" spans="1:6" ht="15" customHeight="1" x14ac:dyDescent="0.2">
      <c r="A70" s="141">
        <v>9</v>
      </c>
      <c r="B70" s="149" t="s">
        <v>209</v>
      </c>
      <c r="C70" s="146">
        <v>473453</v>
      </c>
      <c r="D70" s="146">
        <v>386240</v>
      </c>
      <c r="E70" s="146">
        <f t="shared" si="2"/>
        <v>-87213</v>
      </c>
      <c r="F70" s="150">
        <f t="shared" si="3"/>
        <v>-0.18420624644896114</v>
      </c>
    </row>
    <row r="71" spans="1:6" ht="15" customHeight="1" x14ac:dyDescent="0.2">
      <c r="A71" s="141">
        <v>10</v>
      </c>
      <c r="B71" s="149" t="s">
        <v>210</v>
      </c>
      <c r="C71" s="146">
        <v>300314</v>
      </c>
      <c r="D71" s="146">
        <v>258875</v>
      </c>
      <c r="E71" s="146">
        <f t="shared" si="2"/>
        <v>-41439</v>
      </c>
      <c r="F71" s="150">
        <f t="shared" si="3"/>
        <v>-0.13798557509806403</v>
      </c>
    </row>
    <row r="72" spans="1:6" ht="15" customHeight="1" x14ac:dyDescent="0.2">
      <c r="A72" s="141">
        <v>11</v>
      </c>
      <c r="B72" s="149" t="s">
        <v>211</v>
      </c>
      <c r="C72" s="146">
        <v>76350</v>
      </c>
      <c r="D72" s="146">
        <v>220736</v>
      </c>
      <c r="E72" s="146">
        <f t="shared" si="2"/>
        <v>144386</v>
      </c>
      <c r="F72" s="150">
        <f t="shared" si="3"/>
        <v>1.8911067452521284</v>
      </c>
    </row>
    <row r="73" spans="1:6" ht="15" customHeight="1" x14ac:dyDescent="0.2">
      <c r="A73" s="141">
        <v>12</v>
      </c>
      <c r="B73" s="149" t="s">
        <v>212</v>
      </c>
      <c r="C73" s="146">
        <v>2436633</v>
      </c>
      <c r="D73" s="146">
        <v>2200797</v>
      </c>
      <c r="E73" s="146">
        <f t="shared" si="2"/>
        <v>-235836</v>
      </c>
      <c r="F73" s="150">
        <f t="shared" si="3"/>
        <v>-9.6787657394445531E-2</v>
      </c>
    </row>
    <row r="74" spans="1:6" ht="15" customHeight="1" x14ac:dyDescent="0.2">
      <c r="A74" s="141">
        <v>13</v>
      </c>
      <c r="B74" s="149" t="s">
        <v>213</v>
      </c>
      <c r="C74" s="146">
        <v>555173</v>
      </c>
      <c r="D74" s="146">
        <v>434799</v>
      </c>
      <c r="E74" s="146">
        <f t="shared" si="2"/>
        <v>-120374</v>
      </c>
      <c r="F74" s="150">
        <f t="shared" si="3"/>
        <v>-0.21682250397623803</v>
      </c>
    </row>
    <row r="75" spans="1:6" ht="15" customHeight="1" x14ac:dyDescent="0.2">
      <c r="A75" s="141">
        <v>14</v>
      </c>
      <c r="B75" s="149" t="s">
        <v>214</v>
      </c>
      <c r="C75" s="146">
        <v>286315</v>
      </c>
      <c r="D75" s="146">
        <v>293856</v>
      </c>
      <c r="E75" s="146">
        <f t="shared" si="2"/>
        <v>7541</v>
      </c>
      <c r="F75" s="150">
        <f t="shared" si="3"/>
        <v>2.6338124094092173E-2</v>
      </c>
    </row>
    <row r="76" spans="1:6" ht="15" customHeight="1" x14ac:dyDescent="0.2">
      <c r="A76" s="141">
        <v>15</v>
      </c>
      <c r="B76" s="149" t="s">
        <v>215</v>
      </c>
      <c r="C76" s="146">
        <v>1891548</v>
      </c>
      <c r="D76" s="146">
        <v>1535857</v>
      </c>
      <c r="E76" s="146">
        <f t="shared" si="2"/>
        <v>-355691</v>
      </c>
      <c r="F76" s="150">
        <f t="shared" si="3"/>
        <v>-0.1880422807139972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370281</v>
      </c>
      <c r="E78" s="146">
        <f t="shared" si="2"/>
        <v>370281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97624</v>
      </c>
      <c r="E79" s="146">
        <f t="shared" si="2"/>
        <v>97624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2563704</v>
      </c>
      <c r="E80" s="146">
        <f t="shared" si="2"/>
        <v>2563704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1486988</v>
      </c>
      <c r="E81" s="146">
        <f t="shared" si="2"/>
        <v>1486988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348958</v>
      </c>
      <c r="E82" s="146">
        <f t="shared" si="2"/>
        <v>348958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1111329</v>
      </c>
      <c r="E83" s="146">
        <f t="shared" si="2"/>
        <v>1111329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24131</v>
      </c>
      <c r="E84" s="146">
        <f t="shared" si="2"/>
        <v>24131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4625581</v>
      </c>
      <c r="E85" s="146">
        <f t="shared" si="2"/>
        <v>4625581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0</v>
      </c>
      <c r="E86" s="146">
        <f t="shared" si="2"/>
        <v>0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7040159</v>
      </c>
      <c r="E87" s="146">
        <f t="shared" si="2"/>
        <v>7040159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7603985</v>
      </c>
      <c r="E88" s="146">
        <f t="shared" si="2"/>
        <v>7603985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17414285</v>
      </c>
      <c r="D89" s="146">
        <v>729907</v>
      </c>
      <c r="E89" s="146">
        <f t="shared" si="2"/>
        <v>-16684378</v>
      </c>
      <c r="F89" s="150">
        <f t="shared" si="3"/>
        <v>-0.95808573248916051</v>
      </c>
    </row>
    <row r="90" spans="1:7" ht="15.75" customHeight="1" x14ac:dyDescent="0.25">
      <c r="A90" s="141"/>
      <c r="B90" s="151" t="s">
        <v>229</v>
      </c>
      <c r="C90" s="147">
        <f>SUM(C62:C89)</f>
        <v>41849608</v>
      </c>
      <c r="D90" s="147">
        <f>SUM(D62:D89)</f>
        <v>48080639</v>
      </c>
      <c r="E90" s="147">
        <f t="shared" si="2"/>
        <v>6231031</v>
      </c>
      <c r="F90" s="148">
        <f t="shared" si="3"/>
        <v>0.14889102426001219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236716</v>
      </c>
      <c r="D93" s="146">
        <v>470073</v>
      </c>
      <c r="E93" s="146">
        <f>+D93-C93</f>
        <v>233357</v>
      </c>
      <c r="F93" s="150">
        <f>IF(C93=0,0,E93/C93)</f>
        <v>0.98581000016897891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312331109</v>
      </c>
      <c r="D95" s="147">
        <f>+D93+D90+D59+D50+D47+D44+D41+D35+D30+D24+D18</f>
        <v>318194716</v>
      </c>
      <c r="E95" s="147">
        <f>+D95-C95</f>
        <v>5863607</v>
      </c>
      <c r="F95" s="148">
        <f>IF(C95=0,0,E95/C95)</f>
        <v>1.877368866256611E-2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17102734</v>
      </c>
      <c r="D103" s="146">
        <v>16883918</v>
      </c>
      <c r="E103" s="146">
        <f t="shared" ref="E103:E121" si="4">D103-C103</f>
        <v>-218816</v>
      </c>
      <c r="F103" s="150">
        <f t="shared" ref="F103:F121" si="5">IF(C103=0,0,E103/C103)</f>
        <v>-1.2794211732463359E-2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1469145</v>
      </c>
      <c r="D104" s="146">
        <v>1518144</v>
      </c>
      <c r="E104" s="146">
        <f t="shared" si="4"/>
        <v>48999</v>
      </c>
      <c r="F104" s="150">
        <f t="shared" si="5"/>
        <v>3.3352051703541857E-2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3544226</v>
      </c>
      <c r="D105" s="146">
        <v>3521390</v>
      </c>
      <c r="E105" s="146">
        <f t="shared" si="4"/>
        <v>-22836</v>
      </c>
      <c r="F105" s="150">
        <f t="shared" si="5"/>
        <v>-6.4431557129821853E-3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4420824</v>
      </c>
      <c r="D106" s="146">
        <v>5291735</v>
      </c>
      <c r="E106" s="146">
        <f t="shared" si="4"/>
        <v>870911</v>
      </c>
      <c r="F106" s="150">
        <f t="shared" si="5"/>
        <v>0.19700196162525357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8702132</v>
      </c>
      <c r="D107" s="146">
        <v>11645542</v>
      </c>
      <c r="E107" s="146">
        <f t="shared" si="4"/>
        <v>2943410</v>
      </c>
      <c r="F107" s="150">
        <f t="shared" si="5"/>
        <v>0.3382401002421016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344747</v>
      </c>
      <c r="D108" s="146">
        <v>356782</v>
      </c>
      <c r="E108" s="146">
        <f t="shared" si="4"/>
        <v>12035</v>
      </c>
      <c r="F108" s="150">
        <f t="shared" si="5"/>
        <v>3.4909658387165081E-2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44203434</v>
      </c>
      <c r="D109" s="146">
        <v>44097754</v>
      </c>
      <c r="E109" s="146">
        <f t="shared" si="4"/>
        <v>-105680</v>
      </c>
      <c r="F109" s="150">
        <f t="shared" si="5"/>
        <v>-2.3907644822345701E-3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860283</v>
      </c>
      <c r="D110" s="146">
        <v>800579</v>
      </c>
      <c r="E110" s="146">
        <f t="shared" si="4"/>
        <v>-59704</v>
      </c>
      <c r="F110" s="150">
        <f t="shared" si="5"/>
        <v>-6.9400418234464703E-2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1756798</v>
      </c>
      <c r="D111" s="146">
        <v>1696319</v>
      </c>
      <c r="E111" s="146">
        <f t="shared" si="4"/>
        <v>-60479</v>
      </c>
      <c r="F111" s="150">
        <f t="shared" si="5"/>
        <v>-3.4425699482809068E-2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5528065</v>
      </c>
      <c r="D112" s="146">
        <v>5576153</v>
      </c>
      <c r="E112" s="146">
        <f t="shared" si="4"/>
        <v>48088</v>
      </c>
      <c r="F112" s="150">
        <f t="shared" si="5"/>
        <v>8.6988846911170547E-3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4114487</v>
      </c>
      <c r="D113" s="146">
        <v>4195914</v>
      </c>
      <c r="E113" s="146">
        <f t="shared" si="4"/>
        <v>81427</v>
      </c>
      <c r="F113" s="150">
        <f t="shared" si="5"/>
        <v>1.9790316508473595E-2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0</v>
      </c>
      <c r="D114" s="146">
        <v>0</v>
      </c>
      <c r="E114" s="146">
        <f t="shared" si="4"/>
        <v>0</v>
      </c>
      <c r="F114" s="150">
        <f t="shared" si="5"/>
        <v>0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4359081</v>
      </c>
      <c r="D115" s="146">
        <v>3853305</v>
      </c>
      <c r="E115" s="146">
        <f t="shared" si="4"/>
        <v>-505776</v>
      </c>
      <c r="F115" s="150">
        <f t="shared" si="5"/>
        <v>-0.11602812611190294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1644138</v>
      </c>
      <c r="D116" s="146">
        <v>1682672</v>
      </c>
      <c r="E116" s="146">
        <f t="shared" si="4"/>
        <v>38534</v>
      </c>
      <c r="F116" s="150">
        <f t="shared" si="5"/>
        <v>2.3437205392734674E-2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4329324</v>
      </c>
      <c r="D117" s="146">
        <v>4341926</v>
      </c>
      <c r="E117" s="146">
        <f t="shared" si="4"/>
        <v>12602</v>
      </c>
      <c r="F117" s="150">
        <f t="shared" si="5"/>
        <v>2.9108470514103355E-3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2100010</v>
      </c>
      <c r="D118" s="146">
        <v>2216152</v>
      </c>
      <c r="E118" s="146">
        <f t="shared" si="4"/>
        <v>116142</v>
      </c>
      <c r="F118" s="150">
        <f t="shared" si="5"/>
        <v>5.5305450926424159E-2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12951250</v>
      </c>
      <c r="D119" s="146">
        <v>14382877</v>
      </c>
      <c r="E119" s="146">
        <f t="shared" si="4"/>
        <v>1431627</v>
      </c>
      <c r="F119" s="150">
        <f t="shared" si="5"/>
        <v>0.11053967763729369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5297467</v>
      </c>
      <c r="D120" s="146">
        <v>4949209</v>
      </c>
      <c r="E120" s="146">
        <f t="shared" si="4"/>
        <v>-348258</v>
      </c>
      <c r="F120" s="150">
        <f t="shared" si="5"/>
        <v>-6.5740475589560074E-2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122728145</v>
      </c>
      <c r="D121" s="147">
        <f>SUM(D103:D120)</f>
        <v>127010371</v>
      </c>
      <c r="E121" s="147">
        <f t="shared" si="4"/>
        <v>4282226</v>
      </c>
      <c r="F121" s="148">
        <f t="shared" si="5"/>
        <v>3.4891963860449453E-2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198619</v>
      </c>
      <c r="D124" s="146">
        <v>668247</v>
      </c>
      <c r="E124" s="146">
        <f t="shared" ref="E124:E130" si="6">D124-C124</f>
        <v>469628</v>
      </c>
      <c r="F124" s="150">
        <f t="shared" ref="F124:F130" si="7">IF(C124=0,0,E124/C124)</f>
        <v>2.3644666421641434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110340</v>
      </c>
      <c r="D125" s="146">
        <v>113076</v>
      </c>
      <c r="E125" s="146">
        <f t="shared" si="6"/>
        <v>2736</v>
      </c>
      <c r="F125" s="150">
        <f t="shared" si="7"/>
        <v>2.4796084828711255E-2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3073851</v>
      </c>
      <c r="D126" s="146">
        <v>2427534</v>
      </c>
      <c r="E126" s="146">
        <f t="shared" si="6"/>
        <v>-646317</v>
      </c>
      <c r="F126" s="150">
        <f t="shared" si="7"/>
        <v>-0.21026295679263568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4230593</v>
      </c>
      <c r="D127" s="146">
        <v>4858092</v>
      </c>
      <c r="E127" s="146">
        <f t="shared" si="6"/>
        <v>627499</v>
      </c>
      <c r="F127" s="150">
        <f t="shared" si="7"/>
        <v>0.14832412382850346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2738767</v>
      </c>
      <c r="D128" s="146">
        <v>2789276</v>
      </c>
      <c r="E128" s="146">
        <f t="shared" si="6"/>
        <v>50509</v>
      </c>
      <c r="F128" s="150">
        <f t="shared" si="7"/>
        <v>1.8442240614115767E-2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3307523</v>
      </c>
      <c r="D129" s="146">
        <v>3728016</v>
      </c>
      <c r="E129" s="146">
        <f t="shared" si="6"/>
        <v>420493</v>
      </c>
      <c r="F129" s="150">
        <f t="shared" si="7"/>
        <v>0.12713229809739796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13659693</v>
      </c>
      <c r="D130" s="147">
        <f>SUM(D124:D129)</f>
        <v>14584241</v>
      </c>
      <c r="E130" s="147">
        <f t="shared" si="6"/>
        <v>924548</v>
      </c>
      <c r="F130" s="148">
        <f t="shared" si="7"/>
        <v>6.7684390857100526E-2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21139451</v>
      </c>
      <c r="D133" s="146">
        <v>20165327</v>
      </c>
      <c r="E133" s="146">
        <f t="shared" ref="E133:E167" si="8">D133-C133</f>
        <v>-974124</v>
      </c>
      <c r="F133" s="150">
        <f t="shared" ref="F133:F167" si="9">IF(C133=0,0,E133/C133)</f>
        <v>-4.6080856120624895E-2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1027597</v>
      </c>
      <c r="D134" s="146">
        <v>1083349</v>
      </c>
      <c r="E134" s="146">
        <f t="shared" si="8"/>
        <v>55752</v>
      </c>
      <c r="F134" s="150">
        <f t="shared" si="9"/>
        <v>5.4254732156672314E-2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475395</v>
      </c>
      <c r="D135" s="146">
        <v>476718</v>
      </c>
      <c r="E135" s="146">
        <f t="shared" si="8"/>
        <v>1323</v>
      </c>
      <c r="F135" s="150">
        <f t="shared" si="9"/>
        <v>2.7829489161644528E-3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120248</v>
      </c>
      <c r="D136" s="146">
        <v>126867</v>
      </c>
      <c r="E136" s="146">
        <f t="shared" si="8"/>
        <v>6619</v>
      </c>
      <c r="F136" s="150">
        <f t="shared" si="9"/>
        <v>5.5044574545938391E-2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4334844</v>
      </c>
      <c r="D137" s="146">
        <v>4470226</v>
      </c>
      <c r="E137" s="146">
        <f t="shared" si="8"/>
        <v>135382</v>
      </c>
      <c r="F137" s="150">
        <f t="shared" si="9"/>
        <v>3.1231112353754829E-2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2883167</v>
      </c>
      <c r="D138" s="146">
        <v>2990781</v>
      </c>
      <c r="E138" s="146">
        <f t="shared" si="8"/>
        <v>107614</v>
      </c>
      <c r="F138" s="150">
        <f t="shared" si="9"/>
        <v>3.7324927761728681E-2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2796424</v>
      </c>
      <c r="D139" s="146">
        <v>2719027</v>
      </c>
      <c r="E139" s="146">
        <f t="shared" si="8"/>
        <v>-77397</v>
      </c>
      <c r="F139" s="150">
        <f t="shared" si="9"/>
        <v>-2.767713336747217E-2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1640588</v>
      </c>
      <c r="D140" s="146">
        <v>1564810</v>
      </c>
      <c r="E140" s="146">
        <f t="shared" si="8"/>
        <v>-75778</v>
      </c>
      <c r="F140" s="150">
        <f t="shared" si="9"/>
        <v>-4.6189536922127919E-2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2317005</v>
      </c>
      <c r="D141" s="146">
        <v>2048527</v>
      </c>
      <c r="E141" s="146">
        <f t="shared" si="8"/>
        <v>-268478</v>
      </c>
      <c r="F141" s="150">
        <f t="shared" si="9"/>
        <v>-0.11587286173314257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16401845</v>
      </c>
      <c r="D142" s="146">
        <v>16469884</v>
      </c>
      <c r="E142" s="146">
        <f t="shared" si="8"/>
        <v>68039</v>
      </c>
      <c r="F142" s="150">
        <f t="shared" si="9"/>
        <v>4.1482528337513248E-3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642465</v>
      </c>
      <c r="D144" s="146">
        <v>1015931</v>
      </c>
      <c r="E144" s="146">
        <f t="shared" si="8"/>
        <v>373466</v>
      </c>
      <c r="F144" s="150">
        <f t="shared" si="9"/>
        <v>0.58130170515125335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37598</v>
      </c>
      <c r="D145" s="146">
        <v>9258</v>
      </c>
      <c r="E145" s="146">
        <f t="shared" si="8"/>
        <v>-28340</v>
      </c>
      <c r="F145" s="150">
        <f t="shared" si="9"/>
        <v>-0.75376349805840737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251811</v>
      </c>
      <c r="D146" s="146">
        <v>258370</v>
      </c>
      <c r="E146" s="146">
        <f t="shared" si="8"/>
        <v>6559</v>
      </c>
      <c r="F146" s="150">
        <f t="shared" si="9"/>
        <v>2.604731326272482E-2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1675977</v>
      </c>
      <c r="D147" s="146">
        <v>1915552</v>
      </c>
      <c r="E147" s="146">
        <f t="shared" si="8"/>
        <v>239575</v>
      </c>
      <c r="F147" s="150">
        <f t="shared" si="9"/>
        <v>0.14294647241579092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837436</v>
      </c>
      <c r="D148" s="146">
        <v>878539</v>
      </c>
      <c r="E148" s="146">
        <f t="shared" si="8"/>
        <v>41103</v>
      </c>
      <c r="F148" s="150">
        <f t="shared" si="9"/>
        <v>4.9081959696024531E-2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572201</v>
      </c>
      <c r="D149" s="146">
        <v>630203</v>
      </c>
      <c r="E149" s="146">
        <f t="shared" si="8"/>
        <v>58002</v>
      </c>
      <c r="F149" s="150">
        <f t="shared" si="9"/>
        <v>0.10136647786354795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2891373</v>
      </c>
      <c r="D150" s="146">
        <v>2826759</v>
      </c>
      <c r="E150" s="146">
        <f t="shared" si="8"/>
        <v>-64614</v>
      </c>
      <c r="F150" s="150">
        <f t="shared" si="9"/>
        <v>-2.2347168628883234E-2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2161644</v>
      </c>
      <c r="D152" s="146">
        <v>2196636</v>
      </c>
      <c r="E152" s="146">
        <f t="shared" si="8"/>
        <v>34992</v>
      </c>
      <c r="F152" s="150">
        <f t="shared" si="9"/>
        <v>1.6187679377362783E-2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1159522</v>
      </c>
      <c r="D154" s="146">
        <v>1395560</v>
      </c>
      <c r="E154" s="146">
        <f t="shared" si="8"/>
        <v>236038</v>
      </c>
      <c r="F154" s="150">
        <f t="shared" si="9"/>
        <v>0.20356491726763271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604582</v>
      </c>
      <c r="D155" s="146">
        <v>580104</v>
      </c>
      <c r="E155" s="146">
        <f t="shared" si="8"/>
        <v>-24478</v>
      </c>
      <c r="F155" s="150">
        <f t="shared" si="9"/>
        <v>-4.048747729836482E-2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13021547</v>
      </c>
      <c r="D156" s="146">
        <v>11796965</v>
      </c>
      <c r="E156" s="146">
        <f t="shared" si="8"/>
        <v>-1224582</v>
      </c>
      <c r="F156" s="150">
        <f t="shared" si="9"/>
        <v>-9.4042743154864786E-2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1443583</v>
      </c>
      <c r="D157" s="146">
        <v>1635833</v>
      </c>
      <c r="E157" s="146">
        <f t="shared" si="8"/>
        <v>192250</v>
      </c>
      <c r="F157" s="150">
        <f t="shared" si="9"/>
        <v>0.13317557771184615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0</v>
      </c>
      <c r="D158" s="146">
        <v>0</v>
      </c>
      <c r="E158" s="146">
        <f t="shared" si="8"/>
        <v>0</v>
      </c>
      <c r="F158" s="150">
        <f t="shared" si="9"/>
        <v>0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1164914</v>
      </c>
      <c r="D160" s="146">
        <v>1261998</v>
      </c>
      <c r="E160" s="146">
        <f t="shared" si="8"/>
        <v>97084</v>
      </c>
      <c r="F160" s="150">
        <f t="shared" si="9"/>
        <v>8.3340057720999144E-2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1202606</v>
      </c>
      <c r="D161" s="146">
        <v>1368493</v>
      </c>
      <c r="E161" s="146">
        <f t="shared" si="8"/>
        <v>165887</v>
      </c>
      <c r="F161" s="150">
        <f t="shared" si="9"/>
        <v>0.13793960781835449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5043541</v>
      </c>
      <c r="D163" s="146">
        <v>5143873</v>
      </c>
      <c r="E163" s="146">
        <f t="shared" si="8"/>
        <v>100332</v>
      </c>
      <c r="F163" s="150">
        <f t="shared" si="9"/>
        <v>1.9893166328974029E-2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4006475</v>
      </c>
      <c r="D164" s="146">
        <v>4385667</v>
      </c>
      <c r="E164" s="146">
        <f t="shared" si="8"/>
        <v>379192</v>
      </c>
      <c r="F164" s="150">
        <f t="shared" si="9"/>
        <v>9.4644793740133154E-2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7137509</v>
      </c>
      <c r="D166" s="146">
        <v>8098622</v>
      </c>
      <c r="E166" s="146">
        <f t="shared" si="8"/>
        <v>961113</v>
      </c>
      <c r="F166" s="150">
        <f t="shared" si="9"/>
        <v>0.1346566428147411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96991348</v>
      </c>
      <c r="D167" s="147">
        <f>SUM(D133:D166)</f>
        <v>97513879</v>
      </c>
      <c r="E167" s="147">
        <f t="shared" si="8"/>
        <v>522531</v>
      </c>
      <c r="F167" s="148">
        <f t="shared" si="9"/>
        <v>5.3873980594640256E-3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21774840</v>
      </c>
      <c r="D170" s="146">
        <v>22373807</v>
      </c>
      <c r="E170" s="146">
        <f t="shared" ref="E170:E183" si="10">D170-C170</f>
        <v>598967</v>
      </c>
      <c r="F170" s="150">
        <f t="shared" ref="F170:F183" si="11">IF(C170=0,0,E170/C170)</f>
        <v>2.7507297412977548E-2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3033380</v>
      </c>
      <c r="D171" s="146">
        <v>2993130</v>
      </c>
      <c r="E171" s="146">
        <f t="shared" si="10"/>
        <v>-40250</v>
      </c>
      <c r="F171" s="150">
        <f t="shared" si="11"/>
        <v>-1.3269026630359533E-2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3346286</v>
      </c>
      <c r="D172" s="146">
        <v>3216935</v>
      </c>
      <c r="E172" s="146">
        <f t="shared" si="10"/>
        <v>-129351</v>
      </c>
      <c r="F172" s="150">
        <f t="shared" si="11"/>
        <v>-3.8655094035596478E-2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2526774</v>
      </c>
      <c r="D173" s="146">
        <v>2751957</v>
      </c>
      <c r="E173" s="146">
        <f t="shared" si="10"/>
        <v>225183</v>
      </c>
      <c r="F173" s="150">
        <f t="shared" si="11"/>
        <v>8.9118773582441482E-2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5723900</v>
      </c>
      <c r="D175" s="146">
        <v>6020783</v>
      </c>
      <c r="E175" s="146">
        <f t="shared" si="10"/>
        <v>296883</v>
      </c>
      <c r="F175" s="150">
        <f t="shared" si="11"/>
        <v>5.1867258337846577E-2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0</v>
      </c>
      <c r="D176" s="146">
        <v>0</v>
      </c>
      <c r="E176" s="146">
        <f t="shared" si="10"/>
        <v>0</v>
      </c>
      <c r="F176" s="150">
        <f t="shared" si="11"/>
        <v>0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2345092</v>
      </c>
      <c r="D177" s="146">
        <v>2242060</v>
      </c>
      <c r="E177" s="146">
        <f t="shared" si="10"/>
        <v>-103032</v>
      </c>
      <c r="F177" s="150">
        <f t="shared" si="11"/>
        <v>-4.3935163311290132E-2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2657878</v>
      </c>
      <c r="D178" s="146">
        <v>2824547</v>
      </c>
      <c r="E178" s="146">
        <f t="shared" si="10"/>
        <v>166669</v>
      </c>
      <c r="F178" s="150">
        <f t="shared" si="11"/>
        <v>6.2707543386114784E-2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2315055</v>
      </c>
      <c r="D179" s="146">
        <v>2388095</v>
      </c>
      <c r="E179" s="146">
        <f t="shared" si="10"/>
        <v>73040</v>
      </c>
      <c r="F179" s="150">
        <f t="shared" si="11"/>
        <v>3.155000637133891E-2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0</v>
      </c>
      <c r="D181" s="146">
        <v>0</v>
      </c>
      <c r="E181" s="146">
        <f t="shared" si="10"/>
        <v>0</v>
      </c>
      <c r="F181" s="150">
        <f t="shared" si="11"/>
        <v>0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1217296</v>
      </c>
      <c r="D182" s="146">
        <v>1199104</v>
      </c>
      <c r="E182" s="146">
        <f t="shared" si="10"/>
        <v>-18192</v>
      </c>
      <c r="F182" s="150">
        <f t="shared" si="11"/>
        <v>-1.4944598519998423E-2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44940501</v>
      </c>
      <c r="D183" s="147">
        <f>SUM(D170:D182)</f>
        <v>46010418</v>
      </c>
      <c r="E183" s="147">
        <f t="shared" si="10"/>
        <v>1069917</v>
      </c>
      <c r="F183" s="148">
        <f t="shared" si="11"/>
        <v>2.3807411492809124E-2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34011422</v>
      </c>
      <c r="D186" s="146">
        <v>33075807</v>
      </c>
      <c r="E186" s="146">
        <f>D186-C186</f>
        <v>-935615</v>
      </c>
      <c r="F186" s="150">
        <f>IF(C186=0,0,E186/C186)</f>
        <v>-2.7508846880909595E-2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312331109</v>
      </c>
      <c r="D188" s="147">
        <f>+D186+D183+D167+D130+D121</f>
        <v>318194716</v>
      </c>
      <c r="E188" s="147">
        <f>D188-C188</f>
        <v>5863607</v>
      </c>
      <c r="F188" s="148">
        <f>IF(C188=0,0,E188/C188)</f>
        <v>1.877368866256611E-2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FILING&amp;RLAWRENCE AND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306562977</v>
      </c>
      <c r="D11" s="164">
        <v>318813210</v>
      </c>
      <c r="E11" s="51">
        <v>323643197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14705837</v>
      </c>
      <c r="D12" s="49">
        <v>16057736</v>
      </c>
      <c r="E12" s="49">
        <v>15883284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321268814</v>
      </c>
      <c r="D13" s="51">
        <f>+D11+D12</f>
        <v>334870946</v>
      </c>
      <c r="E13" s="51">
        <f>+E11+E12</f>
        <v>339526481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299648936</v>
      </c>
      <c r="D14" s="49">
        <v>312331109</v>
      </c>
      <c r="E14" s="49">
        <v>318194716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21619878</v>
      </c>
      <c r="D15" s="51">
        <f>+D13-D14</f>
        <v>22539837</v>
      </c>
      <c r="E15" s="51">
        <f>+E13-E14</f>
        <v>21331765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-18052615</v>
      </c>
      <c r="D16" s="49">
        <v>4137772</v>
      </c>
      <c r="E16" s="49">
        <v>4584564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3567263</v>
      </c>
      <c r="D17" s="51">
        <f>D15+D16</f>
        <v>26677609</v>
      </c>
      <c r="E17" s="51">
        <f>E15+E16</f>
        <v>25916329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7.1301856798224691E-2</v>
      </c>
      <c r="D20" s="169">
        <f>IF(+D27=0,0,+D24/+D27)</f>
        <v>6.6487484843973835E-2</v>
      </c>
      <c r="E20" s="169">
        <f>IF(+E27=0,0,+E24/+E27)</f>
        <v>6.1990933769649856E-2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-5.9537106063386802E-2</v>
      </c>
      <c r="D21" s="169">
        <f>IF(D27=0,0,+D26/D27)</f>
        <v>1.2205503222486449E-2</v>
      </c>
      <c r="E21" s="169">
        <f>IF(E27=0,0,+E26/E27)</f>
        <v>1.3322920221871983E-2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1.1764750734837884E-2</v>
      </c>
      <c r="D22" s="169">
        <f>IF(D27=0,0,+D28/D27)</f>
        <v>7.8692988066460287E-2</v>
      </c>
      <c r="E22" s="169">
        <f>IF(E27=0,0,+E28/E27)</f>
        <v>7.5313853991521837E-2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21619878</v>
      </c>
      <c r="D24" s="51">
        <f>+D15</f>
        <v>22539837</v>
      </c>
      <c r="E24" s="51">
        <f>+E15</f>
        <v>21331765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321268814</v>
      </c>
      <c r="D25" s="51">
        <f>+D13</f>
        <v>334870946</v>
      </c>
      <c r="E25" s="51">
        <f>+E13</f>
        <v>339526481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-18052615</v>
      </c>
      <c r="D26" s="51">
        <f>+D16</f>
        <v>4137772</v>
      </c>
      <c r="E26" s="51">
        <f>+E16</f>
        <v>4584564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303216199</v>
      </c>
      <c r="D27" s="51">
        <f>+D25+D26</f>
        <v>339008718</v>
      </c>
      <c r="E27" s="51">
        <f>+E25+E26</f>
        <v>344111045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3567263</v>
      </c>
      <c r="D28" s="51">
        <f>+D17</f>
        <v>26677609</v>
      </c>
      <c r="E28" s="51">
        <f>+E17</f>
        <v>25916329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137717053</v>
      </c>
      <c r="D31" s="51">
        <v>142478037</v>
      </c>
      <c r="E31" s="51">
        <v>144038576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161616678</v>
      </c>
      <c r="D32" s="51">
        <v>165780674</v>
      </c>
      <c r="E32" s="51">
        <v>169995622</v>
      </c>
      <c r="F32" s="13"/>
    </row>
    <row r="33" spans="1:6" ht="24" customHeight="1" x14ac:dyDescent="0.2">
      <c r="A33" s="25">
        <v>3</v>
      </c>
      <c r="B33" s="48" t="s">
        <v>331</v>
      </c>
      <c r="C33" s="51">
        <v>-2160059</v>
      </c>
      <c r="D33" s="51">
        <f>+D32-C32</f>
        <v>4163996</v>
      </c>
      <c r="E33" s="51">
        <f>+E32-D32</f>
        <v>4214948</v>
      </c>
      <c r="F33" s="5"/>
    </row>
    <row r="34" spans="1:6" ht="24" customHeight="1" x14ac:dyDescent="0.2">
      <c r="A34" s="25">
        <v>4</v>
      </c>
      <c r="B34" s="48" t="s">
        <v>332</v>
      </c>
      <c r="C34" s="171">
        <v>0.98680000000000001</v>
      </c>
      <c r="D34" s="171">
        <f>IF(C32=0,0,+D33/C32)</f>
        <v>2.5764642928745262E-2</v>
      </c>
      <c r="E34" s="171">
        <f>IF(D32=0,0,+E33/D32)</f>
        <v>2.5424845359236507E-2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0.46875514655752482</v>
      </c>
      <c r="D38" s="172">
        <f>IF((D40+D41)=0,0,+D39/(D40+D41))</f>
        <v>0.46146588896611052</v>
      </c>
      <c r="E38" s="172">
        <f>IF((E40+E41)=0,0,+E39/(E40+E41))</f>
        <v>0.44979546589763919</v>
      </c>
      <c r="F38" s="5"/>
    </row>
    <row r="39" spans="1:6" ht="24" customHeight="1" x14ac:dyDescent="0.2">
      <c r="A39" s="21">
        <v>2</v>
      </c>
      <c r="B39" s="48" t="s">
        <v>336</v>
      </c>
      <c r="C39" s="51">
        <v>299648936</v>
      </c>
      <c r="D39" s="51">
        <v>312331109</v>
      </c>
      <c r="E39" s="23">
        <v>318194716</v>
      </c>
      <c r="F39" s="5"/>
    </row>
    <row r="40" spans="1:6" ht="24" customHeight="1" x14ac:dyDescent="0.2">
      <c r="A40" s="21">
        <v>3</v>
      </c>
      <c r="B40" s="48" t="s">
        <v>337</v>
      </c>
      <c r="C40" s="51">
        <v>624951148</v>
      </c>
      <c r="D40" s="51">
        <v>661160920</v>
      </c>
      <c r="E40" s="23">
        <v>691987197</v>
      </c>
      <c r="F40" s="5"/>
    </row>
    <row r="41" spans="1:6" ht="24" customHeight="1" x14ac:dyDescent="0.2">
      <c r="A41" s="21">
        <v>4</v>
      </c>
      <c r="B41" s="48" t="s">
        <v>338</v>
      </c>
      <c r="C41" s="51">
        <v>14292897</v>
      </c>
      <c r="D41" s="51">
        <v>15662907</v>
      </c>
      <c r="E41" s="23">
        <v>15433709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1.3504485462351214</v>
      </c>
      <c r="D43" s="173">
        <f>IF(D38=0,0,IF((D46-D47)=0,0,((+D44-D45)/(D46-D47)/D38)))</f>
        <v>1.3648230178702239</v>
      </c>
      <c r="E43" s="173">
        <f>IF(E38=0,0,IF((E46-E47)=0,0,((+E44-E45)/(E46-E47)/E38)))</f>
        <v>1.4118661442775542</v>
      </c>
      <c r="F43" s="5"/>
    </row>
    <row r="44" spans="1:6" ht="24" customHeight="1" x14ac:dyDescent="0.2">
      <c r="A44" s="21">
        <v>6</v>
      </c>
      <c r="B44" s="48" t="s">
        <v>340</v>
      </c>
      <c r="C44" s="51">
        <v>151125329</v>
      </c>
      <c r="D44" s="51">
        <v>151294809</v>
      </c>
      <c r="E44" s="23">
        <v>157013123</v>
      </c>
      <c r="F44" s="5"/>
    </row>
    <row r="45" spans="1:6" ht="24" customHeight="1" x14ac:dyDescent="0.2">
      <c r="A45" s="21">
        <v>7</v>
      </c>
      <c r="B45" s="48" t="s">
        <v>341</v>
      </c>
      <c r="C45" s="51">
        <v>0</v>
      </c>
      <c r="D45" s="51">
        <v>0</v>
      </c>
      <c r="E45" s="23">
        <v>0</v>
      </c>
      <c r="F45" s="5"/>
    </row>
    <row r="46" spans="1:6" ht="24" customHeight="1" x14ac:dyDescent="0.2">
      <c r="A46" s="21">
        <v>8</v>
      </c>
      <c r="B46" s="48" t="s">
        <v>342</v>
      </c>
      <c r="C46" s="51">
        <v>251173831</v>
      </c>
      <c r="D46" s="51">
        <v>252236177</v>
      </c>
      <c r="E46" s="23">
        <v>258358882</v>
      </c>
      <c r="F46" s="5"/>
    </row>
    <row r="47" spans="1:6" ht="24" customHeight="1" x14ac:dyDescent="0.2">
      <c r="A47" s="21">
        <v>9</v>
      </c>
      <c r="B47" s="48" t="s">
        <v>343</v>
      </c>
      <c r="C47" s="51">
        <v>12440439</v>
      </c>
      <c r="D47" s="51">
        <v>12016773</v>
      </c>
      <c r="E47" s="174">
        <v>11113975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0.86152148807979667</v>
      </c>
      <c r="D49" s="175">
        <f>IF(D38=0,0,IF(D51=0,0,(D50/D51)/D38))</f>
        <v>0.82187012195438502</v>
      </c>
      <c r="E49" s="175">
        <f>IF(E38=0,0,IF(E51=0,0,(E50/E51)/E38))</f>
        <v>0.84821669503911101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98441244</v>
      </c>
      <c r="D50" s="176">
        <v>99961314</v>
      </c>
      <c r="E50" s="176">
        <v>107064062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243761397</v>
      </c>
      <c r="D51" s="176">
        <v>263565863</v>
      </c>
      <c r="E51" s="176">
        <v>280622072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0.69917645952385465</v>
      </c>
      <c r="D53" s="175">
        <f>IF(D38=0,0,IF(D55=0,0,(D54/D55)/D38))</f>
        <v>0.7610862231696025</v>
      </c>
      <c r="E53" s="175">
        <f>IF(E38=0,0,IF(E55=0,0,(E54/E55)/E38))</f>
        <v>0.67358654619696645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26012944</v>
      </c>
      <c r="D54" s="176">
        <v>38001104</v>
      </c>
      <c r="E54" s="176">
        <v>35000127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79370051</v>
      </c>
      <c r="D55" s="176">
        <v>108198876</v>
      </c>
      <c r="E55" s="176">
        <v>115521054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8219444.3054407993</v>
      </c>
      <c r="D57" s="53">
        <f>+D60*D38</f>
        <v>7851174.8210829254</v>
      </c>
      <c r="E57" s="53">
        <f>+E60*E38</f>
        <v>6638637.4329132084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3153445</v>
      </c>
      <c r="D58" s="51">
        <v>3148344</v>
      </c>
      <c r="E58" s="52">
        <v>2828618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14381177</v>
      </c>
      <c r="D59" s="51">
        <v>13865210</v>
      </c>
      <c r="E59" s="52">
        <v>11930618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17534622</v>
      </c>
      <c r="D60" s="51">
        <v>17013554</v>
      </c>
      <c r="E60" s="52">
        <v>14759236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2.7430246925491501E-2</v>
      </c>
      <c r="D62" s="178">
        <f>IF(D63=0,0,+D57/D63)</f>
        <v>2.5137344935700676E-2</v>
      </c>
      <c r="E62" s="178">
        <f>IF(E63=0,0,+E57/E63)</f>
        <v>2.0863443354330272E-2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299648936</v>
      </c>
      <c r="D63" s="176">
        <v>312331109</v>
      </c>
      <c r="E63" s="176">
        <v>318194716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3.708627930776363</v>
      </c>
      <c r="D67" s="179">
        <f>IF(D69=0,0,D68/D69)</f>
        <v>3.8798612172870093</v>
      </c>
      <c r="E67" s="179">
        <f>IF(E69=0,0,E68/E69)</f>
        <v>4.0591192424837406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188159530</v>
      </c>
      <c r="D68" s="180">
        <v>189459218</v>
      </c>
      <c r="E68" s="180">
        <v>206704027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50735618</v>
      </c>
      <c r="D69" s="180">
        <v>48831442</v>
      </c>
      <c r="E69" s="180">
        <v>50923369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175.19389269910491</v>
      </c>
      <c r="D71" s="181">
        <f>IF((D77/365)=0,0,+D74/(D77/365))</f>
        <v>180.36229022155615</v>
      </c>
      <c r="E71" s="181">
        <f>IF((E77/365)=0,0,+E74/(E77/365))</f>
        <v>185.32584550710868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29002112</v>
      </c>
      <c r="D72" s="182">
        <v>39933225</v>
      </c>
      <c r="E72" s="182">
        <v>13568654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106795008</v>
      </c>
      <c r="D73" s="184">
        <v>105904042</v>
      </c>
      <c r="E73" s="184">
        <v>138433638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135797120</v>
      </c>
      <c r="D74" s="180">
        <f>+D72+D73</f>
        <v>145837267</v>
      </c>
      <c r="E74" s="180">
        <f>+E72+E73</f>
        <v>152002292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299648936</v>
      </c>
      <c r="D75" s="180">
        <f>+D14</f>
        <v>312331109</v>
      </c>
      <c r="E75" s="180">
        <f>+E14</f>
        <v>318194716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16728407</v>
      </c>
      <c r="D76" s="180">
        <v>17199558</v>
      </c>
      <c r="E76" s="180">
        <v>18825589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282920529</v>
      </c>
      <c r="D77" s="180">
        <f>+D75-D76</f>
        <v>295131551</v>
      </c>
      <c r="E77" s="180">
        <f>+E75-E76</f>
        <v>299369127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25.154664892884309</v>
      </c>
      <c r="D79" s="179">
        <f>IF((D84/365)=0,0,+D83/(D84/365))</f>
        <v>25.281927652872351</v>
      </c>
      <c r="E79" s="179">
        <f>IF((E84/365)=0,0,+E83/(E84/365))</f>
        <v>26.288663438212172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29686477</v>
      </c>
      <c r="D80" s="189">
        <v>29920862</v>
      </c>
      <c r="E80" s="189">
        <v>28719548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8559110</v>
      </c>
      <c r="D82" s="190">
        <v>7838088</v>
      </c>
      <c r="E82" s="190">
        <v>5409556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21127367</v>
      </c>
      <c r="D83" s="191">
        <f>+D80+D81-D82</f>
        <v>22082774</v>
      </c>
      <c r="E83" s="191">
        <f>+E80+E81-E82</f>
        <v>23309992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306562977</v>
      </c>
      <c r="D84" s="191">
        <f>+D11</f>
        <v>318813210</v>
      </c>
      <c r="E84" s="191">
        <f>+E11</f>
        <v>323643197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65.45477853959477</v>
      </c>
      <c r="D86" s="179">
        <f>IF((D90/365)=0,0,+D87/(D90/365))</f>
        <v>60.391633051797974</v>
      </c>
      <c r="E86" s="179">
        <f>IF((E90/365)=0,0,+E87/(E90/365))</f>
        <v>62.087329683130619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50735618</v>
      </c>
      <c r="D87" s="51">
        <f>+D69</f>
        <v>48831442</v>
      </c>
      <c r="E87" s="51">
        <f>+E69</f>
        <v>50923369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299648936</v>
      </c>
      <c r="D88" s="51">
        <f t="shared" si="0"/>
        <v>312331109</v>
      </c>
      <c r="E88" s="51">
        <f t="shared" si="0"/>
        <v>318194716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16728407</v>
      </c>
      <c r="D89" s="52">
        <f t="shared" si="0"/>
        <v>17199558</v>
      </c>
      <c r="E89" s="52">
        <f t="shared" si="0"/>
        <v>18825589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282920529</v>
      </c>
      <c r="D90" s="51">
        <f>+D88-D89</f>
        <v>295131551</v>
      </c>
      <c r="E90" s="51">
        <f>+E88-E89</f>
        <v>299369127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47.724345013604378</v>
      </c>
      <c r="D94" s="192">
        <f>IF(D96=0,0,(D95/D96)*100)</f>
        <v>46.764782060287864</v>
      </c>
      <c r="E94" s="192">
        <f>IF(E96=0,0,(E95/E96)*100)</f>
        <v>45.993190300134835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161616678</v>
      </c>
      <c r="D95" s="51">
        <f>+D32</f>
        <v>165780674</v>
      </c>
      <c r="E95" s="51">
        <f>+E32</f>
        <v>169995622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338646194</v>
      </c>
      <c r="D96" s="51">
        <v>354498977</v>
      </c>
      <c r="E96" s="51">
        <v>369610416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18.021573104328954</v>
      </c>
      <c r="D98" s="192">
        <f>IF(D104=0,0,(D101/D104)*100)</f>
        <v>33.473230923554183</v>
      </c>
      <c r="E98" s="192">
        <f>IF(E104=0,0,(E101/E104)*100)</f>
        <v>34.303240805803021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3567263</v>
      </c>
      <c r="D99" s="51">
        <f>+D28</f>
        <v>26677609</v>
      </c>
      <c r="E99" s="51">
        <f>+E28</f>
        <v>25916329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16728407</v>
      </c>
      <c r="D100" s="52">
        <f>+D76</f>
        <v>17199558</v>
      </c>
      <c r="E100" s="52">
        <f>+E76</f>
        <v>18825589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20295670</v>
      </c>
      <c r="D101" s="51">
        <f>+D99+D100</f>
        <v>43877167</v>
      </c>
      <c r="E101" s="51">
        <f>+E99+E100</f>
        <v>44741918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50735618</v>
      </c>
      <c r="D102" s="180">
        <f>+D69</f>
        <v>48831442</v>
      </c>
      <c r="E102" s="180">
        <f>+E69</f>
        <v>50923369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61883130</v>
      </c>
      <c r="D103" s="194">
        <v>82249920</v>
      </c>
      <c r="E103" s="194">
        <v>79507217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112618748</v>
      </c>
      <c r="D104" s="180">
        <f>+D102+D103</f>
        <v>131081362</v>
      </c>
      <c r="E104" s="180">
        <f>+E102+E103</f>
        <v>130430586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27.68822512813971</v>
      </c>
      <c r="D106" s="197">
        <f>IF(D109=0,0,(D107/D109)*100)</f>
        <v>33.161199460740718</v>
      </c>
      <c r="E106" s="197">
        <f>IF(E109=0,0,(E107/E109)*100)</f>
        <v>31.866257441663819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61883130</v>
      </c>
      <c r="D107" s="180">
        <f>+D103</f>
        <v>82249920</v>
      </c>
      <c r="E107" s="180">
        <f>+E103</f>
        <v>79507217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161616678</v>
      </c>
      <c r="D108" s="180">
        <f>+D32</f>
        <v>165780674</v>
      </c>
      <c r="E108" s="180">
        <f>+E32</f>
        <v>169995622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223499808</v>
      </c>
      <c r="D109" s="180">
        <f>+D107+D108</f>
        <v>248030594</v>
      </c>
      <c r="E109" s="180">
        <f>+E107+E108</f>
        <v>249502839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4.5508447391470046</v>
      </c>
      <c r="D111" s="197">
        <f>IF((+D113+D115)=0,0,((+D112+D113+D114)/(+D113+D115)))</f>
        <v>9.2415697297288624</v>
      </c>
      <c r="E111" s="197">
        <f>IF((+E113+E115)=0,0,((+E112+E113+E114)/(+E113+E115)))</f>
        <v>8.9959820240596819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3567263</v>
      </c>
      <c r="D112" s="180">
        <f>+D17</f>
        <v>26677609</v>
      </c>
      <c r="E112" s="180">
        <f>+E17</f>
        <v>25916329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2332245</v>
      </c>
      <c r="D113" s="180">
        <v>2212177</v>
      </c>
      <c r="E113" s="180">
        <v>2315992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16728407</v>
      </c>
      <c r="D114" s="180">
        <v>17199558</v>
      </c>
      <c r="E114" s="180">
        <v>18825589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2640000</v>
      </c>
      <c r="D115" s="180">
        <v>2775000</v>
      </c>
      <c r="E115" s="180">
        <v>2915000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11.580594434365448</v>
      </c>
      <c r="D119" s="197">
        <f>IF(+D121=0,0,(+D120)/(+D121))</f>
        <v>12.233739320510447</v>
      </c>
      <c r="E119" s="197">
        <f>IF(+E121=0,0,(+E120)/(+E121))</f>
        <v>11.936412507465239</v>
      </c>
    </row>
    <row r="120" spans="1:8" ht="24" customHeight="1" x14ac:dyDescent="0.25">
      <c r="A120" s="17">
        <v>21</v>
      </c>
      <c r="B120" s="48" t="s">
        <v>381</v>
      </c>
      <c r="C120" s="180">
        <v>193724897</v>
      </c>
      <c r="D120" s="180">
        <v>210414909</v>
      </c>
      <c r="E120" s="180">
        <v>224709996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16728407</v>
      </c>
      <c r="D121" s="180">
        <v>17199558</v>
      </c>
      <c r="E121" s="180">
        <v>18825589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71761</v>
      </c>
      <c r="D124" s="198">
        <v>74082</v>
      </c>
      <c r="E124" s="198">
        <v>70558</v>
      </c>
    </row>
    <row r="125" spans="1:8" ht="24" customHeight="1" x14ac:dyDescent="0.2">
      <c r="A125" s="44">
        <v>2</v>
      </c>
      <c r="B125" s="48" t="s">
        <v>385</v>
      </c>
      <c r="C125" s="198">
        <v>15464</v>
      </c>
      <c r="D125" s="198">
        <v>15328</v>
      </c>
      <c r="E125" s="198">
        <v>14932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4.6405199172271079</v>
      </c>
      <c r="D126" s="199">
        <f>IF(D125=0,0,D124/D125)</f>
        <v>4.8331158663883089</v>
      </c>
      <c r="E126" s="199">
        <f>IF(E125=0,0,E124/E125)</f>
        <v>4.7252879721403698</v>
      </c>
    </row>
    <row r="127" spans="1:8" ht="24" customHeight="1" x14ac:dyDescent="0.2">
      <c r="A127" s="44">
        <v>4</v>
      </c>
      <c r="B127" s="48" t="s">
        <v>387</v>
      </c>
      <c r="C127" s="198">
        <v>256</v>
      </c>
      <c r="D127" s="198">
        <v>256</v>
      </c>
      <c r="E127" s="198">
        <v>256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256</v>
      </c>
      <c r="E128" s="198">
        <v>256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308</v>
      </c>
      <c r="D129" s="198">
        <v>308</v>
      </c>
      <c r="E129" s="198">
        <v>308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0.76790000000000003</v>
      </c>
      <c r="D130" s="171">
        <v>0.79279999999999995</v>
      </c>
      <c r="E130" s="171">
        <v>0.75509999999999999</v>
      </c>
    </row>
    <row r="131" spans="1:8" ht="24" customHeight="1" x14ac:dyDescent="0.2">
      <c r="A131" s="44">
        <v>7</v>
      </c>
      <c r="B131" s="48" t="s">
        <v>391</v>
      </c>
      <c r="C131" s="171">
        <v>0.76790000000000003</v>
      </c>
      <c r="D131" s="171">
        <v>0.79279999999999995</v>
      </c>
      <c r="E131" s="171">
        <v>0.75509999999999999</v>
      </c>
    </row>
    <row r="132" spans="1:8" ht="24" customHeight="1" x14ac:dyDescent="0.2">
      <c r="A132" s="44">
        <v>8</v>
      </c>
      <c r="B132" s="48" t="s">
        <v>392</v>
      </c>
      <c r="C132" s="199">
        <v>1892.8</v>
      </c>
      <c r="D132" s="199">
        <v>1939.1</v>
      </c>
      <c r="E132" s="199">
        <v>1954.8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0.3820032857992286</v>
      </c>
      <c r="D135" s="203">
        <f>IF(D149=0,0,D143/D149)</f>
        <v>0.36332970799302539</v>
      </c>
      <c r="E135" s="203">
        <f>IF(E149=0,0,E143/E149)</f>
        <v>0.35729693854437022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0.39004872265631874</v>
      </c>
      <c r="D136" s="203">
        <f>IF(D149=0,0,D144/D149)</f>
        <v>0.39864101919393541</v>
      </c>
      <c r="E136" s="203">
        <f>IF(E149=0,0,E144/E149)</f>
        <v>0.40553072833802734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0.12700200848338949</v>
      </c>
      <c r="D137" s="203">
        <f>IF(D149=0,0,D145/D149)</f>
        <v>0.16364983580699236</v>
      </c>
      <c r="E137" s="203">
        <f>IF(E149=0,0,E145/E149)</f>
        <v>0.16694102795661983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2.7087259626891669E-2</v>
      </c>
      <c r="D138" s="203">
        <f>IF(D149=0,0,D146/D149)</f>
        <v>2.8751321236590937E-3</v>
      </c>
      <c r="E138" s="203">
        <f>IF(E149=0,0,E146/E149)</f>
        <v>2.1978903751307412E-3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1.9906258336851636E-2</v>
      </c>
      <c r="D139" s="203">
        <f>IF(D149=0,0,D147/D149)</f>
        <v>1.8175262082943438E-2</v>
      </c>
      <c r="E139" s="203">
        <f>IF(E149=0,0,E147/E149)</f>
        <v>1.6060954665321647E-2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5.3952465097319893E-2</v>
      </c>
      <c r="D140" s="203">
        <f>IF(D149=0,0,D148/D149)</f>
        <v>5.3329042799444344E-2</v>
      </c>
      <c r="E140" s="203">
        <f>IF(E149=0,0,E148/E149)</f>
        <v>5.1972460120530237E-2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238733392</v>
      </c>
      <c r="D143" s="205">
        <f>+D46-D147</f>
        <v>240219404</v>
      </c>
      <c r="E143" s="205">
        <f>+E46-E147</f>
        <v>247244907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243761397</v>
      </c>
      <c r="D144" s="205">
        <f>+D51</f>
        <v>263565863</v>
      </c>
      <c r="E144" s="205">
        <f>+E51</f>
        <v>280622072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79370051</v>
      </c>
      <c r="D145" s="205">
        <f>+D55</f>
        <v>108198876</v>
      </c>
      <c r="E145" s="205">
        <f>+E55</f>
        <v>115521054</v>
      </c>
    </row>
    <row r="146" spans="1:7" ht="20.100000000000001" customHeight="1" x14ac:dyDescent="0.2">
      <c r="A146" s="202">
        <v>11</v>
      </c>
      <c r="B146" s="201" t="s">
        <v>404</v>
      </c>
      <c r="C146" s="204">
        <v>16928214</v>
      </c>
      <c r="D146" s="205">
        <v>1900925</v>
      </c>
      <c r="E146" s="205">
        <v>1520912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12440439</v>
      </c>
      <c r="D147" s="205">
        <f>+D47</f>
        <v>12016773</v>
      </c>
      <c r="E147" s="205">
        <f>+E47</f>
        <v>11113975</v>
      </c>
    </row>
    <row r="148" spans="1:7" ht="20.100000000000001" customHeight="1" x14ac:dyDescent="0.2">
      <c r="A148" s="202">
        <v>13</v>
      </c>
      <c r="B148" s="201" t="s">
        <v>406</v>
      </c>
      <c r="C148" s="206">
        <v>33717655</v>
      </c>
      <c r="D148" s="205">
        <v>35259079</v>
      </c>
      <c r="E148" s="205">
        <v>35964277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624951148</v>
      </c>
      <c r="D149" s="205">
        <f>SUM(D143:D148)</f>
        <v>661160920</v>
      </c>
      <c r="E149" s="205">
        <f>SUM(E143:E148)</f>
        <v>691987197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0.51684159512129679</v>
      </c>
      <c r="D152" s="203">
        <f>IF(D166=0,0,D160/D166)</f>
        <v>0.49928829835749405</v>
      </c>
      <c r="E152" s="203">
        <f>IF(E166=0,0,E160/E166)</f>
        <v>0.50318138362180798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0.33666447518327514</v>
      </c>
      <c r="D153" s="203">
        <f>IF(D166=0,0,D161/D166)</f>
        <v>0.32988252999902423</v>
      </c>
      <c r="E153" s="203">
        <f>IF(E166=0,0,E161/E166)</f>
        <v>0.34310917344998626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8.8963058408038059E-2</v>
      </c>
      <c r="D154" s="203">
        <f>IF(D166=0,0,D162/D166)</f>
        <v>0.12540751845535003</v>
      </c>
      <c r="E154" s="203">
        <f>IF(E166=0,0,E162/E166)</f>
        <v>0.11216522539201387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1.297035141779883E-2</v>
      </c>
      <c r="D155" s="203">
        <f>IF(D166=0,0,D163/D166)</f>
        <v>1.9332954413424216E-3</v>
      </c>
      <c r="E155" s="203">
        <f>IF(E166=0,0,E163/E166)</f>
        <v>1.3191864526768315E-3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0</v>
      </c>
      <c r="D156" s="203">
        <f>IF(D166=0,0,D164/D166)</f>
        <v>0</v>
      </c>
      <c r="E156" s="203">
        <f>IF(E166=0,0,E164/E166)</f>
        <v>0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4.4560519869591156E-2</v>
      </c>
      <c r="D157" s="203">
        <f>IF(D166=0,0,D165/D166)</f>
        <v>4.348835774678924E-2</v>
      </c>
      <c r="E157" s="203">
        <f>IF(E166=0,0,E165/E166)</f>
        <v>4.0225031083515064E-2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151125329</v>
      </c>
      <c r="D160" s="208">
        <f>+D44-D164</f>
        <v>151294809</v>
      </c>
      <c r="E160" s="208">
        <f>+E44-E164</f>
        <v>157013123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98441244</v>
      </c>
      <c r="D161" s="208">
        <f>+D50</f>
        <v>99961314</v>
      </c>
      <c r="E161" s="208">
        <f>+E50</f>
        <v>107064062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26012944</v>
      </c>
      <c r="D162" s="208">
        <f>+D54</f>
        <v>38001104</v>
      </c>
      <c r="E162" s="208">
        <f>+E54</f>
        <v>35000127</v>
      </c>
    </row>
    <row r="163" spans="1:6" ht="20.100000000000001" customHeight="1" x14ac:dyDescent="0.2">
      <c r="A163" s="202">
        <v>11</v>
      </c>
      <c r="B163" s="201" t="s">
        <v>420</v>
      </c>
      <c r="C163" s="207">
        <v>3792552</v>
      </c>
      <c r="D163" s="208">
        <v>585829</v>
      </c>
      <c r="E163" s="208">
        <v>411640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0</v>
      </c>
      <c r="D164" s="208">
        <f>+D45</f>
        <v>0</v>
      </c>
      <c r="E164" s="208">
        <f>+E45</f>
        <v>0</v>
      </c>
    </row>
    <row r="165" spans="1:6" ht="20.100000000000001" customHeight="1" x14ac:dyDescent="0.2">
      <c r="A165" s="202">
        <v>13</v>
      </c>
      <c r="B165" s="201" t="s">
        <v>422</v>
      </c>
      <c r="C165" s="209">
        <v>13029569</v>
      </c>
      <c r="D165" s="208">
        <v>13177883</v>
      </c>
      <c r="E165" s="208">
        <v>12551851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292401638</v>
      </c>
      <c r="D166" s="208">
        <f>SUM(D160:D165)</f>
        <v>303020939</v>
      </c>
      <c r="E166" s="208">
        <f>SUM(E160:E165)</f>
        <v>312040803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4669</v>
      </c>
      <c r="D169" s="198">
        <v>4292</v>
      </c>
      <c r="E169" s="198">
        <v>4075</v>
      </c>
    </row>
    <row r="170" spans="1:6" ht="20.100000000000001" customHeight="1" x14ac:dyDescent="0.2">
      <c r="A170" s="202">
        <v>2</v>
      </c>
      <c r="B170" s="201" t="s">
        <v>426</v>
      </c>
      <c r="C170" s="198">
        <v>6829</v>
      </c>
      <c r="D170" s="198">
        <v>6897</v>
      </c>
      <c r="E170" s="198">
        <v>6829</v>
      </c>
    </row>
    <row r="171" spans="1:6" ht="20.100000000000001" customHeight="1" x14ac:dyDescent="0.2">
      <c r="A171" s="202">
        <v>3</v>
      </c>
      <c r="B171" s="201" t="s">
        <v>427</v>
      </c>
      <c r="C171" s="198">
        <v>3012</v>
      </c>
      <c r="D171" s="198">
        <v>3249</v>
      </c>
      <c r="E171" s="198">
        <v>3059</v>
      </c>
    </row>
    <row r="172" spans="1:6" ht="20.100000000000001" customHeight="1" x14ac:dyDescent="0.2">
      <c r="A172" s="202">
        <v>4</v>
      </c>
      <c r="B172" s="201" t="s">
        <v>428</v>
      </c>
      <c r="C172" s="198">
        <v>2568</v>
      </c>
      <c r="D172" s="198">
        <v>3192</v>
      </c>
      <c r="E172" s="198">
        <v>3028</v>
      </c>
    </row>
    <row r="173" spans="1:6" ht="20.100000000000001" customHeight="1" x14ac:dyDescent="0.2">
      <c r="A173" s="202">
        <v>5</v>
      </c>
      <c r="B173" s="201" t="s">
        <v>429</v>
      </c>
      <c r="C173" s="198">
        <v>444</v>
      </c>
      <c r="D173" s="198">
        <v>57</v>
      </c>
      <c r="E173" s="198">
        <v>31</v>
      </c>
    </row>
    <row r="174" spans="1:6" ht="20.100000000000001" customHeight="1" x14ac:dyDescent="0.2">
      <c r="A174" s="202">
        <v>6</v>
      </c>
      <c r="B174" s="201" t="s">
        <v>430</v>
      </c>
      <c r="C174" s="198">
        <v>954</v>
      </c>
      <c r="D174" s="198">
        <v>890</v>
      </c>
      <c r="E174" s="198">
        <v>969</v>
      </c>
    </row>
    <row r="175" spans="1:6" ht="20.100000000000001" customHeight="1" x14ac:dyDescent="0.2">
      <c r="A175" s="202">
        <v>7</v>
      </c>
      <c r="B175" s="201" t="s">
        <v>431</v>
      </c>
      <c r="C175" s="198">
        <v>168</v>
      </c>
      <c r="D175" s="198">
        <v>89</v>
      </c>
      <c r="E175" s="198">
        <v>69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15464</v>
      </c>
      <c r="D176" s="198">
        <f>+D169+D170+D171+D174</f>
        <v>15328</v>
      </c>
      <c r="E176" s="198">
        <f>+E169+E170+E171+E174</f>
        <v>14932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1.0587</v>
      </c>
      <c r="D179" s="210">
        <v>1.1148</v>
      </c>
      <c r="E179" s="210">
        <v>1.149</v>
      </c>
    </row>
    <row r="180" spans="1:6" ht="20.100000000000001" customHeight="1" x14ac:dyDescent="0.2">
      <c r="A180" s="202">
        <v>2</v>
      </c>
      <c r="B180" s="201" t="s">
        <v>426</v>
      </c>
      <c r="C180" s="210">
        <v>1.4489000000000001</v>
      </c>
      <c r="D180" s="210">
        <v>1.4370000000000001</v>
      </c>
      <c r="E180" s="210">
        <v>1.4081999999999999</v>
      </c>
    </row>
    <row r="181" spans="1:6" ht="20.100000000000001" customHeight="1" x14ac:dyDescent="0.2">
      <c r="A181" s="202">
        <v>3</v>
      </c>
      <c r="B181" s="201" t="s">
        <v>427</v>
      </c>
      <c r="C181" s="210">
        <v>0.92398199999999997</v>
      </c>
      <c r="D181" s="210">
        <v>0.95108700000000002</v>
      </c>
      <c r="E181" s="210">
        <v>0.99612199999999995</v>
      </c>
    </row>
    <row r="182" spans="1:6" ht="20.100000000000001" customHeight="1" x14ac:dyDescent="0.2">
      <c r="A182" s="202">
        <v>4</v>
      </c>
      <c r="B182" s="201" t="s">
        <v>428</v>
      </c>
      <c r="C182" s="210">
        <v>0.8931</v>
      </c>
      <c r="D182" s="210">
        <v>0.95279999999999998</v>
      </c>
      <c r="E182" s="210">
        <v>0.99660000000000004</v>
      </c>
    </row>
    <row r="183" spans="1:6" ht="20.100000000000001" customHeight="1" x14ac:dyDescent="0.2">
      <c r="A183" s="202">
        <v>5</v>
      </c>
      <c r="B183" s="201" t="s">
        <v>429</v>
      </c>
      <c r="C183" s="210">
        <v>1.1026</v>
      </c>
      <c r="D183" s="210">
        <v>0.85519999999999996</v>
      </c>
      <c r="E183" s="210">
        <v>0.94950000000000001</v>
      </c>
    </row>
    <row r="184" spans="1:6" ht="20.100000000000001" customHeight="1" x14ac:dyDescent="0.2">
      <c r="A184" s="202">
        <v>6</v>
      </c>
      <c r="B184" s="201" t="s">
        <v>430</v>
      </c>
      <c r="C184" s="210">
        <v>0.73019999999999996</v>
      </c>
      <c r="D184" s="210">
        <v>0.90339999999999998</v>
      </c>
      <c r="E184" s="210">
        <v>0.89590000000000003</v>
      </c>
    </row>
    <row r="185" spans="1:6" ht="20.100000000000001" customHeight="1" x14ac:dyDescent="0.2">
      <c r="A185" s="202">
        <v>7</v>
      </c>
      <c r="B185" s="201" t="s">
        <v>431</v>
      </c>
      <c r="C185" s="210">
        <v>0.91869999999999996</v>
      </c>
      <c r="D185" s="210">
        <v>0.89100000000000001</v>
      </c>
      <c r="E185" s="210">
        <v>1.1487000000000001</v>
      </c>
    </row>
    <row r="186" spans="1:6" ht="20.100000000000001" customHeight="1" x14ac:dyDescent="0.2">
      <c r="A186" s="202">
        <v>8</v>
      </c>
      <c r="B186" s="201" t="s">
        <v>435</v>
      </c>
      <c r="C186" s="210">
        <v>1.184509</v>
      </c>
      <c r="D186" s="210">
        <v>1.212801</v>
      </c>
      <c r="E186" s="210">
        <v>1.2197990000000001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7469</v>
      </c>
      <c r="D189" s="198">
        <v>7543</v>
      </c>
      <c r="E189" s="198">
        <v>6525</v>
      </c>
    </row>
    <row r="190" spans="1:6" ht="20.100000000000001" customHeight="1" x14ac:dyDescent="0.2">
      <c r="A190" s="202">
        <v>2</v>
      </c>
      <c r="B190" s="201" t="s">
        <v>439</v>
      </c>
      <c r="C190" s="198">
        <v>73421</v>
      </c>
      <c r="D190" s="198">
        <v>72571</v>
      </c>
      <c r="E190" s="198">
        <v>76140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80890</v>
      </c>
      <c r="D191" s="198">
        <f>+D190+D189</f>
        <v>80114</v>
      </c>
      <c r="E191" s="198">
        <f>+E190+E189</f>
        <v>82665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FILING&amp;RLAWRENCE AND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604664</v>
      </c>
      <c r="D14" s="237">
        <v>1072052</v>
      </c>
      <c r="E14" s="237">
        <f t="shared" ref="E14:E24" si="0">D14-C14</f>
        <v>467388</v>
      </c>
      <c r="F14" s="238">
        <f t="shared" ref="F14:F24" si="1">IF(C14=0,0,E14/C14)</f>
        <v>0.77297143537567969</v>
      </c>
    </row>
    <row r="15" spans="1:7" ht="20.25" customHeight="1" x14ac:dyDescent="0.3">
      <c r="A15" s="235">
        <v>2</v>
      </c>
      <c r="B15" s="236" t="s">
        <v>447</v>
      </c>
      <c r="C15" s="237">
        <v>105625</v>
      </c>
      <c r="D15" s="237">
        <v>434721</v>
      </c>
      <c r="E15" s="237">
        <f t="shared" si="0"/>
        <v>329096</v>
      </c>
      <c r="F15" s="238">
        <f t="shared" si="1"/>
        <v>3.115701775147929</v>
      </c>
    </row>
    <row r="16" spans="1:7" ht="20.25" customHeight="1" x14ac:dyDescent="0.3">
      <c r="A16" s="235">
        <v>3</v>
      </c>
      <c r="B16" s="236" t="s">
        <v>448</v>
      </c>
      <c r="C16" s="237">
        <v>613242</v>
      </c>
      <c r="D16" s="237">
        <v>1035149</v>
      </c>
      <c r="E16" s="237">
        <f t="shared" si="0"/>
        <v>421907</v>
      </c>
      <c r="F16" s="238">
        <f t="shared" si="1"/>
        <v>0.68799429915106924</v>
      </c>
    </row>
    <row r="17" spans="1:6" ht="20.25" customHeight="1" x14ac:dyDescent="0.3">
      <c r="A17" s="235">
        <v>4</v>
      </c>
      <c r="B17" s="236" t="s">
        <v>449</v>
      </c>
      <c r="C17" s="237">
        <v>22323</v>
      </c>
      <c r="D17" s="237">
        <v>348570</v>
      </c>
      <c r="E17" s="237">
        <f t="shared" si="0"/>
        <v>326247</v>
      </c>
      <c r="F17" s="238">
        <f t="shared" si="1"/>
        <v>14.61483671549523</v>
      </c>
    </row>
    <row r="18" spans="1:6" ht="20.25" customHeight="1" x14ac:dyDescent="0.3">
      <c r="A18" s="235">
        <v>5</v>
      </c>
      <c r="B18" s="236" t="s">
        <v>385</v>
      </c>
      <c r="C18" s="239">
        <v>28</v>
      </c>
      <c r="D18" s="239">
        <v>43</v>
      </c>
      <c r="E18" s="239">
        <f t="shared" si="0"/>
        <v>15</v>
      </c>
      <c r="F18" s="238">
        <f t="shared" si="1"/>
        <v>0.5357142857142857</v>
      </c>
    </row>
    <row r="19" spans="1:6" ht="20.25" customHeight="1" x14ac:dyDescent="0.3">
      <c r="A19" s="235">
        <v>6</v>
      </c>
      <c r="B19" s="236" t="s">
        <v>384</v>
      </c>
      <c r="C19" s="239">
        <v>180</v>
      </c>
      <c r="D19" s="239">
        <v>237</v>
      </c>
      <c r="E19" s="239">
        <f t="shared" si="0"/>
        <v>57</v>
      </c>
      <c r="F19" s="238">
        <f t="shared" si="1"/>
        <v>0.31666666666666665</v>
      </c>
    </row>
    <row r="20" spans="1:6" ht="20.25" customHeight="1" x14ac:dyDescent="0.3">
      <c r="A20" s="235">
        <v>7</v>
      </c>
      <c r="B20" s="236" t="s">
        <v>450</v>
      </c>
      <c r="C20" s="239">
        <v>696</v>
      </c>
      <c r="D20" s="239">
        <v>871</v>
      </c>
      <c r="E20" s="239">
        <f t="shared" si="0"/>
        <v>175</v>
      </c>
      <c r="F20" s="238">
        <f t="shared" si="1"/>
        <v>0.25143678160919541</v>
      </c>
    </row>
    <row r="21" spans="1:6" ht="20.25" customHeight="1" x14ac:dyDescent="0.3">
      <c r="A21" s="235">
        <v>8</v>
      </c>
      <c r="B21" s="236" t="s">
        <v>451</v>
      </c>
      <c r="C21" s="239">
        <v>47</v>
      </c>
      <c r="D21" s="239">
        <v>76</v>
      </c>
      <c r="E21" s="239">
        <f t="shared" si="0"/>
        <v>29</v>
      </c>
      <c r="F21" s="238">
        <f t="shared" si="1"/>
        <v>0.61702127659574468</v>
      </c>
    </row>
    <row r="22" spans="1:6" ht="20.25" customHeight="1" x14ac:dyDescent="0.3">
      <c r="A22" s="235">
        <v>9</v>
      </c>
      <c r="B22" s="236" t="s">
        <v>452</v>
      </c>
      <c r="C22" s="239">
        <v>19</v>
      </c>
      <c r="D22" s="239">
        <v>23</v>
      </c>
      <c r="E22" s="239">
        <f t="shared" si="0"/>
        <v>4</v>
      </c>
      <c r="F22" s="238">
        <f t="shared" si="1"/>
        <v>0.21052631578947367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1217906</v>
      </c>
      <c r="D23" s="243">
        <f>+D14+D16</f>
        <v>2107201</v>
      </c>
      <c r="E23" s="243">
        <f t="shared" si="0"/>
        <v>889295</v>
      </c>
      <c r="F23" s="244">
        <f t="shared" si="1"/>
        <v>0.73018361022936085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127948</v>
      </c>
      <c r="D24" s="243">
        <f>+D15+D17</f>
        <v>783291</v>
      </c>
      <c r="E24" s="243">
        <f t="shared" si="0"/>
        <v>655343</v>
      </c>
      <c r="F24" s="244">
        <f t="shared" si="1"/>
        <v>5.1219479788664142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9258</v>
      </c>
      <c r="D29" s="237">
        <v>0</v>
      </c>
      <c r="E29" s="237">
        <f t="shared" si="2"/>
        <v>-9258</v>
      </c>
      <c r="F29" s="238">
        <f t="shared" si="3"/>
        <v>-1</v>
      </c>
    </row>
    <row r="30" spans="1:6" ht="20.25" customHeight="1" x14ac:dyDescent="0.3">
      <c r="A30" s="235">
        <v>4</v>
      </c>
      <c r="B30" s="236" t="s">
        <v>449</v>
      </c>
      <c r="C30" s="237">
        <v>2840</v>
      </c>
      <c r="D30" s="237">
        <v>0</v>
      </c>
      <c r="E30" s="237">
        <f t="shared" si="2"/>
        <v>-2840</v>
      </c>
      <c r="F30" s="238">
        <f t="shared" si="3"/>
        <v>-1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12</v>
      </c>
      <c r="D33" s="239">
        <v>0</v>
      </c>
      <c r="E33" s="239">
        <f t="shared" si="2"/>
        <v>-12</v>
      </c>
      <c r="F33" s="238">
        <f t="shared" si="3"/>
        <v>-1</v>
      </c>
    </row>
    <row r="34" spans="1:6" ht="20.25" customHeight="1" x14ac:dyDescent="0.3">
      <c r="A34" s="235">
        <v>8</v>
      </c>
      <c r="B34" s="236" t="s">
        <v>451</v>
      </c>
      <c r="C34" s="239">
        <v>3</v>
      </c>
      <c r="D34" s="239">
        <v>0</v>
      </c>
      <c r="E34" s="239">
        <f t="shared" si="2"/>
        <v>-3</v>
      </c>
      <c r="F34" s="238">
        <f t="shared" si="3"/>
        <v>-1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9258</v>
      </c>
      <c r="D36" s="243">
        <f>+D27+D29</f>
        <v>0</v>
      </c>
      <c r="E36" s="243">
        <f t="shared" si="2"/>
        <v>-9258</v>
      </c>
      <c r="F36" s="244">
        <f t="shared" si="3"/>
        <v>-1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2840</v>
      </c>
      <c r="D37" s="243">
        <f>+D28+D30</f>
        <v>0</v>
      </c>
      <c r="E37" s="243">
        <f t="shared" si="2"/>
        <v>-2840</v>
      </c>
      <c r="F37" s="244">
        <f t="shared" si="3"/>
        <v>-1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3358510</v>
      </c>
      <c r="D40" s="237">
        <v>5438897</v>
      </c>
      <c r="E40" s="237">
        <f t="shared" ref="E40:E50" si="4">D40-C40</f>
        <v>2080387</v>
      </c>
      <c r="F40" s="238">
        <f t="shared" ref="F40:F50" si="5">IF(C40=0,0,E40/C40)</f>
        <v>0.61943748864823989</v>
      </c>
    </row>
    <row r="41" spans="1:6" ht="20.25" customHeight="1" x14ac:dyDescent="0.3">
      <c r="A41" s="235">
        <v>2</v>
      </c>
      <c r="B41" s="236" t="s">
        <v>447</v>
      </c>
      <c r="C41" s="237">
        <v>1426221</v>
      </c>
      <c r="D41" s="237">
        <v>2224229</v>
      </c>
      <c r="E41" s="237">
        <f t="shared" si="4"/>
        <v>798008</v>
      </c>
      <c r="F41" s="238">
        <f t="shared" si="5"/>
        <v>0.55952618843783675</v>
      </c>
    </row>
    <row r="42" spans="1:6" ht="20.25" customHeight="1" x14ac:dyDescent="0.3">
      <c r="A42" s="235">
        <v>3</v>
      </c>
      <c r="B42" s="236" t="s">
        <v>448</v>
      </c>
      <c r="C42" s="237">
        <v>2843506</v>
      </c>
      <c r="D42" s="237">
        <v>5297236</v>
      </c>
      <c r="E42" s="237">
        <f t="shared" si="4"/>
        <v>2453730</v>
      </c>
      <c r="F42" s="238">
        <f t="shared" si="5"/>
        <v>0.8629241506787747</v>
      </c>
    </row>
    <row r="43" spans="1:6" ht="20.25" customHeight="1" x14ac:dyDescent="0.3">
      <c r="A43" s="235">
        <v>4</v>
      </c>
      <c r="B43" s="236" t="s">
        <v>449</v>
      </c>
      <c r="C43" s="237">
        <v>1006031</v>
      </c>
      <c r="D43" s="237">
        <v>1311699</v>
      </c>
      <c r="E43" s="237">
        <f t="shared" si="4"/>
        <v>305668</v>
      </c>
      <c r="F43" s="238">
        <f t="shared" si="5"/>
        <v>0.30383556769125403</v>
      </c>
    </row>
    <row r="44" spans="1:6" ht="20.25" customHeight="1" x14ac:dyDescent="0.3">
      <c r="A44" s="235">
        <v>5</v>
      </c>
      <c r="B44" s="236" t="s">
        <v>385</v>
      </c>
      <c r="C44" s="239">
        <v>119</v>
      </c>
      <c r="D44" s="239">
        <v>207</v>
      </c>
      <c r="E44" s="239">
        <f t="shared" si="4"/>
        <v>88</v>
      </c>
      <c r="F44" s="238">
        <f t="shared" si="5"/>
        <v>0.73949579831932777</v>
      </c>
    </row>
    <row r="45" spans="1:6" ht="20.25" customHeight="1" x14ac:dyDescent="0.3">
      <c r="A45" s="235">
        <v>6</v>
      </c>
      <c r="B45" s="236" t="s">
        <v>384</v>
      </c>
      <c r="C45" s="239">
        <v>751</v>
      </c>
      <c r="D45" s="239">
        <v>1108</v>
      </c>
      <c r="E45" s="239">
        <f t="shared" si="4"/>
        <v>357</v>
      </c>
      <c r="F45" s="238">
        <f t="shared" si="5"/>
        <v>0.47536617842876167</v>
      </c>
    </row>
    <row r="46" spans="1:6" ht="20.25" customHeight="1" x14ac:dyDescent="0.3">
      <c r="A46" s="235">
        <v>7</v>
      </c>
      <c r="B46" s="236" t="s">
        <v>450</v>
      </c>
      <c r="C46" s="239">
        <v>0</v>
      </c>
      <c r="D46" s="239">
        <v>5501</v>
      </c>
      <c r="E46" s="239">
        <f t="shared" si="4"/>
        <v>5501</v>
      </c>
      <c r="F46" s="238">
        <f t="shared" si="5"/>
        <v>0</v>
      </c>
    </row>
    <row r="47" spans="1:6" ht="20.25" customHeight="1" x14ac:dyDescent="0.3">
      <c r="A47" s="235">
        <v>8</v>
      </c>
      <c r="B47" s="236" t="s">
        <v>451</v>
      </c>
      <c r="C47" s="239">
        <v>0</v>
      </c>
      <c r="D47" s="239">
        <v>317</v>
      </c>
      <c r="E47" s="239">
        <f t="shared" si="4"/>
        <v>317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452</v>
      </c>
      <c r="C48" s="239">
        <v>0</v>
      </c>
      <c r="D48" s="239">
        <v>99</v>
      </c>
      <c r="E48" s="239">
        <f t="shared" si="4"/>
        <v>99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6202016</v>
      </c>
      <c r="D49" s="243">
        <f>+D40+D42</f>
        <v>10736133</v>
      </c>
      <c r="E49" s="243">
        <f t="shared" si="4"/>
        <v>4534117</v>
      </c>
      <c r="F49" s="244">
        <f t="shared" si="5"/>
        <v>0.73107147740347656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2432252</v>
      </c>
      <c r="D50" s="243">
        <f>+D41+D43</f>
        <v>3535928</v>
      </c>
      <c r="E50" s="243">
        <f t="shared" si="4"/>
        <v>1103676</v>
      </c>
      <c r="F50" s="244">
        <f t="shared" si="5"/>
        <v>0.45376712610370967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1809305</v>
      </c>
      <c r="D53" s="237">
        <v>0</v>
      </c>
      <c r="E53" s="237">
        <f t="shared" ref="E53:E63" si="6">D53-C53</f>
        <v>-1809305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270745</v>
      </c>
      <c r="D54" s="237">
        <v>0</v>
      </c>
      <c r="E54" s="237">
        <f t="shared" si="6"/>
        <v>-270745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1919342</v>
      </c>
      <c r="D55" s="237">
        <v>0</v>
      </c>
      <c r="E55" s="237">
        <f t="shared" si="6"/>
        <v>-1919342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32187</v>
      </c>
      <c r="D56" s="237">
        <v>0</v>
      </c>
      <c r="E56" s="237">
        <f t="shared" si="6"/>
        <v>-32187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75</v>
      </c>
      <c r="D57" s="239">
        <v>0</v>
      </c>
      <c r="E57" s="239">
        <f t="shared" si="6"/>
        <v>-75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365</v>
      </c>
      <c r="D58" s="239">
        <v>0</v>
      </c>
      <c r="E58" s="239">
        <f t="shared" si="6"/>
        <v>-365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5792</v>
      </c>
      <c r="D59" s="239">
        <v>0</v>
      </c>
      <c r="E59" s="239">
        <f t="shared" si="6"/>
        <v>-5792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277</v>
      </c>
      <c r="D60" s="239">
        <v>0</v>
      </c>
      <c r="E60" s="239">
        <f t="shared" si="6"/>
        <v>-277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95</v>
      </c>
      <c r="D61" s="239">
        <v>0</v>
      </c>
      <c r="E61" s="239">
        <f t="shared" si="6"/>
        <v>-95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3728647</v>
      </c>
      <c r="D62" s="243">
        <f>+D53+D55</f>
        <v>0</v>
      </c>
      <c r="E62" s="243">
        <f t="shared" si="6"/>
        <v>-3728647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302932</v>
      </c>
      <c r="D63" s="243">
        <f>+D54+D56</f>
        <v>0</v>
      </c>
      <c r="E63" s="243">
        <f t="shared" si="6"/>
        <v>-302932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0</v>
      </c>
      <c r="D66" s="237">
        <v>0</v>
      </c>
      <c r="E66" s="237">
        <f t="shared" ref="E66:E76" si="8">D66-C66</f>
        <v>0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447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448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 x14ac:dyDescent="0.3">
      <c r="A69" s="235">
        <v>4</v>
      </c>
      <c r="B69" s="236" t="s">
        <v>449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 x14ac:dyDescent="0.3">
      <c r="A70" s="235">
        <v>5</v>
      </c>
      <c r="B70" s="236" t="s">
        <v>385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384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450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 x14ac:dyDescent="0.3">
      <c r="A73" s="235">
        <v>8</v>
      </c>
      <c r="B73" s="236" t="s">
        <v>451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452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9288231</v>
      </c>
      <c r="D79" s="237">
        <v>159514</v>
      </c>
      <c r="E79" s="237">
        <f t="shared" ref="E79:E89" si="10">D79-C79</f>
        <v>-9128717</v>
      </c>
      <c r="F79" s="238">
        <f t="shared" ref="F79:F89" si="11">IF(C79=0,0,E79/C79)</f>
        <v>-0.98282622385252905</v>
      </c>
    </row>
    <row r="80" spans="1:6" ht="20.25" customHeight="1" x14ac:dyDescent="0.3">
      <c r="A80" s="235">
        <v>2</v>
      </c>
      <c r="B80" s="236" t="s">
        <v>447</v>
      </c>
      <c r="C80" s="237">
        <v>4109801</v>
      </c>
      <c r="D80" s="237">
        <v>65546</v>
      </c>
      <c r="E80" s="237">
        <f t="shared" si="10"/>
        <v>-4044255</v>
      </c>
      <c r="F80" s="238">
        <f t="shared" si="11"/>
        <v>-0.98405129591432772</v>
      </c>
    </row>
    <row r="81" spans="1:6" ht="20.25" customHeight="1" x14ac:dyDescent="0.3">
      <c r="A81" s="235">
        <v>3</v>
      </c>
      <c r="B81" s="236" t="s">
        <v>448</v>
      </c>
      <c r="C81" s="237">
        <v>7227366</v>
      </c>
      <c r="D81" s="237">
        <v>189118</v>
      </c>
      <c r="E81" s="237">
        <f t="shared" si="10"/>
        <v>-7038248</v>
      </c>
      <c r="F81" s="238">
        <f t="shared" si="11"/>
        <v>-0.97383306726129548</v>
      </c>
    </row>
    <row r="82" spans="1:6" ht="20.25" customHeight="1" x14ac:dyDescent="0.3">
      <c r="A82" s="235">
        <v>4</v>
      </c>
      <c r="B82" s="236" t="s">
        <v>449</v>
      </c>
      <c r="C82" s="237">
        <v>2368319</v>
      </c>
      <c r="D82" s="237">
        <v>38951</v>
      </c>
      <c r="E82" s="237">
        <f t="shared" si="10"/>
        <v>-2329368</v>
      </c>
      <c r="F82" s="238">
        <f t="shared" si="11"/>
        <v>-0.98355331355277731</v>
      </c>
    </row>
    <row r="83" spans="1:6" ht="20.25" customHeight="1" x14ac:dyDescent="0.3">
      <c r="A83" s="235">
        <v>5</v>
      </c>
      <c r="B83" s="236" t="s">
        <v>385</v>
      </c>
      <c r="C83" s="239">
        <v>374</v>
      </c>
      <c r="D83" s="239">
        <v>10</v>
      </c>
      <c r="E83" s="239">
        <f t="shared" si="10"/>
        <v>-364</v>
      </c>
      <c r="F83" s="238">
        <f t="shared" si="11"/>
        <v>-0.9732620320855615</v>
      </c>
    </row>
    <row r="84" spans="1:6" ht="20.25" customHeight="1" x14ac:dyDescent="0.3">
      <c r="A84" s="235">
        <v>6</v>
      </c>
      <c r="B84" s="236" t="s">
        <v>384</v>
      </c>
      <c r="C84" s="239">
        <v>2100</v>
      </c>
      <c r="D84" s="239">
        <v>38</v>
      </c>
      <c r="E84" s="239">
        <f t="shared" si="10"/>
        <v>-2062</v>
      </c>
      <c r="F84" s="238">
        <f t="shared" si="11"/>
        <v>-0.98190476190476195</v>
      </c>
    </row>
    <row r="85" spans="1:6" ht="20.25" customHeight="1" x14ac:dyDescent="0.3">
      <c r="A85" s="235">
        <v>7</v>
      </c>
      <c r="B85" s="236" t="s">
        <v>450</v>
      </c>
      <c r="C85" s="239">
        <v>8925</v>
      </c>
      <c r="D85" s="239">
        <v>54</v>
      </c>
      <c r="E85" s="239">
        <f t="shared" si="10"/>
        <v>-8871</v>
      </c>
      <c r="F85" s="238">
        <f t="shared" si="11"/>
        <v>-0.99394957983193277</v>
      </c>
    </row>
    <row r="86" spans="1:6" ht="20.25" customHeight="1" x14ac:dyDescent="0.3">
      <c r="A86" s="235">
        <v>8</v>
      </c>
      <c r="B86" s="236" t="s">
        <v>451</v>
      </c>
      <c r="C86" s="239">
        <v>584</v>
      </c>
      <c r="D86" s="239">
        <v>33</v>
      </c>
      <c r="E86" s="239">
        <f t="shared" si="10"/>
        <v>-551</v>
      </c>
      <c r="F86" s="238">
        <f t="shared" si="11"/>
        <v>-0.94349315068493156</v>
      </c>
    </row>
    <row r="87" spans="1:6" ht="20.25" customHeight="1" x14ac:dyDescent="0.3">
      <c r="A87" s="235">
        <v>9</v>
      </c>
      <c r="B87" s="236" t="s">
        <v>452</v>
      </c>
      <c r="C87" s="239">
        <v>212</v>
      </c>
      <c r="D87" s="239">
        <v>6</v>
      </c>
      <c r="E87" s="239">
        <f t="shared" si="10"/>
        <v>-206</v>
      </c>
      <c r="F87" s="238">
        <f t="shared" si="11"/>
        <v>-0.97169811320754718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16515597</v>
      </c>
      <c r="D88" s="243">
        <f>+D79+D81</f>
        <v>348632</v>
      </c>
      <c r="E88" s="243">
        <f t="shared" si="10"/>
        <v>-16166965</v>
      </c>
      <c r="F88" s="244">
        <f t="shared" si="11"/>
        <v>-0.9788907418847772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6478120</v>
      </c>
      <c r="D89" s="243">
        <f>+D80+D82</f>
        <v>104497</v>
      </c>
      <c r="E89" s="243">
        <f t="shared" si="10"/>
        <v>-6373623</v>
      </c>
      <c r="F89" s="244">
        <f t="shared" si="11"/>
        <v>-0.98386923984118846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0</v>
      </c>
      <c r="D92" s="237">
        <v>12123923</v>
      </c>
      <c r="E92" s="237">
        <f t="shared" ref="E92:E102" si="12">D92-C92</f>
        <v>12123923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447</v>
      </c>
      <c r="C93" s="237">
        <v>0</v>
      </c>
      <c r="D93" s="237">
        <v>4794636</v>
      </c>
      <c r="E93" s="237">
        <f t="shared" si="12"/>
        <v>4794636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448</v>
      </c>
      <c r="C94" s="237">
        <v>0</v>
      </c>
      <c r="D94" s="237">
        <v>10732980</v>
      </c>
      <c r="E94" s="237">
        <f t="shared" si="12"/>
        <v>10732980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449</v>
      </c>
      <c r="C95" s="237">
        <v>0</v>
      </c>
      <c r="D95" s="237">
        <v>2675049</v>
      </c>
      <c r="E95" s="237">
        <f t="shared" si="12"/>
        <v>2675049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385</v>
      </c>
      <c r="C96" s="239">
        <v>0</v>
      </c>
      <c r="D96" s="239">
        <v>471</v>
      </c>
      <c r="E96" s="239">
        <f t="shared" si="12"/>
        <v>471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384</v>
      </c>
      <c r="C97" s="239">
        <v>0</v>
      </c>
      <c r="D97" s="239">
        <v>2775</v>
      </c>
      <c r="E97" s="239">
        <f t="shared" si="12"/>
        <v>2775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450</v>
      </c>
      <c r="C98" s="239">
        <v>0</v>
      </c>
      <c r="D98" s="239">
        <v>10556</v>
      </c>
      <c r="E98" s="239">
        <f t="shared" si="12"/>
        <v>10556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451</v>
      </c>
      <c r="C99" s="239">
        <v>0</v>
      </c>
      <c r="D99" s="239">
        <v>852</v>
      </c>
      <c r="E99" s="239">
        <f t="shared" si="12"/>
        <v>852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452</v>
      </c>
      <c r="C100" s="239">
        <v>0</v>
      </c>
      <c r="D100" s="239">
        <v>267</v>
      </c>
      <c r="E100" s="239">
        <f t="shared" si="12"/>
        <v>267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0</v>
      </c>
      <c r="D101" s="243">
        <f>+D92+D94</f>
        <v>22856903</v>
      </c>
      <c r="E101" s="243">
        <f t="shared" si="12"/>
        <v>22856903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0</v>
      </c>
      <c r="D102" s="243">
        <f>+D93+D95</f>
        <v>7469685</v>
      </c>
      <c r="E102" s="243">
        <f t="shared" si="12"/>
        <v>7469685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447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448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449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385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384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450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451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452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424617</v>
      </c>
      <c r="D118" s="237">
        <v>384224</v>
      </c>
      <c r="E118" s="237">
        <f t="shared" ref="E118:E128" si="16">D118-C118</f>
        <v>-40393</v>
      </c>
      <c r="F118" s="238">
        <f t="shared" ref="F118:F128" si="17">IF(C118=0,0,E118/C118)</f>
        <v>-9.5128080128680667E-2</v>
      </c>
    </row>
    <row r="119" spans="1:6" ht="20.25" customHeight="1" x14ac:dyDescent="0.3">
      <c r="A119" s="235">
        <v>2</v>
      </c>
      <c r="B119" s="236" t="s">
        <v>447</v>
      </c>
      <c r="C119" s="237">
        <v>175036</v>
      </c>
      <c r="D119" s="237">
        <v>144492</v>
      </c>
      <c r="E119" s="237">
        <f t="shared" si="16"/>
        <v>-30544</v>
      </c>
      <c r="F119" s="238">
        <f t="shared" si="17"/>
        <v>-0.17450124545807719</v>
      </c>
    </row>
    <row r="120" spans="1:6" ht="20.25" customHeight="1" x14ac:dyDescent="0.3">
      <c r="A120" s="235">
        <v>3</v>
      </c>
      <c r="B120" s="236" t="s">
        <v>448</v>
      </c>
      <c r="C120" s="237">
        <v>196332</v>
      </c>
      <c r="D120" s="237">
        <v>186147</v>
      </c>
      <c r="E120" s="237">
        <f t="shared" si="16"/>
        <v>-10185</v>
      </c>
      <c r="F120" s="238">
        <f t="shared" si="17"/>
        <v>-5.1876413422162461E-2</v>
      </c>
    </row>
    <row r="121" spans="1:6" ht="20.25" customHeight="1" x14ac:dyDescent="0.3">
      <c r="A121" s="235">
        <v>4</v>
      </c>
      <c r="B121" s="236" t="s">
        <v>449</v>
      </c>
      <c r="C121" s="237">
        <v>86907</v>
      </c>
      <c r="D121" s="237">
        <v>51295</v>
      </c>
      <c r="E121" s="237">
        <f t="shared" si="16"/>
        <v>-35612</v>
      </c>
      <c r="F121" s="238">
        <f t="shared" si="17"/>
        <v>-0.40977136479224918</v>
      </c>
    </row>
    <row r="122" spans="1:6" ht="20.25" customHeight="1" x14ac:dyDescent="0.3">
      <c r="A122" s="235">
        <v>5</v>
      </c>
      <c r="B122" s="236" t="s">
        <v>385</v>
      </c>
      <c r="C122" s="239">
        <v>18</v>
      </c>
      <c r="D122" s="239">
        <v>15</v>
      </c>
      <c r="E122" s="239">
        <f t="shared" si="16"/>
        <v>-3</v>
      </c>
      <c r="F122" s="238">
        <f t="shared" si="17"/>
        <v>-0.16666666666666666</v>
      </c>
    </row>
    <row r="123" spans="1:6" ht="20.25" customHeight="1" x14ac:dyDescent="0.3">
      <c r="A123" s="235">
        <v>6</v>
      </c>
      <c r="B123" s="236" t="s">
        <v>384</v>
      </c>
      <c r="C123" s="239">
        <v>111</v>
      </c>
      <c r="D123" s="239">
        <v>87</v>
      </c>
      <c r="E123" s="239">
        <f t="shared" si="16"/>
        <v>-24</v>
      </c>
      <c r="F123" s="238">
        <f t="shared" si="17"/>
        <v>-0.21621621621621623</v>
      </c>
    </row>
    <row r="124" spans="1:6" ht="20.25" customHeight="1" x14ac:dyDescent="0.3">
      <c r="A124" s="235">
        <v>7</v>
      </c>
      <c r="B124" s="236" t="s">
        <v>450</v>
      </c>
      <c r="C124" s="239">
        <v>388</v>
      </c>
      <c r="D124" s="239">
        <v>242</v>
      </c>
      <c r="E124" s="239">
        <f t="shared" si="16"/>
        <v>-146</v>
      </c>
      <c r="F124" s="238">
        <f t="shared" si="17"/>
        <v>-0.37628865979381443</v>
      </c>
    </row>
    <row r="125" spans="1:6" ht="20.25" customHeight="1" x14ac:dyDescent="0.3">
      <c r="A125" s="235">
        <v>8</v>
      </c>
      <c r="B125" s="236" t="s">
        <v>451</v>
      </c>
      <c r="C125" s="239">
        <v>20</v>
      </c>
      <c r="D125" s="239">
        <v>23</v>
      </c>
      <c r="E125" s="239">
        <f t="shared" si="16"/>
        <v>3</v>
      </c>
      <c r="F125" s="238">
        <f t="shared" si="17"/>
        <v>0.15</v>
      </c>
    </row>
    <row r="126" spans="1:6" ht="20.25" customHeight="1" x14ac:dyDescent="0.3">
      <c r="A126" s="235">
        <v>9</v>
      </c>
      <c r="B126" s="236" t="s">
        <v>452</v>
      </c>
      <c r="C126" s="239">
        <v>11</v>
      </c>
      <c r="D126" s="239">
        <v>11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620949</v>
      </c>
      <c r="D127" s="243">
        <f>+D118+D120</f>
        <v>570371</v>
      </c>
      <c r="E127" s="243">
        <f t="shared" si="16"/>
        <v>-50578</v>
      </c>
      <c r="F127" s="244">
        <f t="shared" si="17"/>
        <v>-8.1452744106198738E-2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261943</v>
      </c>
      <c r="D128" s="243">
        <f>+D119+D121</f>
        <v>195787</v>
      </c>
      <c r="E128" s="243">
        <f t="shared" si="16"/>
        <v>-66156</v>
      </c>
      <c r="F128" s="244">
        <f t="shared" si="17"/>
        <v>-0.25255876278426986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143579</v>
      </c>
      <c r="D131" s="237">
        <v>74890</v>
      </c>
      <c r="E131" s="237">
        <f t="shared" ref="E131:E141" si="18">D131-C131</f>
        <v>-68689</v>
      </c>
      <c r="F131" s="238">
        <f t="shared" ref="F131:F141" si="19">IF(C131=0,0,E131/C131)</f>
        <v>-0.47840561642022861</v>
      </c>
    </row>
    <row r="132" spans="1:6" ht="20.25" customHeight="1" x14ac:dyDescent="0.3">
      <c r="A132" s="235">
        <v>2</v>
      </c>
      <c r="B132" s="236" t="s">
        <v>447</v>
      </c>
      <c r="C132" s="237">
        <v>46837</v>
      </c>
      <c r="D132" s="237">
        <v>37786</v>
      </c>
      <c r="E132" s="237">
        <f t="shared" si="18"/>
        <v>-9051</v>
      </c>
      <c r="F132" s="238">
        <f t="shared" si="19"/>
        <v>-0.1932446570019429</v>
      </c>
    </row>
    <row r="133" spans="1:6" ht="20.25" customHeight="1" x14ac:dyDescent="0.3">
      <c r="A133" s="235">
        <v>3</v>
      </c>
      <c r="B133" s="236" t="s">
        <v>448</v>
      </c>
      <c r="C133" s="237">
        <v>66275</v>
      </c>
      <c r="D133" s="237">
        <v>83879</v>
      </c>
      <c r="E133" s="237">
        <f t="shared" si="18"/>
        <v>17604</v>
      </c>
      <c r="F133" s="238">
        <f t="shared" si="19"/>
        <v>0.26562052055827989</v>
      </c>
    </row>
    <row r="134" spans="1:6" ht="20.25" customHeight="1" x14ac:dyDescent="0.3">
      <c r="A134" s="235">
        <v>4</v>
      </c>
      <c r="B134" s="236" t="s">
        <v>449</v>
      </c>
      <c r="C134" s="237">
        <v>15230</v>
      </c>
      <c r="D134" s="237">
        <v>19866</v>
      </c>
      <c r="E134" s="237">
        <f t="shared" si="18"/>
        <v>4636</v>
      </c>
      <c r="F134" s="238">
        <f t="shared" si="19"/>
        <v>0.30439921208141824</v>
      </c>
    </row>
    <row r="135" spans="1:6" ht="20.25" customHeight="1" x14ac:dyDescent="0.3">
      <c r="A135" s="235">
        <v>5</v>
      </c>
      <c r="B135" s="236" t="s">
        <v>385</v>
      </c>
      <c r="C135" s="239">
        <v>6</v>
      </c>
      <c r="D135" s="239">
        <v>4</v>
      </c>
      <c r="E135" s="239">
        <f t="shared" si="18"/>
        <v>-2</v>
      </c>
      <c r="F135" s="238">
        <f t="shared" si="19"/>
        <v>-0.33333333333333331</v>
      </c>
    </row>
    <row r="136" spans="1:6" ht="20.25" customHeight="1" x14ac:dyDescent="0.3">
      <c r="A136" s="235">
        <v>6</v>
      </c>
      <c r="B136" s="236" t="s">
        <v>384</v>
      </c>
      <c r="C136" s="239">
        <v>35</v>
      </c>
      <c r="D136" s="239">
        <v>19</v>
      </c>
      <c r="E136" s="239">
        <f t="shared" si="18"/>
        <v>-16</v>
      </c>
      <c r="F136" s="238">
        <f t="shared" si="19"/>
        <v>-0.45714285714285713</v>
      </c>
    </row>
    <row r="137" spans="1:6" ht="20.25" customHeight="1" x14ac:dyDescent="0.3">
      <c r="A137" s="235">
        <v>7</v>
      </c>
      <c r="B137" s="236" t="s">
        <v>450</v>
      </c>
      <c r="C137" s="239">
        <v>46</v>
      </c>
      <c r="D137" s="239">
        <v>49</v>
      </c>
      <c r="E137" s="239">
        <f t="shared" si="18"/>
        <v>3</v>
      </c>
      <c r="F137" s="238">
        <f t="shared" si="19"/>
        <v>6.5217391304347824E-2</v>
      </c>
    </row>
    <row r="138" spans="1:6" ht="20.25" customHeight="1" x14ac:dyDescent="0.3">
      <c r="A138" s="235">
        <v>8</v>
      </c>
      <c r="B138" s="236" t="s">
        <v>451</v>
      </c>
      <c r="C138" s="239">
        <v>11</v>
      </c>
      <c r="D138" s="239">
        <v>16</v>
      </c>
      <c r="E138" s="239">
        <f t="shared" si="18"/>
        <v>5</v>
      </c>
      <c r="F138" s="238">
        <f t="shared" si="19"/>
        <v>0.45454545454545453</v>
      </c>
    </row>
    <row r="139" spans="1:6" ht="20.25" customHeight="1" x14ac:dyDescent="0.3">
      <c r="A139" s="235">
        <v>9</v>
      </c>
      <c r="B139" s="236" t="s">
        <v>452</v>
      </c>
      <c r="C139" s="239">
        <v>4</v>
      </c>
      <c r="D139" s="239">
        <v>2</v>
      </c>
      <c r="E139" s="239">
        <f t="shared" si="18"/>
        <v>-2</v>
      </c>
      <c r="F139" s="238">
        <f t="shared" si="19"/>
        <v>-0.5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209854</v>
      </c>
      <c r="D140" s="243">
        <f>+D131+D133</f>
        <v>158769</v>
      </c>
      <c r="E140" s="243">
        <f t="shared" si="18"/>
        <v>-51085</v>
      </c>
      <c r="F140" s="244">
        <f t="shared" si="19"/>
        <v>-0.2434311473691233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62067</v>
      </c>
      <c r="D141" s="243">
        <f>+D132+D134</f>
        <v>57652</v>
      </c>
      <c r="E141" s="243">
        <f t="shared" si="18"/>
        <v>-4415</v>
      </c>
      <c r="F141" s="244">
        <f t="shared" si="19"/>
        <v>-7.1132808094478542E-2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594137</v>
      </c>
      <c r="D144" s="237">
        <v>256864</v>
      </c>
      <c r="E144" s="237">
        <f t="shared" ref="E144:E154" si="20">D144-C144</f>
        <v>-337273</v>
      </c>
      <c r="F144" s="238">
        <f t="shared" ref="F144:F154" si="21">IF(C144=0,0,E144/C144)</f>
        <v>-0.5676687363352223</v>
      </c>
    </row>
    <row r="145" spans="1:6" ht="20.25" customHeight="1" x14ac:dyDescent="0.3">
      <c r="A145" s="235">
        <v>2</v>
      </c>
      <c r="B145" s="236" t="s">
        <v>447</v>
      </c>
      <c r="C145" s="237">
        <v>275672</v>
      </c>
      <c r="D145" s="237">
        <v>127183</v>
      </c>
      <c r="E145" s="237">
        <f t="shared" si="20"/>
        <v>-148489</v>
      </c>
      <c r="F145" s="238">
        <f t="shared" si="21"/>
        <v>-0.53864375054412494</v>
      </c>
    </row>
    <row r="146" spans="1:6" ht="20.25" customHeight="1" x14ac:dyDescent="0.3">
      <c r="A146" s="235">
        <v>3</v>
      </c>
      <c r="B146" s="236" t="s">
        <v>448</v>
      </c>
      <c r="C146" s="237">
        <v>502583</v>
      </c>
      <c r="D146" s="237">
        <v>238295</v>
      </c>
      <c r="E146" s="237">
        <f t="shared" si="20"/>
        <v>-264288</v>
      </c>
      <c r="F146" s="238">
        <f t="shared" si="21"/>
        <v>-0.5258594102864601</v>
      </c>
    </row>
    <row r="147" spans="1:6" ht="20.25" customHeight="1" x14ac:dyDescent="0.3">
      <c r="A147" s="235">
        <v>4</v>
      </c>
      <c r="B147" s="236" t="s">
        <v>449</v>
      </c>
      <c r="C147" s="237">
        <v>117820</v>
      </c>
      <c r="D147" s="237">
        <v>65391</v>
      </c>
      <c r="E147" s="237">
        <f t="shared" si="20"/>
        <v>-52429</v>
      </c>
      <c r="F147" s="238">
        <f t="shared" si="21"/>
        <v>-0.44499236122899338</v>
      </c>
    </row>
    <row r="148" spans="1:6" ht="20.25" customHeight="1" x14ac:dyDescent="0.3">
      <c r="A148" s="235">
        <v>5</v>
      </c>
      <c r="B148" s="236" t="s">
        <v>385</v>
      </c>
      <c r="C148" s="239">
        <v>24</v>
      </c>
      <c r="D148" s="239">
        <v>13</v>
      </c>
      <c r="E148" s="239">
        <f t="shared" si="20"/>
        <v>-11</v>
      </c>
      <c r="F148" s="238">
        <f t="shared" si="21"/>
        <v>-0.45833333333333331</v>
      </c>
    </row>
    <row r="149" spans="1:6" ht="20.25" customHeight="1" x14ac:dyDescent="0.3">
      <c r="A149" s="235">
        <v>6</v>
      </c>
      <c r="B149" s="236" t="s">
        <v>384</v>
      </c>
      <c r="C149" s="239">
        <v>159</v>
      </c>
      <c r="D149" s="239">
        <v>54</v>
      </c>
      <c r="E149" s="239">
        <f t="shared" si="20"/>
        <v>-105</v>
      </c>
      <c r="F149" s="238">
        <f t="shared" si="21"/>
        <v>-0.660377358490566</v>
      </c>
    </row>
    <row r="150" spans="1:6" ht="20.25" customHeight="1" x14ac:dyDescent="0.3">
      <c r="A150" s="235">
        <v>7</v>
      </c>
      <c r="B150" s="236" t="s">
        <v>450</v>
      </c>
      <c r="C150" s="239">
        <v>457</v>
      </c>
      <c r="D150" s="239">
        <v>297</v>
      </c>
      <c r="E150" s="239">
        <f t="shared" si="20"/>
        <v>-160</v>
      </c>
      <c r="F150" s="238">
        <f t="shared" si="21"/>
        <v>-0.35010940919037198</v>
      </c>
    </row>
    <row r="151" spans="1:6" ht="20.25" customHeight="1" x14ac:dyDescent="0.3">
      <c r="A151" s="235">
        <v>8</v>
      </c>
      <c r="B151" s="236" t="s">
        <v>451</v>
      </c>
      <c r="C151" s="239">
        <v>43</v>
      </c>
      <c r="D151" s="239">
        <v>14</v>
      </c>
      <c r="E151" s="239">
        <f t="shared" si="20"/>
        <v>-29</v>
      </c>
      <c r="F151" s="238">
        <f t="shared" si="21"/>
        <v>-0.67441860465116277</v>
      </c>
    </row>
    <row r="152" spans="1:6" ht="20.25" customHeight="1" x14ac:dyDescent="0.3">
      <c r="A152" s="235">
        <v>9</v>
      </c>
      <c r="B152" s="236" t="s">
        <v>452</v>
      </c>
      <c r="C152" s="239">
        <v>12</v>
      </c>
      <c r="D152" s="239">
        <v>8</v>
      </c>
      <c r="E152" s="239">
        <f t="shared" si="20"/>
        <v>-4</v>
      </c>
      <c r="F152" s="238">
        <f t="shared" si="21"/>
        <v>-0.33333333333333331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1096720</v>
      </c>
      <c r="D153" s="243">
        <f>+D144+D146</f>
        <v>495159</v>
      </c>
      <c r="E153" s="243">
        <f t="shared" si="20"/>
        <v>-601561</v>
      </c>
      <c r="F153" s="244">
        <f t="shared" si="21"/>
        <v>-0.54850919104238094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393492</v>
      </c>
      <c r="D154" s="243">
        <f>+D145+D147</f>
        <v>192574</v>
      </c>
      <c r="E154" s="243">
        <f t="shared" si="20"/>
        <v>-200918</v>
      </c>
      <c r="F154" s="244">
        <f t="shared" si="21"/>
        <v>-0.51060250271924201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447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448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449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385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384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450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451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16223043</v>
      </c>
      <c r="D198" s="243">
        <f t="shared" si="28"/>
        <v>19510364</v>
      </c>
      <c r="E198" s="243">
        <f t="shared" ref="E198:E208" si="29">D198-C198</f>
        <v>3287321</v>
      </c>
      <c r="F198" s="251">
        <f t="shared" ref="F198:F208" si="30">IF(C198=0,0,E198/C198)</f>
        <v>0.20263282295436189</v>
      </c>
    </row>
    <row r="199" spans="1:9" ht="20.25" customHeight="1" x14ac:dyDescent="0.3">
      <c r="A199" s="249"/>
      <c r="B199" s="250" t="s">
        <v>473</v>
      </c>
      <c r="C199" s="243">
        <f t="shared" si="28"/>
        <v>6409937</v>
      </c>
      <c r="D199" s="243">
        <f t="shared" si="28"/>
        <v>7828593</v>
      </c>
      <c r="E199" s="243">
        <f t="shared" si="29"/>
        <v>1418656</v>
      </c>
      <c r="F199" s="251">
        <f t="shared" si="30"/>
        <v>0.22132136400092545</v>
      </c>
    </row>
    <row r="200" spans="1:9" ht="20.25" customHeight="1" x14ac:dyDescent="0.3">
      <c r="A200" s="249"/>
      <c r="B200" s="250" t="s">
        <v>474</v>
      </c>
      <c r="C200" s="243">
        <f t="shared" si="28"/>
        <v>13377904</v>
      </c>
      <c r="D200" s="243">
        <f t="shared" si="28"/>
        <v>17762804</v>
      </c>
      <c r="E200" s="243">
        <f t="shared" si="29"/>
        <v>4384900</v>
      </c>
      <c r="F200" s="251">
        <f t="shared" si="30"/>
        <v>0.32777182434557761</v>
      </c>
    </row>
    <row r="201" spans="1:9" ht="20.25" customHeight="1" x14ac:dyDescent="0.3">
      <c r="A201" s="249"/>
      <c r="B201" s="250" t="s">
        <v>475</v>
      </c>
      <c r="C201" s="243">
        <f t="shared" si="28"/>
        <v>3651657</v>
      </c>
      <c r="D201" s="243">
        <f t="shared" si="28"/>
        <v>4510821</v>
      </c>
      <c r="E201" s="243">
        <f t="shared" si="29"/>
        <v>859164</v>
      </c>
      <c r="F201" s="251">
        <f t="shared" si="30"/>
        <v>0.2352805863201281</v>
      </c>
    </row>
    <row r="202" spans="1:9" ht="20.25" customHeight="1" x14ac:dyDescent="0.3">
      <c r="A202" s="249"/>
      <c r="B202" s="250" t="s">
        <v>476</v>
      </c>
      <c r="C202" s="252">
        <f t="shared" si="28"/>
        <v>644</v>
      </c>
      <c r="D202" s="252">
        <f t="shared" si="28"/>
        <v>763</v>
      </c>
      <c r="E202" s="252">
        <f t="shared" si="29"/>
        <v>119</v>
      </c>
      <c r="F202" s="251">
        <f t="shared" si="30"/>
        <v>0.18478260869565216</v>
      </c>
    </row>
    <row r="203" spans="1:9" ht="20.25" customHeight="1" x14ac:dyDescent="0.3">
      <c r="A203" s="249"/>
      <c r="B203" s="250" t="s">
        <v>477</v>
      </c>
      <c r="C203" s="252">
        <f t="shared" si="28"/>
        <v>3701</v>
      </c>
      <c r="D203" s="252">
        <f t="shared" si="28"/>
        <v>4318</v>
      </c>
      <c r="E203" s="252">
        <f t="shared" si="29"/>
        <v>617</v>
      </c>
      <c r="F203" s="251">
        <f t="shared" si="30"/>
        <v>0.1667116995406647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16316</v>
      </c>
      <c r="D204" s="252">
        <f t="shared" si="28"/>
        <v>17570</v>
      </c>
      <c r="E204" s="252">
        <f t="shared" si="29"/>
        <v>1254</v>
      </c>
      <c r="F204" s="251">
        <f t="shared" si="30"/>
        <v>7.6857072811963717E-2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985</v>
      </c>
      <c r="D205" s="252">
        <f t="shared" si="28"/>
        <v>1331</v>
      </c>
      <c r="E205" s="252">
        <f t="shared" si="29"/>
        <v>346</v>
      </c>
      <c r="F205" s="251">
        <f t="shared" si="30"/>
        <v>0.35126903553299493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353</v>
      </c>
      <c r="D206" s="252">
        <f t="shared" si="28"/>
        <v>416</v>
      </c>
      <c r="E206" s="252">
        <f t="shared" si="29"/>
        <v>63</v>
      </c>
      <c r="F206" s="251">
        <f t="shared" si="30"/>
        <v>0.17847025495750707</v>
      </c>
    </row>
    <row r="207" spans="1:9" ht="20.25" customHeight="1" x14ac:dyDescent="0.3">
      <c r="A207" s="249"/>
      <c r="B207" s="242" t="s">
        <v>481</v>
      </c>
      <c r="C207" s="243">
        <f>+C198+C200</f>
        <v>29600947</v>
      </c>
      <c r="D207" s="243">
        <f>+D198+D200</f>
        <v>37273168</v>
      </c>
      <c r="E207" s="243">
        <f t="shared" si="29"/>
        <v>7672221</v>
      </c>
      <c r="F207" s="251">
        <f t="shared" si="30"/>
        <v>0.25918836312905802</v>
      </c>
    </row>
    <row r="208" spans="1:9" ht="20.25" customHeight="1" x14ac:dyDescent="0.3">
      <c r="A208" s="249"/>
      <c r="B208" s="242" t="s">
        <v>482</v>
      </c>
      <c r="C208" s="243">
        <f>+C199+C201</f>
        <v>10061594</v>
      </c>
      <c r="D208" s="243">
        <f>+D199+D201</f>
        <v>12339414</v>
      </c>
      <c r="E208" s="243">
        <f t="shared" si="29"/>
        <v>2277820</v>
      </c>
      <c r="F208" s="251">
        <f t="shared" si="30"/>
        <v>0.22638758828869462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FILING&amp;RLAWRENCE AND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12029849</v>
      </c>
      <c r="D26" s="237">
        <v>2619296</v>
      </c>
      <c r="E26" s="237">
        <f t="shared" ref="E26:E36" si="2">D26-C26</f>
        <v>-9410553</v>
      </c>
      <c r="F26" s="238">
        <f t="shared" ref="F26:F36" si="3">IF(C26=0,0,E26/C26)</f>
        <v>-0.78226692620996319</v>
      </c>
    </row>
    <row r="27" spans="1:6" ht="20.25" customHeight="1" x14ac:dyDescent="0.3">
      <c r="A27" s="235">
        <v>2</v>
      </c>
      <c r="B27" s="236" t="s">
        <v>447</v>
      </c>
      <c r="C27" s="237">
        <v>4244721</v>
      </c>
      <c r="D27" s="237">
        <v>769980</v>
      </c>
      <c r="E27" s="237">
        <f t="shared" si="2"/>
        <v>-3474741</v>
      </c>
      <c r="F27" s="238">
        <f t="shared" si="3"/>
        <v>-0.8186029187784073</v>
      </c>
    </row>
    <row r="28" spans="1:6" ht="20.25" customHeight="1" x14ac:dyDescent="0.3">
      <c r="A28" s="235">
        <v>3</v>
      </c>
      <c r="B28" s="236" t="s">
        <v>448</v>
      </c>
      <c r="C28" s="237">
        <v>23486812</v>
      </c>
      <c r="D28" s="237">
        <v>6106090</v>
      </c>
      <c r="E28" s="237">
        <f t="shared" si="2"/>
        <v>-17380722</v>
      </c>
      <c r="F28" s="238">
        <f t="shared" si="3"/>
        <v>-0.74002048468732151</v>
      </c>
    </row>
    <row r="29" spans="1:6" ht="20.25" customHeight="1" x14ac:dyDescent="0.3">
      <c r="A29" s="235">
        <v>4</v>
      </c>
      <c r="B29" s="236" t="s">
        <v>449</v>
      </c>
      <c r="C29" s="237">
        <v>7761517</v>
      </c>
      <c r="D29" s="237">
        <v>1869376</v>
      </c>
      <c r="E29" s="237">
        <f t="shared" si="2"/>
        <v>-5892141</v>
      </c>
      <c r="F29" s="238">
        <f t="shared" si="3"/>
        <v>-0.75914811498834567</v>
      </c>
    </row>
    <row r="30" spans="1:6" ht="20.25" customHeight="1" x14ac:dyDescent="0.3">
      <c r="A30" s="235">
        <v>5</v>
      </c>
      <c r="B30" s="236" t="s">
        <v>385</v>
      </c>
      <c r="C30" s="239">
        <v>1036</v>
      </c>
      <c r="D30" s="239">
        <v>177</v>
      </c>
      <c r="E30" s="239">
        <f t="shared" si="2"/>
        <v>-859</v>
      </c>
      <c r="F30" s="238">
        <f t="shared" si="3"/>
        <v>-0.8291505791505791</v>
      </c>
    </row>
    <row r="31" spans="1:6" ht="20.25" customHeight="1" x14ac:dyDescent="0.3">
      <c r="A31" s="235">
        <v>6</v>
      </c>
      <c r="B31" s="236" t="s">
        <v>384</v>
      </c>
      <c r="C31" s="239">
        <v>3372</v>
      </c>
      <c r="D31" s="239">
        <v>654</v>
      </c>
      <c r="E31" s="239">
        <f t="shared" si="2"/>
        <v>-2718</v>
      </c>
      <c r="F31" s="238">
        <f t="shared" si="3"/>
        <v>-0.80604982206405695</v>
      </c>
    </row>
    <row r="32" spans="1:6" ht="20.25" customHeight="1" x14ac:dyDescent="0.3">
      <c r="A32" s="235">
        <v>7</v>
      </c>
      <c r="B32" s="236" t="s">
        <v>450</v>
      </c>
      <c r="C32" s="239">
        <v>16577</v>
      </c>
      <c r="D32" s="239">
        <v>1410</v>
      </c>
      <c r="E32" s="239">
        <f t="shared" si="2"/>
        <v>-15167</v>
      </c>
      <c r="F32" s="238">
        <f t="shared" si="3"/>
        <v>-0.91494239005851485</v>
      </c>
    </row>
    <row r="33" spans="1:6" ht="20.25" customHeight="1" x14ac:dyDescent="0.3">
      <c r="A33" s="235">
        <v>8</v>
      </c>
      <c r="B33" s="236" t="s">
        <v>451</v>
      </c>
      <c r="C33" s="239">
        <v>10627</v>
      </c>
      <c r="D33" s="239">
        <v>2585</v>
      </c>
      <c r="E33" s="239">
        <f t="shared" si="2"/>
        <v>-8042</v>
      </c>
      <c r="F33" s="238">
        <f t="shared" si="3"/>
        <v>-0.75675167027383083</v>
      </c>
    </row>
    <row r="34" spans="1:6" ht="20.25" customHeight="1" x14ac:dyDescent="0.3">
      <c r="A34" s="235">
        <v>9</v>
      </c>
      <c r="B34" s="236" t="s">
        <v>452</v>
      </c>
      <c r="C34" s="239">
        <v>163</v>
      </c>
      <c r="D34" s="239">
        <v>29</v>
      </c>
      <c r="E34" s="239">
        <f t="shared" si="2"/>
        <v>-134</v>
      </c>
      <c r="F34" s="238">
        <f t="shared" si="3"/>
        <v>-0.82208588957055218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35516661</v>
      </c>
      <c r="D35" s="243">
        <f>+D26+D28</f>
        <v>8725386</v>
      </c>
      <c r="E35" s="243">
        <f t="shared" si="2"/>
        <v>-26791275</v>
      </c>
      <c r="F35" s="244">
        <f t="shared" si="3"/>
        <v>-0.75432977779076704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12006238</v>
      </c>
      <c r="D36" s="243">
        <f>+D27+D29</f>
        <v>2639356</v>
      </c>
      <c r="E36" s="243">
        <f t="shared" si="2"/>
        <v>-9366882</v>
      </c>
      <c r="F36" s="244">
        <f t="shared" si="3"/>
        <v>-0.78016794269778755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447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448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449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385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384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450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451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2235678</v>
      </c>
      <c r="D86" s="237">
        <v>569834</v>
      </c>
      <c r="E86" s="237">
        <f t="shared" ref="E86:E96" si="12">D86-C86</f>
        <v>-1665844</v>
      </c>
      <c r="F86" s="238">
        <f t="shared" ref="F86:F96" si="13">IF(C86=0,0,E86/C86)</f>
        <v>-0.74511803578153923</v>
      </c>
    </row>
    <row r="87" spans="1:6" ht="20.25" customHeight="1" x14ac:dyDescent="0.3">
      <c r="A87" s="235">
        <v>2</v>
      </c>
      <c r="B87" s="236" t="s">
        <v>447</v>
      </c>
      <c r="C87" s="237">
        <v>699744</v>
      </c>
      <c r="D87" s="237">
        <v>119088</v>
      </c>
      <c r="E87" s="237">
        <f t="shared" si="12"/>
        <v>-580656</v>
      </c>
      <c r="F87" s="238">
        <f t="shared" si="13"/>
        <v>-0.82981204554808619</v>
      </c>
    </row>
    <row r="88" spans="1:6" ht="20.25" customHeight="1" x14ac:dyDescent="0.3">
      <c r="A88" s="235">
        <v>3</v>
      </c>
      <c r="B88" s="236" t="s">
        <v>448</v>
      </c>
      <c r="C88" s="237">
        <v>3312434</v>
      </c>
      <c r="D88" s="237">
        <v>844635</v>
      </c>
      <c r="E88" s="237">
        <f t="shared" si="12"/>
        <v>-2467799</v>
      </c>
      <c r="F88" s="238">
        <f t="shared" si="13"/>
        <v>-0.74501076851644443</v>
      </c>
    </row>
    <row r="89" spans="1:6" ht="20.25" customHeight="1" x14ac:dyDescent="0.3">
      <c r="A89" s="235">
        <v>4</v>
      </c>
      <c r="B89" s="236" t="s">
        <v>449</v>
      </c>
      <c r="C89" s="237">
        <v>973131</v>
      </c>
      <c r="D89" s="237">
        <v>254860</v>
      </c>
      <c r="E89" s="237">
        <f t="shared" si="12"/>
        <v>-718271</v>
      </c>
      <c r="F89" s="238">
        <f t="shared" si="13"/>
        <v>-0.73810309197836677</v>
      </c>
    </row>
    <row r="90" spans="1:6" ht="20.25" customHeight="1" x14ac:dyDescent="0.3">
      <c r="A90" s="235">
        <v>5</v>
      </c>
      <c r="B90" s="236" t="s">
        <v>385</v>
      </c>
      <c r="C90" s="239">
        <v>216</v>
      </c>
      <c r="D90" s="239">
        <v>39</v>
      </c>
      <c r="E90" s="239">
        <f t="shared" si="12"/>
        <v>-177</v>
      </c>
      <c r="F90" s="238">
        <f t="shared" si="13"/>
        <v>-0.81944444444444442</v>
      </c>
    </row>
    <row r="91" spans="1:6" ht="20.25" customHeight="1" x14ac:dyDescent="0.3">
      <c r="A91" s="235">
        <v>6</v>
      </c>
      <c r="B91" s="236" t="s">
        <v>384</v>
      </c>
      <c r="C91" s="239">
        <v>686</v>
      </c>
      <c r="D91" s="239">
        <v>135</v>
      </c>
      <c r="E91" s="239">
        <f t="shared" si="12"/>
        <v>-551</v>
      </c>
      <c r="F91" s="238">
        <f t="shared" si="13"/>
        <v>-0.80320699708454812</v>
      </c>
    </row>
    <row r="92" spans="1:6" ht="20.25" customHeight="1" x14ac:dyDescent="0.3">
      <c r="A92" s="235">
        <v>7</v>
      </c>
      <c r="B92" s="236" t="s">
        <v>450</v>
      </c>
      <c r="C92" s="239">
        <v>2270</v>
      </c>
      <c r="D92" s="239">
        <v>133</v>
      </c>
      <c r="E92" s="239">
        <f t="shared" si="12"/>
        <v>-2137</v>
      </c>
      <c r="F92" s="238">
        <f t="shared" si="13"/>
        <v>-0.94140969162995591</v>
      </c>
    </row>
    <row r="93" spans="1:6" ht="20.25" customHeight="1" x14ac:dyDescent="0.3">
      <c r="A93" s="235">
        <v>8</v>
      </c>
      <c r="B93" s="236" t="s">
        <v>451</v>
      </c>
      <c r="C93" s="239">
        <v>1672</v>
      </c>
      <c r="D93" s="239">
        <v>402</v>
      </c>
      <c r="E93" s="239">
        <f t="shared" si="12"/>
        <v>-1270</v>
      </c>
      <c r="F93" s="238">
        <f t="shared" si="13"/>
        <v>-0.75956937799043067</v>
      </c>
    </row>
    <row r="94" spans="1:6" ht="20.25" customHeight="1" x14ac:dyDescent="0.3">
      <c r="A94" s="235">
        <v>9</v>
      </c>
      <c r="B94" s="236" t="s">
        <v>452</v>
      </c>
      <c r="C94" s="239">
        <v>26</v>
      </c>
      <c r="D94" s="239">
        <v>7</v>
      </c>
      <c r="E94" s="239">
        <f t="shared" si="12"/>
        <v>-19</v>
      </c>
      <c r="F94" s="238">
        <f t="shared" si="13"/>
        <v>-0.73076923076923073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5548112</v>
      </c>
      <c r="D95" s="243">
        <f>+D86+D88</f>
        <v>1414469</v>
      </c>
      <c r="E95" s="243">
        <f t="shared" si="12"/>
        <v>-4133643</v>
      </c>
      <c r="F95" s="244">
        <f t="shared" si="13"/>
        <v>-0.74505399314217158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1672875</v>
      </c>
      <c r="D96" s="243">
        <f>+D87+D89</f>
        <v>373948</v>
      </c>
      <c r="E96" s="243">
        <f t="shared" si="12"/>
        <v>-1298927</v>
      </c>
      <c r="F96" s="244">
        <f t="shared" si="13"/>
        <v>-0.77646387207651502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3841957</v>
      </c>
      <c r="D98" s="237">
        <v>534723</v>
      </c>
      <c r="E98" s="237">
        <f t="shared" ref="E98:E108" si="14">D98-C98</f>
        <v>-3307234</v>
      </c>
      <c r="F98" s="238">
        <f t="shared" ref="F98:F108" si="15">IF(C98=0,0,E98/C98)</f>
        <v>-0.86082014973098342</v>
      </c>
    </row>
    <row r="99" spans="1:7" ht="20.25" customHeight="1" x14ac:dyDescent="0.3">
      <c r="A99" s="235">
        <v>2</v>
      </c>
      <c r="B99" s="236" t="s">
        <v>447</v>
      </c>
      <c r="C99" s="237">
        <v>1201912</v>
      </c>
      <c r="D99" s="237">
        <v>164717</v>
      </c>
      <c r="E99" s="237">
        <f t="shared" si="14"/>
        <v>-1037195</v>
      </c>
      <c r="F99" s="238">
        <f t="shared" si="15"/>
        <v>-0.86295419298584253</v>
      </c>
    </row>
    <row r="100" spans="1:7" ht="20.25" customHeight="1" x14ac:dyDescent="0.3">
      <c r="A100" s="235">
        <v>3</v>
      </c>
      <c r="B100" s="236" t="s">
        <v>448</v>
      </c>
      <c r="C100" s="237">
        <v>5452356</v>
      </c>
      <c r="D100" s="237">
        <v>1419988</v>
      </c>
      <c r="E100" s="237">
        <f t="shared" si="14"/>
        <v>-4032368</v>
      </c>
      <c r="F100" s="238">
        <f t="shared" si="15"/>
        <v>-0.73956432778784076</v>
      </c>
    </row>
    <row r="101" spans="1:7" ht="20.25" customHeight="1" x14ac:dyDescent="0.3">
      <c r="A101" s="235">
        <v>4</v>
      </c>
      <c r="B101" s="236" t="s">
        <v>449</v>
      </c>
      <c r="C101" s="237">
        <v>1884117</v>
      </c>
      <c r="D101" s="237">
        <v>436181</v>
      </c>
      <c r="E101" s="237">
        <f t="shared" si="14"/>
        <v>-1447936</v>
      </c>
      <c r="F101" s="238">
        <f t="shared" si="15"/>
        <v>-0.76849579935853241</v>
      </c>
    </row>
    <row r="102" spans="1:7" ht="20.25" customHeight="1" x14ac:dyDescent="0.3">
      <c r="A102" s="235">
        <v>5</v>
      </c>
      <c r="B102" s="236" t="s">
        <v>385</v>
      </c>
      <c r="C102" s="239">
        <v>310</v>
      </c>
      <c r="D102" s="239">
        <v>48</v>
      </c>
      <c r="E102" s="239">
        <f t="shared" si="14"/>
        <v>-262</v>
      </c>
      <c r="F102" s="238">
        <f t="shared" si="15"/>
        <v>-0.84516129032258069</v>
      </c>
    </row>
    <row r="103" spans="1:7" ht="20.25" customHeight="1" x14ac:dyDescent="0.3">
      <c r="A103" s="235">
        <v>6</v>
      </c>
      <c r="B103" s="236" t="s">
        <v>384</v>
      </c>
      <c r="C103" s="239">
        <v>1062</v>
      </c>
      <c r="D103" s="239">
        <v>142</v>
      </c>
      <c r="E103" s="239">
        <f t="shared" si="14"/>
        <v>-920</v>
      </c>
      <c r="F103" s="238">
        <f t="shared" si="15"/>
        <v>-0.86629001883239176</v>
      </c>
    </row>
    <row r="104" spans="1:7" ht="20.25" customHeight="1" x14ac:dyDescent="0.3">
      <c r="A104" s="235">
        <v>7</v>
      </c>
      <c r="B104" s="236" t="s">
        <v>450</v>
      </c>
      <c r="C104" s="239">
        <v>3599</v>
      </c>
      <c r="D104" s="239">
        <v>246</v>
      </c>
      <c r="E104" s="239">
        <f t="shared" si="14"/>
        <v>-3353</v>
      </c>
      <c r="F104" s="238">
        <f t="shared" si="15"/>
        <v>-0.93164767991108643</v>
      </c>
    </row>
    <row r="105" spans="1:7" ht="20.25" customHeight="1" x14ac:dyDescent="0.3">
      <c r="A105" s="235">
        <v>8</v>
      </c>
      <c r="B105" s="236" t="s">
        <v>451</v>
      </c>
      <c r="C105" s="239">
        <v>2488</v>
      </c>
      <c r="D105" s="239">
        <v>627</v>
      </c>
      <c r="E105" s="239">
        <f t="shared" si="14"/>
        <v>-1861</v>
      </c>
      <c r="F105" s="238">
        <f t="shared" si="15"/>
        <v>-0.74799035369774924</v>
      </c>
    </row>
    <row r="106" spans="1:7" ht="20.25" customHeight="1" x14ac:dyDescent="0.3">
      <c r="A106" s="235">
        <v>9</v>
      </c>
      <c r="B106" s="236" t="s">
        <v>452</v>
      </c>
      <c r="C106" s="239">
        <v>49</v>
      </c>
      <c r="D106" s="239">
        <v>14</v>
      </c>
      <c r="E106" s="239">
        <f t="shared" si="14"/>
        <v>-35</v>
      </c>
      <c r="F106" s="238">
        <f t="shared" si="15"/>
        <v>-0.7142857142857143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9294313</v>
      </c>
      <c r="D107" s="243">
        <f>+D98+D100</f>
        <v>1954711</v>
      </c>
      <c r="E107" s="243">
        <f t="shared" si="14"/>
        <v>-7339602</v>
      </c>
      <c r="F107" s="244">
        <f t="shared" si="15"/>
        <v>-0.78968741422846422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3086029</v>
      </c>
      <c r="D108" s="243">
        <f>+D99+D101</f>
        <v>600898</v>
      </c>
      <c r="E108" s="243">
        <f t="shared" si="14"/>
        <v>-2485131</v>
      </c>
      <c r="F108" s="244">
        <f t="shared" si="15"/>
        <v>-0.80528439622569981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18107484</v>
      </c>
      <c r="D112" s="243">
        <f t="shared" si="16"/>
        <v>3723853</v>
      </c>
      <c r="E112" s="243">
        <f t="shared" ref="E112:E122" si="17">D112-C112</f>
        <v>-14383631</v>
      </c>
      <c r="F112" s="244">
        <f t="shared" ref="F112:F122" si="18">IF(C112=0,0,E112/C112)</f>
        <v>-0.7943472986086858</v>
      </c>
    </row>
    <row r="113" spans="1:6" ht="20.25" customHeight="1" x14ac:dyDescent="0.3">
      <c r="A113" s="249"/>
      <c r="B113" s="250" t="s">
        <v>473</v>
      </c>
      <c r="C113" s="243">
        <f t="shared" si="16"/>
        <v>6146377</v>
      </c>
      <c r="D113" s="243">
        <f t="shared" si="16"/>
        <v>1053785</v>
      </c>
      <c r="E113" s="243">
        <f t="shared" si="17"/>
        <v>-5092592</v>
      </c>
      <c r="F113" s="244">
        <f t="shared" si="18"/>
        <v>-0.82855184444429619</v>
      </c>
    </row>
    <row r="114" spans="1:6" ht="20.25" customHeight="1" x14ac:dyDescent="0.3">
      <c r="A114" s="249"/>
      <c r="B114" s="250" t="s">
        <v>474</v>
      </c>
      <c r="C114" s="243">
        <f t="shared" si="16"/>
        <v>32251602</v>
      </c>
      <c r="D114" s="243">
        <f t="shared" si="16"/>
        <v>8370713</v>
      </c>
      <c r="E114" s="243">
        <f t="shared" si="17"/>
        <v>-23880889</v>
      </c>
      <c r="F114" s="244">
        <f t="shared" si="18"/>
        <v>-0.74045590045418519</v>
      </c>
    </row>
    <row r="115" spans="1:6" ht="20.25" customHeight="1" x14ac:dyDescent="0.3">
      <c r="A115" s="249"/>
      <c r="B115" s="250" t="s">
        <v>475</v>
      </c>
      <c r="C115" s="243">
        <f t="shared" si="16"/>
        <v>10618765</v>
      </c>
      <c r="D115" s="243">
        <f t="shared" si="16"/>
        <v>2560417</v>
      </c>
      <c r="E115" s="243">
        <f t="shared" si="17"/>
        <v>-8058348</v>
      </c>
      <c r="F115" s="244">
        <f t="shared" si="18"/>
        <v>-0.75887808045474214</v>
      </c>
    </row>
    <row r="116" spans="1:6" ht="20.25" customHeight="1" x14ac:dyDescent="0.3">
      <c r="A116" s="249"/>
      <c r="B116" s="250" t="s">
        <v>476</v>
      </c>
      <c r="C116" s="252">
        <f t="shared" si="16"/>
        <v>1562</v>
      </c>
      <c r="D116" s="252">
        <f t="shared" si="16"/>
        <v>264</v>
      </c>
      <c r="E116" s="252">
        <f t="shared" si="17"/>
        <v>-1298</v>
      </c>
      <c r="F116" s="244">
        <f t="shared" si="18"/>
        <v>-0.83098591549295775</v>
      </c>
    </row>
    <row r="117" spans="1:6" ht="20.25" customHeight="1" x14ac:dyDescent="0.3">
      <c r="A117" s="249"/>
      <c r="B117" s="250" t="s">
        <v>477</v>
      </c>
      <c r="C117" s="252">
        <f t="shared" si="16"/>
        <v>5120</v>
      </c>
      <c r="D117" s="252">
        <f t="shared" si="16"/>
        <v>931</v>
      </c>
      <c r="E117" s="252">
        <f t="shared" si="17"/>
        <v>-4189</v>
      </c>
      <c r="F117" s="244">
        <f t="shared" si="18"/>
        <v>-0.81816406249999996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22446</v>
      </c>
      <c r="D118" s="252">
        <f t="shared" si="16"/>
        <v>1789</v>
      </c>
      <c r="E118" s="252">
        <f t="shared" si="17"/>
        <v>-20657</v>
      </c>
      <c r="F118" s="244">
        <f t="shared" si="18"/>
        <v>-0.92029760313641629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14787</v>
      </c>
      <c r="D119" s="252">
        <f t="shared" si="16"/>
        <v>3614</v>
      </c>
      <c r="E119" s="252">
        <f t="shared" si="17"/>
        <v>-11173</v>
      </c>
      <c r="F119" s="244">
        <f t="shared" si="18"/>
        <v>-0.75559613173733686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238</v>
      </c>
      <c r="D120" s="252">
        <f t="shared" si="16"/>
        <v>50</v>
      </c>
      <c r="E120" s="252">
        <f t="shared" si="17"/>
        <v>-188</v>
      </c>
      <c r="F120" s="244">
        <f t="shared" si="18"/>
        <v>-0.78991596638655459</v>
      </c>
    </row>
    <row r="121" spans="1:6" ht="39.950000000000003" customHeight="1" x14ac:dyDescent="0.3">
      <c r="A121" s="249"/>
      <c r="B121" s="242" t="s">
        <v>453</v>
      </c>
      <c r="C121" s="243">
        <f>+C112+C114</f>
        <v>50359086</v>
      </c>
      <c r="D121" s="243">
        <f>+D112+D114</f>
        <v>12094566</v>
      </c>
      <c r="E121" s="243">
        <f t="shared" si="17"/>
        <v>-38264520</v>
      </c>
      <c r="F121" s="244">
        <f t="shared" si="18"/>
        <v>-0.75983348863797884</v>
      </c>
    </row>
    <row r="122" spans="1:6" ht="39.950000000000003" customHeight="1" x14ac:dyDescent="0.3">
      <c r="A122" s="249"/>
      <c r="B122" s="242" t="s">
        <v>482</v>
      </c>
      <c r="C122" s="243">
        <f>+C113+C115</f>
        <v>16765142</v>
      </c>
      <c r="D122" s="243">
        <f>+D113+D115</f>
        <v>3614202</v>
      </c>
      <c r="E122" s="243">
        <f t="shared" si="17"/>
        <v>-13150940</v>
      </c>
      <c r="F122" s="244">
        <f t="shared" si="18"/>
        <v>-0.78442162911593594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FILING&amp;RLAWRENCE AND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44580932</v>
      </c>
      <c r="D13" s="23">
        <v>15956015</v>
      </c>
      <c r="E13" s="23">
        <f t="shared" ref="E13:E22" si="0">D13-C13</f>
        <v>-28624917</v>
      </c>
      <c r="F13" s="24">
        <f t="shared" ref="F13:F22" si="1">IF(C13=0,0,E13/C13)</f>
        <v>-0.6420887970668715</v>
      </c>
    </row>
    <row r="14" spans="1:8" ht="24" customHeight="1" x14ac:dyDescent="0.2">
      <c r="A14" s="21">
        <v>2</v>
      </c>
      <c r="B14" s="22" t="s">
        <v>17</v>
      </c>
      <c r="C14" s="23">
        <v>156173381</v>
      </c>
      <c r="D14" s="23">
        <v>207930544</v>
      </c>
      <c r="E14" s="23">
        <f t="shared" si="0"/>
        <v>51757163</v>
      </c>
      <c r="F14" s="24">
        <f t="shared" si="1"/>
        <v>0.33140835313029432</v>
      </c>
    </row>
    <row r="15" spans="1:8" ht="35.1" customHeight="1" x14ac:dyDescent="0.2">
      <c r="A15" s="21">
        <v>3</v>
      </c>
      <c r="B15" s="22" t="s">
        <v>18</v>
      </c>
      <c r="C15" s="23">
        <v>32212263</v>
      </c>
      <c r="D15" s="23">
        <v>32312475</v>
      </c>
      <c r="E15" s="23">
        <f t="shared" si="0"/>
        <v>100212</v>
      </c>
      <c r="F15" s="24">
        <f t="shared" si="1"/>
        <v>3.1109891285812487E-3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4552611</v>
      </c>
      <c r="D19" s="23">
        <v>4503709</v>
      </c>
      <c r="E19" s="23">
        <f t="shared" si="0"/>
        <v>-48902</v>
      </c>
      <c r="F19" s="24">
        <f t="shared" si="1"/>
        <v>-1.0741528322977737E-2</v>
      </c>
    </row>
    <row r="20" spans="1:11" ht="24" customHeight="1" x14ac:dyDescent="0.2">
      <c r="A20" s="21">
        <v>8</v>
      </c>
      <c r="B20" s="22" t="s">
        <v>23</v>
      </c>
      <c r="C20" s="23">
        <v>2322555</v>
      </c>
      <c r="D20" s="23">
        <v>3094289</v>
      </c>
      <c r="E20" s="23">
        <f t="shared" si="0"/>
        <v>771734</v>
      </c>
      <c r="F20" s="24">
        <f t="shared" si="1"/>
        <v>0.33227803001435918</v>
      </c>
    </row>
    <row r="21" spans="1:11" ht="24" customHeight="1" x14ac:dyDescent="0.2">
      <c r="A21" s="21">
        <v>9</v>
      </c>
      <c r="B21" s="22" t="s">
        <v>24</v>
      </c>
      <c r="C21" s="23">
        <v>5704433</v>
      </c>
      <c r="D21" s="23">
        <v>8205212</v>
      </c>
      <c r="E21" s="23">
        <f t="shared" si="0"/>
        <v>2500779</v>
      </c>
      <c r="F21" s="24">
        <f t="shared" si="1"/>
        <v>0.43839221181141053</v>
      </c>
    </row>
    <row r="22" spans="1:11" ht="24" customHeight="1" x14ac:dyDescent="0.25">
      <c r="A22" s="25"/>
      <c r="B22" s="26" t="s">
        <v>25</v>
      </c>
      <c r="C22" s="27">
        <f>SUM(C13:C21)</f>
        <v>245546175</v>
      </c>
      <c r="D22" s="27">
        <f>SUM(D13:D21)</f>
        <v>272002244</v>
      </c>
      <c r="E22" s="27">
        <f t="shared" si="0"/>
        <v>26456069</v>
      </c>
      <c r="F22" s="28">
        <f t="shared" si="1"/>
        <v>0.10774376346933524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11241951</v>
      </c>
      <c r="D25" s="23">
        <v>1471261</v>
      </c>
      <c r="E25" s="23">
        <f>D25-C25</f>
        <v>-9770690</v>
      </c>
      <c r="F25" s="24">
        <f>IF(C25=0,0,E25/C25)</f>
        <v>-0.86912760961153446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8427695</v>
      </c>
      <c r="D26" s="23">
        <v>0</v>
      </c>
      <c r="E26" s="23">
        <f>D26-C26</f>
        <v>-8427695</v>
      </c>
      <c r="F26" s="24">
        <f>IF(C26=0,0,E26/C26)</f>
        <v>-1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2247370</v>
      </c>
      <c r="D27" s="23">
        <v>2247125</v>
      </c>
      <c r="E27" s="23">
        <f>D27-C27</f>
        <v>-245</v>
      </c>
      <c r="F27" s="24">
        <f>IF(C27=0,0,E27/C27)</f>
        <v>-1.0901631685036287E-4</v>
      </c>
    </row>
    <row r="28" spans="1:11" ht="35.1" customHeight="1" x14ac:dyDescent="0.2">
      <c r="A28" s="21">
        <v>4</v>
      </c>
      <c r="B28" s="22" t="s">
        <v>31</v>
      </c>
      <c r="C28" s="23">
        <v>28731417</v>
      </c>
      <c r="D28" s="23">
        <v>32364792</v>
      </c>
      <c r="E28" s="23">
        <f>D28-C28</f>
        <v>3633375</v>
      </c>
      <c r="F28" s="24">
        <f>IF(C28=0,0,E28/C28)</f>
        <v>0.12646000021509554</v>
      </c>
    </row>
    <row r="29" spans="1:11" ht="35.1" customHeight="1" x14ac:dyDescent="0.25">
      <c r="A29" s="25"/>
      <c r="B29" s="26" t="s">
        <v>32</v>
      </c>
      <c r="C29" s="27">
        <f>SUM(C25:C28)</f>
        <v>50648433</v>
      </c>
      <c r="D29" s="27">
        <f>SUM(D25:D28)</f>
        <v>36083178</v>
      </c>
      <c r="E29" s="27">
        <f>D29-C29</f>
        <v>-14565255</v>
      </c>
      <c r="F29" s="28">
        <f>IF(C29=0,0,E29/C29)</f>
        <v>-0.28757562943753856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1938833</v>
      </c>
      <c r="D33" s="23">
        <v>1857504</v>
      </c>
      <c r="E33" s="23">
        <f>D33-C33</f>
        <v>-81329</v>
      </c>
      <c r="F33" s="24">
        <f>IF(C33=0,0,E33/C33)</f>
        <v>-4.1947398254517022E-2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338146246</v>
      </c>
      <c r="D36" s="23">
        <v>353562008</v>
      </c>
      <c r="E36" s="23">
        <f>D36-C36</f>
        <v>15415762</v>
      </c>
      <c r="F36" s="24">
        <f>IF(C36=0,0,E36/C36)</f>
        <v>4.5589037827141812E-2</v>
      </c>
    </row>
    <row r="37" spans="1:8" ht="24" customHeight="1" x14ac:dyDescent="0.2">
      <c r="A37" s="21">
        <v>2</v>
      </c>
      <c r="B37" s="22" t="s">
        <v>39</v>
      </c>
      <c r="C37" s="23">
        <v>213597308</v>
      </c>
      <c r="D37" s="23">
        <v>227405684</v>
      </c>
      <c r="E37" s="23">
        <f>D37-C37</f>
        <v>13808376</v>
      </c>
      <c r="F37" s="23">
        <f>IF(C37=0,0,E37/C37)</f>
        <v>6.4646769799177425E-2</v>
      </c>
    </row>
    <row r="38" spans="1:8" ht="24" customHeight="1" x14ac:dyDescent="0.25">
      <c r="A38" s="25"/>
      <c r="B38" s="26" t="s">
        <v>40</v>
      </c>
      <c r="C38" s="27">
        <f>C36-C37</f>
        <v>124548938</v>
      </c>
      <c r="D38" s="27">
        <f>D36-D37</f>
        <v>126156324</v>
      </c>
      <c r="E38" s="27">
        <f>D38-C38</f>
        <v>1607386</v>
      </c>
      <c r="F38" s="28">
        <f>IF(C38=0,0,E38/C38)</f>
        <v>1.290565801532567E-2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10109457</v>
      </c>
      <c r="D40" s="23">
        <v>22337285</v>
      </c>
      <c r="E40" s="23">
        <f>D40-C40</f>
        <v>12227828</v>
      </c>
      <c r="F40" s="24">
        <f>IF(C40=0,0,E40/C40)</f>
        <v>1.2095434997151677</v>
      </c>
    </row>
    <row r="41" spans="1:8" ht="24" customHeight="1" x14ac:dyDescent="0.25">
      <c r="A41" s="25"/>
      <c r="B41" s="26" t="s">
        <v>42</v>
      </c>
      <c r="C41" s="27">
        <f>+C38+C40</f>
        <v>134658395</v>
      </c>
      <c r="D41" s="27">
        <f>+D38+D40</f>
        <v>148493609</v>
      </c>
      <c r="E41" s="27">
        <f>D41-C41</f>
        <v>13835214</v>
      </c>
      <c r="F41" s="28">
        <f>IF(C41=0,0,E41/C41)</f>
        <v>0.10274304843749252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432791836</v>
      </c>
      <c r="D43" s="27">
        <f>D22+D29+D31+D32+D33+D41</f>
        <v>458436535</v>
      </c>
      <c r="E43" s="27">
        <f>D43-C43</f>
        <v>25644699</v>
      </c>
      <c r="F43" s="28">
        <f>IF(C43=0,0,E43/C43)</f>
        <v>5.925411910958505E-2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35821187</v>
      </c>
      <c r="D49" s="23">
        <v>40092715</v>
      </c>
      <c r="E49" s="23">
        <f t="shared" ref="E49:E56" si="2">D49-C49</f>
        <v>4271528</v>
      </c>
      <c r="F49" s="24">
        <f t="shared" ref="F49:F56" si="3">IF(C49=0,0,E49/C49)</f>
        <v>0.11924585301989016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3577694</v>
      </c>
      <c r="D50" s="23">
        <v>5389708</v>
      </c>
      <c r="E50" s="23">
        <f t="shared" si="2"/>
        <v>1812014</v>
      </c>
      <c r="F50" s="24">
        <f t="shared" si="3"/>
        <v>0.50647540007613845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8013088</v>
      </c>
      <c r="D51" s="23">
        <v>5646905</v>
      </c>
      <c r="E51" s="23">
        <f t="shared" si="2"/>
        <v>-2366183</v>
      </c>
      <c r="F51" s="24">
        <f t="shared" si="3"/>
        <v>-0.29528978091841745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98310</v>
      </c>
      <c r="D52" s="23">
        <v>0</v>
      </c>
      <c r="E52" s="23">
        <f t="shared" si="2"/>
        <v>-98310</v>
      </c>
      <c r="F52" s="24">
        <f t="shared" si="3"/>
        <v>-1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3202481</v>
      </c>
      <c r="D53" s="23">
        <v>2762007</v>
      </c>
      <c r="E53" s="23">
        <f t="shared" si="2"/>
        <v>-440474</v>
      </c>
      <c r="F53" s="24">
        <f t="shared" si="3"/>
        <v>-0.13754148736557686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65242</v>
      </c>
      <c r="D55" s="23">
        <v>358122</v>
      </c>
      <c r="E55" s="23">
        <f t="shared" si="2"/>
        <v>292880</v>
      </c>
      <c r="F55" s="24">
        <f t="shared" si="3"/>
        <v>4.4891327672358301</v>
      </c>
    </row>
    <row r="56" spans="1:6" ht="24" customHeight="1" x14ac:dyDescent="0.25">
      <c r="A56" s="25"/>
      <c r="B56" s="26" t="s">
        <v>54</v>
      </c>
      <c r="C56" s="27">
        <f>SUM(C49:C55)</f>
        <v>50778002</v>
      </c>
      <c r="D56" s="27">
        <f>SUM(D49:D55)</f>
        <v>54249457</v>
      </c>
      <c r="E56" s="27">
        <f t="shared" si="2"/>
        <v>3471455</v>
      </c>
      <c r="F56" s="28">
        <f t="shared" si="3"/>
        <v>6.8365332688749753E-2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82249920</v>
      </c>
      <c r="D59" s="23">
        <v>79507217</v>
      </c>
      <c r="E59" s="23">
        <f>D59-C59</f>
        <v>-2742703</v>
      </c>
      <c r="F59" s="24">
        <f>IF(C59=0,0,E59/C59)</f>
        <v>-3.3345965564464987E-2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82249920</v>
      </c>
      <c r="D61" s="27">
        <f>SUM(D59:D60)</f>
        <v>79507217</v>
      </c>
      <c r="E61" s="27">
        <f>D61-C61</f>
        <v>-2742703</v>
      </c>
      <c r="F61" s="28">
        <f>IF(C61=0,0,E61/C61)</f>
        <v>-3.3345965564464987E-2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43423221</v>
      </c>
      <c r="D63" s="23">
        <v>51185800</v>
      </c>
      <c r="E63" s="23">
        <f>D63-C63</f>
        <v>7762579</v>
      </c>
      <c r="F63" s="24">
        <f>IF(C63=0,0,E63/C63)</f>
        <v>0.17876561943666039</v>
      </c>
    </row>
    <row r="64" spans="1:6" ht="24" customHeight="1" x14ac:dyDescent="0.2">
      <c r="A64" s="21">
        <v>4</v>
      </c>
      <c r="B64" s="22" t="s">
        <v>60</v>
      </c>
      <c r="C64" s="23">
        <v>14213720</v>
      </c>
      <c r="D64" s="23">
        <v>20384647</v>
      </c>
      <c r="E64" s="23">
        <f>D64-C64</f>
        <v>6170927</v>
      </c>
      <c r="F64" s="24">
        <f>IF(C64=0,0,E64/C64)</f>
        <v>0.43415284668615955</v>
      </c>
    </row>
    <row r="65" spans="1:6" ht="24" customHeight="1" x14ac:dyDescent="0.25">
      <c r="A65" s="25"/>
      <c r="B65" s="26" t="s">
        <v>61</v>
      </c>
      <c r="C65" s="27">
        <f>SUM(C61:C64)</f>
        <v>139886861</v>
      </c>
      <c r="D65" s="27">
        <f>SUM(D61:D64)</f>
        <v>151077664</v>
      </c>
      <c r="E65" s="27">
        <f>D65-C65</f>
        <v>11190803</v>
      </c>
      <c r="F65" s="28">
        <f>IF(C65=0,0,E65/C65)</f>
        <v>7.9998957157241521E-2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217665390</v>
      </c>
      <c r="D70" s="23">
        <v>225862751</v>
      </c>
      <c r="E70" s="23">
        <f>D70-C70</f>
        <v>8197361</v>
      </c>
      <c r="F70" s="24">
        <f>IF(C70=0,0,E70/C70)</f>
        <v>3.7660378620597422E-2</v>
      </c>
    </row>
    <row r="71" spans="1:6" ht="24" customHeight="1" x14ac:dyDescent="0.2">
      <c r="A71" s="21">
        <v>2</v>
      </c>
      <c r="B71" s="22" t="s">
        <v>65</v>
      </c>
      <c r="C71" s="23">
        <v>18924725</v>
      </c>
      <c r="D71" s="23">
        <v>21354856</v>
      </c>
      <c r="E71" s="23">
        <f>D71-C71</f>
        <v>2430131</v>
      </c>
      <c r="F71" s="24">
        <f>IF(C71=0,0,E71/C71)</f>
        <v>0.1284103732022526</v>
      </c>
    </row>
    <row r="72" spans="1:6" ht="24" customHeight="1" x14ac:dyDescent="0.2">
      <c r="A72" s="21">
        <v>3</v>
      </c>
      <c r="B72" s="22" t="s">
        <v>66</v>
      </c>
      <c r="C72" s="23">
        <v>5536858</v>
      </c>
      <c r="D72" s="23">
        <v>5891807</v>
      </c>
      <c r="E72" s="23">
        <f>D72-C72</f>
        <v>354949</v>
      </c>
      <c r="F72" s="24">
        <f>IF(C72=0,0,E72/C72)</f>
        <v>6.4106574522951459E-2</v>
      </c>
    </row>
    <row r="73" spans="1:6" ht="24" customHeight="1" x14ac:dyDescent="0.25">
      <c r="A73" s="21"/>
      <c r="B73" s="26" t="s">
        <v>67</v>
      </c>
      <c r="C73" s="27">
        <f>SUM(C70:C72)</f>
        <v>242126973</v>
      </c>
      <c r="D73" s="27">
        <f>SUM(D70:D72)</f>
        <v>253109414</v>
      </c>
      <c r="E73" s="27">
        <f>D73-C73</f>
        <v>10982441</v>
      </c>
      <c r="F73" s="28">
        <f>IF(C73=0,0,E73/C73)</f>
        <v>4.5358188986239049E-2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432791836</v>
      </c>
      <c r="D75" s="27">
        <f>D56+D65+D67+D73</f>
        <v>458436535</v>
      </c>
      <c r="E75" s="27">
        <f>D75-C75</f>
        <v>25644699</v>
      </c>
      <c r="F75" s="28">
        <f>IF(C75=0,0,E75/C75)</f>
        <v>5.925411910958505E-2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FILING&amp;RL+M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699985953</v>
      </c>
      <c r="D12" s="51">
        <v>747825592</v>
      </c>
      <c r="E12" s="51">
        <f t="shared" ref="E12:E19" si="0">D12-C12</f>
        <v>47839639</v>
      </c>
      <c r="F12" s="70">
        <f t="shared" ref="F12:F19" si="1">IF(C12=0,0,E12/C12)</f>
        <v>6.8343712891621416E-2</v>
      </c>
    </row>
    <row r="13" spans="1:8" ht="23.1" customHeight="1" x14ac:dyDescent="0.2">
      <c r="A13" s="25">
        <v>2</v>
      </c>
      <c r="B13" s="48" t="s">
        <v>72</v>
      </c>
      <c r="C13" s="51">
        <v>346959900</v>
      </c>
      <c r="D13" s="51">
        <v>388047782</v>
      </c>
      <c r="E13" s="51">
        <f t="shared" si="0"/>
        <v>41087882</v>
      </c>
      <c r="F13" s="70">
        <f t="shared" si="1"/>
        <v>0.11842256698828885</v>
      </c>
    </row>
    <row r="14" spans="1:8" ht="23.1" customHeight="1" x14ac:dyDescent="0.2">
      <c r="A14" s="25">
        <v>3</v>
      </c>
      <c r="B14" s="48" t="s">
        <v>73</v>
      </c>
      <c r="C14" s="51">
        <v>6383831</v>
      </c>
      <c r="D14" s="51">
        <v>5735791</v>
      </c>
      <c r="E14" s="51">
        <f t="shared" si="0"/>
        <v>-648040</v>
      </c>
      <c r="F14" s="70">
        <f t="shared" si="1"/>
        <v>-0.10151271235093787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346642222</v>
      </c>
      <c r="D16" s="27">
        <f>D12-D13-D14-D15</f>
        <v>354042019</v>
      </c>
      <c r="E16" s="27">
        <f t="shared" si="0"/>
        <v>7399797</v>
      </c>
      <c r="F16" s="28">
        <f t="shared" si="1"/>
        <v>2.1347073525278752E-2</v>
      </c>
    </row>
    <row r="17" spans="1:7" ht="23.1" customHeight="1" x14ac:dyDescent="0.2">
      <c r="A17" s="25">
        <v>5</v>
      </c>
      <c r="B17" s="48" t="s">
        <v>76</v>
      </c>
      <c r="C17" s="51">
        <v>17511017</v>
      </c>
      <c r="D17" s="51">
        <v>14772422</v>
      </c>
      <c r="E17" s="51">
        <f t="shared" si="0"/>
        <v>-2738595</v>
      </c>
      <c r="F17" s="70">
        <f t="shared" si="1"/>
        <v>-0.15639268695815897</v>
      </c>
      <c r="G17" s="64"/>
    </row>
    <row r="18" spans="1:7" ht="33" customHeight="1" x14ac:dyDescent="0.2">
      <c r="A18" s="25">
        <v>6</v>
      </c>
      <c r="B18" s="45" t="s">
        <v>77</v>
      </c>
      <c r="C18" s="51">
        <v>926208</v>
      </c>
      <c r="D18" s="51">
        <v>1308521</v>
      </c>
      <c r="E18" s="51">
        <f t="shared" si="0"/>
        <v>382313</v>
      </c>
      <c r="F18" s="70">
        <f t="shared" si="1"/>
        <v>0.41277229304864566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365079447</v>
      </c>
      <c r="D19" s="27">
        <f>SUM(D16:D18)</f>
        <v>370122962</v>
      </c>
      <c r="E19" s="27">
        <f t="shared" si="0"/>
        <v>5043515</v>
      </c>
      <c r="F19" s="28">
        <f t="shared" si="1"/>
        <v>1.3814842334852117E-2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172671133</v>
      </c>
      <c r="D22" s="51">
        <v>180787943</v>
      </c>
      <c r="E22" s="51">
        <f t="shared" ref="E22:E31" si="2">D22-C22</f>
        <v>8116810</v>
      </c>
      <c r="F22" s="70">
        <f t="shared" ref="F22:F31" si="3">IF(C22=0,0,E22/C22)</f>
        <v>4.7007336194406044E-2</v>
      </c>
    </row>
    <row r="23" spans="1:7" ht="23.1" customHeight="1" x14ac:dyDescent="0.2">
      <c r="A23" s="25">
        <v>2</v>
      </c>
      <c r="B23" s="48" t="s">
        <v>81</v>
      </c>
      <c r="C23" s="51">
        <v>45553162</v>
      </c>
      <c r="D23" s="51">
        <v>45920442</v>
      </c>
      <c r="E23" s="51">
        <f t="shared" si="2"/>
        <v>367280</v>
      </c>
      <c r="F23" s="70">
        <f t="shared" si="3"/>
        <v>8.0626675267899076E-3</v>
      </c>
    </row>
    <row r="24" spans="1:7" ht="23.1" customHeight="1" x14ac:dyDescent="0.2">
      <c r="A24" s="25">
        <v>3</v>
      </c>
      <c r="B24" s="48" t="s">
        <v>82</v>
      </c>
      <c r="C24" s="51">
        <v>5157050</v>
      </c>
      <c r="D24" s="51">
        <v>6398966</v>
      </c>
      <c r="E24" s="51">
        <f t="shared" si="2"/>
        <v>1241916</v>
      </c>
      <c r="F24" s="70">
        <f t="shared" si="3"/>
        <v>0.24081907291959551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47120092</v>
      </c>
      <c r="D25" s="51">
        <v>49112557</v>
      </c>
      <c r="E25" s="51">
        <f t="shared" si="2"/>
        <v>1992465</v>
      </c>
      <c r="F25" s="70">
        <f t="shared" si="3"/>
        <v>4.228482830636239E-2</v>
      </c>
    </row>
    <row r="26" spans="1:7" ht="23.1" customHeight="1" x14ac:dyDescent="0.2">
      <c r="A26" s="25">
        <v>5</v>
      </c>
      <c r="B26" s="48" t="s">
        <v>84</v>
      </c>
      <c r="C26" s="51">
        <v>17704358</v>
      </c>
      <c r="D26" s="51">
        <v>19255553</v>
      </c>
      <c r="E26" s="51">
        <f t="shared" si="2"/>
        <v>1551195</v>
      </c>
      <c r="F26" s="70">
        <f t="shared" si="3"/>
        <v>8.7616563108360093E-2</v>
      </c>
    </row>
    <row r="27" spans="1:7" ht="23.1" customHeight="1" x14ac:dyDescent="0.2">
      <c r="A27" s="25">
        <v>6</v>
      </c>
      <c r="B27" s="48" t="s">
        <v>85</v>
      </c>
      <c r="C27" s="51">
        <v>14608057</v>
      </c>
      <c r="D27" s="51">
        <v>12408255</v>
      </c>
      <c r="E27" s="51">
        <f t="shared" si="2"/>
        <v>-2199802</v>
      </c>
      <c r="F27" s="70">
        <f t="shared" si="3"/>
        <v>-0.15058826783055407</v>
      </c>
    </row>
    <row r="28" spans="1:7" ht="23.1" customHeight="1" x14ac:dyDescent="0.2">
      <c r="A28" s="25">
        <v>7</v>
      </c>
      <c r="B28" s="48" t="s">
        <v>86</v>
      </c>
      <c r="C28" s="51">
        <v>2248192</v>
      </c>
      <c r="D28" s="51">
        <v>2316341</v>
      </c>
      <c r="E28" s="51">
        <f t="shared" si="2"/>
        <v>68149</v>
      </c>
      <c r="F28" s="70">
        <f t="shared" si="3"/>
        <v>3.0312802465269871E-2</v>
      </c>
    </row>
    <row r="29" spans="1:7" ht="23.1" customHeight="1" x14ac:dyDescent="0.2">
      <c r="A29" s="25">
        <v>8</v>
      </c>
      <c r="B29" s="48" t="s">
        <v>87</v>
      </c>
      <c r="C29" s="51">
        <v>3954496</v>
      </c>
      <c r="D29" s="51">
        <v>10132903</v>
      </c>
      <c r="E29" s="51">
        <f t="shared" si="2"/>
        <v>6178407</v>
      </c>
      <c r="F29" s="70">
        <f t="shared" si="3"/>
        <v>1.5623753317742641</v>
      </c>
    </row>
    <row r="30" spans="1:7" ht="23.1" customHeight="1" x14ac:dyDescent="0.2">
      <c r="A30" s="25">
        <v>9</v>
      </c>
      <c r="B30" s="48" t="s">
        <v>88</v>
      </c>
      <c r="C30" s="51">
        <v>46814696</v>
      </c>
      <c r="D30" s="51">
        <v>43082531</v>
      </c>
      <c r="E30" s="51">
        <f t="shared" si="2"/>
        <v>-3732165</v>
      </c>
      <c r="F30" s="70">
        <f t="shared" si="3"/>
        <v>-7.9722081288320229E-2</v>
      </c>
    </row>
    <row r="31" spans="1:7" ht="23.1" customHeight="1" x14ac:dyDescent="0.25">
      <c r="A31" s="29"/>
      <c r="B31" s="71" t="s">
        <v>89</v>
      </c>
      <c r="C31" s="27">
        <f>SUM(C22:C30)</f>
        <v>355831236</v>
      </c>
      <c r="D31" s="27">
        <f>SUM(D22:D30)</f>
        <v>369415491</v>
      </c>
      <c r="E31" s="27">
        <f t="shared" si="2"/>
        <v>13584255</v>
      </c>
      <c r="F31" s="28">
        <f t="shared" si="3"/>
        <v>3.8176117287241192E-2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9248211</v>
      </c>
      <c r="D33" s="27">
        <f>+D19-D31</f>
        <v>707471</v>
      </c>
      <c r="E33" s="27">
        <f>D33-C33</f>
        <v>-8540740</v>
      </c>
      <c r="F33" s="28">
        <f>IF(C33=0,0,E33/C33)</f>
        <v>-0.9235018534936108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8510159</v>
      </c>
      <c r="D36" s="51">
        <v>7013860</v>
      </c>
      <c r="E36" s="51">
        <f>D36-C36</f>
        <v>-1496299</v>
      </c>
      <c r="F36" s="70">
        <f>IF(C36=0,0,E36/C36)</f>
        <v>-0.17582503452638193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-1855597</v>
      </c>
      <c r="D38" s="51">
        <v>0</v>
      </c>
      <c r="E38" s="51">
        <f>D38-C38</f>
        <v>1855597</v>
      </c>
      <c r="F38" s="70">
        <f>IF(C38=0,0,E38/C38)</f>
        <v>-1</v>
      </c>
    </row>
    <row r="39" spans="1:6" ht="23.1" customHeight="1" x14ac:dyDescent="0.25">
      <c r="A39" s="20"/>
      <c r="B39" s="71" t="s">
        <v>95</v>
      </c>
      <c r="C39" s="27">
        <f>SUM(C36:C38)</f>
        <v>6654562</v>
      </c>
      <c r="D39" s="27">
        <f>SUM(D36:D38)</f>
        <v>7013860</v>
      </c>
      <c r="E39" s="27">
        <f>D39-C39</f>
        <v>359298</v>
      </c>
      <c r="F39" s="28">
        <f>IF(C39=0,0,E39/C39)</f>
        <v>5.3992734608228163E-2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15902773</v>
      </c>
      <c r="D41" s="27">
        <f>D33+D39</f>
        <v>7721331</v>
      </c>
      <c r="E41" s="27">
        <f>D41-C41</f>
        <v>-8181442</v>
      </c>
      <c r="F41" s="28">
        <f>IF(C41=0,0,E41/C41)</f>
        <v>-0.51446637639863191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15902773</v>
      </c>
      <c r="D48" s="27">
        <f>D41+D46</f>
        <v>7721331</v>
      </c>
      <c r="E48" s="27">
        <f>D48-C48</f>
        <v>-8181442</v>
      </c>
      <c r="F48" s="28">
        <f>IF(C48=0,0,E48/C48)</f>
        <v>-0.51446637639863191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FILING&amp;R&amp;8L+M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2013-09-11T12:12:10Z</cp:lastPrinted>
  <dcterms:created xsi:type="dcterms:W3CDTF">2006-08-03T13:49:12Z</dcterms:created>
  <dcterms:modified xsi:type="dcterms:W3CDTF">2013-09-12T14:57:52Z</dcterms:modified>
</cp:coreProperties>
</file>