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D98" i="22"/>
  <c r="C97" i="22"/>
  <c r="C98" i="22"/>
  <c r="E96" i="22"/>
  <c r="E98" i="22"/>
  <c r="D96" i="22"/>
  <c r="C96" i="22"/>
  <c r="E92" i="22"/>
  <c r="D92" i="22"/>
  <c r="C92" i="22"/>
  <c r="C93" i="22"/>
  <c r="E91" i="22"/>
  <c r="D91" i="22"/>
  <c r="D93" i="22"/>
  <c r="C91" i="22"/>
  <c r="E87" i="22"/>
  <c r="E88" i="22"/>
  <c r="D87" i="22"/>
  <c r="C87" i="22"/>
  <c r="E86" i="22"/>
  <c r="D86" i="22"/>
  <c r="D88" i="22"/>
  <c r="C86" i="22"/>
  <c r="E83" i="22"/>
  <c r="E101" i="22"/>
  <c r="D83" i="22"/>
  <c r="D102" i="22"/>
  <c r="D101" i="22"/>
  <c r="C83" i="22"/>
  <c r="C101" i="22"/>
  <c r="E76" i="22"/>
  <c r="D76" i="22"/>
  <c r="C76" i="22"/>
  <c r="E75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E21" i="21"/>
  <c r="F21" i="21"/>
  <c r="C21" i="21"/>
  <c r="D19" i="21"/>
  <c r="C19" i="21"/>
  <c r="F17" i="21"/>
  <c r="E17" i="21"/>
  <c r="F15" i="21"/>
  <c r="E15" i="21"/>
  <c r="D45" i="20"/>
  <c r="E45" i="20"/>
  <c r="C45" i="20"/>
  <c r="D44" i="20"/>
  <c r="E44" i="20"/>
  <c r="F44" i="20"/>
  <c r="C44" i="20"/>
  <c r="D43" i="20"/>
  <c r="C43" i="20"/>
  <c r="D36" i="20"/>
  <c r="D40" i="20"/>
  <c r="C36" i="20"/>
  <c r="C40" i="20"/>
  <c r="E35" i="20"/>
  <c r="F35" i="20"/>
  <c r="F34" i="20"/>
  <c r="E34" i="20"/>
  <c r="E33" i="20"/>
  <c r="E30" i="20"/>
  <c r="F30" i="20"/>
  <c r="F29" i="20"/>
  <c r="E29" i="20"/>
  <c r="F28" i="20"/>
  <c r="E28" i="20"/>
  <c r="E27" i="20"/>
  <c r="F27" i="20"/>
  <c r="D25" i="20"/>
  <c r="D39" i="20"/>
  <c r="C25" i="20"/>
  <c r="C39" i="20"/>
  <c r="E24" i="20"/>
  <c r="E23" i="20"/>
  <c r="F23" i="20"/>
  <c r="E22" i="20"/>
  <c r="F22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E12" i="20"/>
  <c r="F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3" i="19"/>
  <c r="C59" i="19"/>
  <c r="C60" i="19"/>
  <c r="C48" i="19"/>
  <c r="C36" i="19"/>
  <c r="C32" i="19"/>
  <c r="C33" i="19"/>
  <c r="C21" i="19"/>
  <c r="E328" i="18"/>
  <c r="E325" i="18"/>
  <c r="D324" i="18"/>
  <c r="C324" i="18"/>
  <c r="C326" i="18"/>
  <c r="C330" i="18"/>
  <c r="E318" i="18"/>
  <c r="E315" i="18"/>
  <c r="D314" i="18"/>
  <c r="D316" i="18"/>
  <c r="D320" i="18"/>
  <c r="E320" i="18"/>
  <c r="C314" i="18"/>
  <c r="C316" i="18"/>
  <c r="C320" i="18"/>
  <c r="E308" i="18"/>
  <c r="E305" i="18"/>
  <c r="D301" i="18"/>
  <c r="C301" i="18"/>
  <c r="D293" i="18"/>
  <c r="E293" i="18"/>
  <c r="C293" i="18"/>
  <c r="D292" i="18"/>
  <c r="C292" i="18"/>
  <c r="E292" i="18"/>
  <c r="D291" i="18"/>
  <c r="C291" i="18"/>
  <c r="E291" i="18"/>
  <c r="D290" i="18"/>
  <c r="E290" i="18"/>
  <c r="C290" i="18"/>
  <c r="D288" i="18"/>
  <c r="C288" i="18"/>
  <c r="E288" i="18"/>
  <c r="D287" i="18"/>
  <c r="E287" i="18"/>
  <c r="C287" i="18"/>
  <c r="D282" i="18"/>
  <c r="C282" i="18"/>
  <c r="D281" i="18"/>
  <c r="E281" i="18"/>
  <c r="C281" i="18"/>
  <c r="D280" i="18"/>
  <c r="E280" i="18"/>
  <c r="C280" i="18"/>
  <c r="D279" i="18"/>
  <c r="E279" i="18"/>
  <c r="C279" i="18"/>
  <c r="D278" i="18"/>
  <c r="E278" i="18"/>
  <c r="C278" i="18"/>
  <c r="D277" i="18"/>
  <c r="C277" i="18"/>
  <c r="D276" i="18"/>
  <c r="C276" i="18"/>
  <c r="E276" i="18"/>
  <c r="E270" i="18"/>
  <c r="D265" i="18"/>
  <c r="D302" i="18"/>
  <c r="E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E227" i="18"/>
  <c r="C227" i="18"/>
  <c r="D221" i="18"/>
  <c r="D245" i="18"/>
  <c r="C221" i="18"/>
  <c r="C245" i="18"/>
  <c r="E245" i="18"/>
  <c r="D220" i="18"/>
  <c r="D244" i="18"/>
  <c r="C220" i="18"/>
  <c r="C244" i="18"/>
  <c r="D219" i="18"/>
  <c r="D243" i="18"/>
  <c r="C219" i="18"/>
  <c r="C243" i="18"/>
  <c r="D218" i="18"/>
  <c r="D217" i="18"/>
  <c r="D242" i="18"/>
  <c r="E242" i="18"/>
  <c r="C218" i="18"/>
  <c r="C242" i="18"/>
  <c r="D216" i="18"/>
  <c r="D240" i="18"/>
  <c r="C216" i="18"/>
  <c r="C240" i="18"/>
  <c r="D215" i="18"/>
  <c r="D239" i="18"/>
  <c r="E239" i="18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E186" i="18"/>
  <c r="E185" i="18"/>
  <c r="D179" i="18"/>
  <c r="C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E166" i="18"/>
  <c r="C166" i="18"/>
  <c r="D165" i="18"/>
  <c r="E165" i="18"/>
  <c r="C165" i="18"/>
  <c r="D164" i="18"/>
  <c r="C164" i="18"/>
  <c r="E164" i="18"/>
  <c r="D162" i="18"/>
  <c r="E162" i="18"/>
  <c r="C162" i="18"/>
  <c r="D161" i="18"/>
  <c r="E161" i="18"/>
  <c r="C161" i="18"/>
  <c r="E155" i="18"/>
  <c r="E154" i="18"/>
  <c r="E153" i="18"/>
  <c r="E152" i="18"/>
  <c r="D151" i="18"/>
  <c r="D156" i="18"/>
  <c r="D157" i="18"/>
  <c r="C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E73" i="18"/>
  <c r="C73" i="18"/>
  <c r="D72" i="18"/>
  <c r="E72" i="18"/>
  <c r="C72" i="18"/>
  <c r="C71" i="18"/>
  <c r="D70" i="18"/>
  <c r="C70" i="18"/>
  <c r="D69" i="18"/>
  <c r="C69" i="18"/>
  <c r="E64" i="18"/>
  <c r="E63" i="18"/>
  <c r="E62" i="18"/>
  <c r="E61" i="18"/>
  <c r="D60" i="18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D41" i="18"/>
  <c r="C41" i="18"/>
  <c r="E41" i="18"/>
  <c r="D40" i="18"/>
  <c r="E40" i="18"/>
  <c r="C40" i="18"/>
  <c r="D39" i="18"/>
  <c r="E39" i="18"/>
  <c r="C39" i="18"/>
  <c r="D38" i="18"/>
  <c r="E38" i="18"/>
  <c r="C38" i="18"/>
  <c r="D37" i="18"/>
  <c r="C37" i="18"/>
  <c r="C43" i="18"/>
  <c r="D36" i="18"/>
  <c r="C36" i="18"/>
  <c r="C44" i="18"/>
  <c r="C97" i="18"/>
  <c r="D32" i="18"/>
  <c r="C32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C311" i="17"/>
  <c r="F308" i="17"/>
  <c r="E308" i="17"/>
  <c r="D307" i="17"/>
  <c r="E307" i="17"/>
  <c r="C307" i="17"/>
  <c r="D299" i="17"/>
  <c r="C299" i="17"/>
  <c r="D298" i="17"/>
  <c r="C298" i="17"/>
  <c r="E298" i="17"/>
  <c r="D297" i="17"/>
  <c r="C297" i="17"/>
  <c r="D296" i="17"/>
  <c r="C296" i="17"/>
  <c r="D295" i="17"/>
  <c r="C295" i="17"/>
  <c r="D294" i="17"/>
  <c r="C294" i="17"/>
  <c r="D250" i="17"/>
  <c r="D306" i="17"/>
  <c r="C250" i="17"/>
  <c r="F249" i="17"/>
  <c r="E249" i="17"/>
  <c r="E248" i="17"/>
  <c r="F248" i="17"/>
  <c r="F245" i="17"/>
  <c r="E245" i="17"/>
  <c r="F244" i="17"/>
  <c r="E244" i="17"/>
  <c r="F243" i="17"/>
  <c r="E243" i="17"/>
  <c r="D238" i="17"/>
  <c r="C238" i="17"/>
  <c r="D237" i="17"/>
  <c r="E237" i="17"/>
  <c r="F237" i="17"/>
  <c r="C237" i="17"/>
  <c r="E234" i="17"/>
  <c r="F234" i="17"/>
  <c r="E233" i="17"/>
  <c r="F233" i="17"/>
  <c r="D230" i="17"/>
  <c r="E230" i="17"/>
  <c r="C230" i="17"/>
  <c r="D229" i="17"/>
  <c r="E229" i="17"/>
  <c r="C229" i="17"/>
  <c r="E228" i="17"/>
  <c r="F228" i="17"/>
  <c r="D226" i="17"/>
  <c r="E226" i="17"/>
  <c r="F226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C204" i="17"/>
  <c r="C285" i="17"/>
  <c r="D203" i="17"/>
  <c r="D283" i="17"/>
  <c r="C203" i="17"/>
  <c r="C283" i="17"/>
  <c r="C286" i="17"/>
  <c r="D198" i="17"/>
  <c r="C198" i="17"/>
  <c r="D191" i="17"/>
  <c r="C191" i="17"/>
  <c r="D189" i="17"/>
  <c r="C189" i="17"/>
  <c r="D188" i="17"/>
  <c r="E188" i="17"/>
  <c r="C188" i="17"/>
  <c r="F180" i="17"/>
  <c r="D180" i="17"/>
  <c r="C180" i="17"/>
  <c r="C181" i="17"/>
  <c r="F181" i="17"/>
  <c r="F179" i="17"/>
  <c r="D179" i="17"/>
  <c r="C179" i="17"/>
  <c r="F171" i="17"/>
  <c r="D171" i="17"/>
  <c r="C171" i="17"/>
  <c r="C172" i="17"/>
  <c r="D170" i="17"/>
  <c r="E170" i="17"/>
  <c r="C170" i="17"/>
  <c r="F170" i="17"/>
  <c r="F169" i="17"/>
  <c r="E169" i="17"/>
  <c r="F168" i="17"/>
  <c r="E168" i="17"/>
  <c r="D165" i="17"/>
  <c r="E165" i="17"/>
  <c r="C165" i="17"/>
  <c r="F165" i="17"/>
  <c r="F164" i="17"/>
  <c r="D164" i="17"/>
  <c r="E164" i="17"/>
  <c r="C164" i="17"/>
  <c r="F163" i="17"/>
  <c r="E163" i="17"/>
  <c r="F158" i="17"/>
  <c r="D158" i="17"/>
  <c r="D159" i="17"/>
  <c r="C158" i="17"/>
  <c r="C159" i="17"/>
  <c r="F159" i="17"/>
  <c r="F157" i="17"/>
  <c r="E157" i="17"/>
  <c r="F156" i="17"/>
  <c r="E156" i="17"/>
  <c r="F155" i="17"/>
  <c r="D155" i="17"/>
  <c r="C155" i="17"/>
  <c r="F154" i="17"/>
  <c r="E154" i="17"/>
  <c r="F153" i="17"/>
  <c r="E153" i="17"/>
  <c r="D145" i="17"/>
  <c r="E145" i="17"/>
  <c r="C145" i="17"/>
  <c r="D144" i="17"/>
  <c r="D146" i="17"/>
  <c r="E146" i="17"/>
  <c r="F146" i="17"/>
  <c r="C144" i="17"/>
  <c r="C146" i="17"/>
  <c r="D136" i="17"/>
  <c r="C136" i="17"/>
  <c r="C137" i="17"/>
  <c r="C207" i="17"/>
  <c r="D135" i="17"/>
  <c r="C135" i="17"/>
  <c r="E135" i="17"/>
  <c r="E134" i="17"/>
  <c r="F134" i="17"/>
  <c r="E133" i="17"/>
  <c r="F133" i="17"/>
  <c r="D130" i="17"/>
  <c r="E130" i="17"/>
  <c r="C130" i="17"/>
  <c r="D129" i="17"/>
  <c r="E129" i="17"/>
  <c r="F129" i="17"/>
  <c r="C129" i="17"/>
  <c r="E128" i="17"/>
  <c r="F128" i="17"/>
  <c r="D123" i="17"/>
  <c r="D192" i="17"/>
  <c r="C12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C111" i="17"/>
  <c r="D109" i="17"/>
  <c r="C109" i="17"/>
  <c r="D101" i="17"/>
  <c r="E101" i="17"/>
  <c r="F101" i="17"/>
  <c r="C101" i="17"/>
  <c r="C102" i="17"/>
  <c r="C103" i="17"/>
  <c r="D100" i="17"/>
  <c r="C100" i="17"/>
  <c r="E99" i="17"/>
  <c r="F99" i="17"/>
  <c r="E98" i="17"/>
  <c r="F98" i="17"/>
  <c r="D95" i="17"/>
  <c r="E95" i="17"/>
  <c r="C95" i="17"/>
  <c r="D94" i="17"/>
  <c r="E94" i="17"/>
  <c r="C94" i="17"/>
  <c r="E93" i="17"/>
  <c r="F93" i="17"/>
  <c r="D88" i="17"/>
  <c r="E88" i="17"/>
  <c r="F88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C77" i="17"/>
  <c r="D76" i="17"/>
  <c r="C76" i="17"/>
  <c r="E74" i="17"/>
  <c r="F74" i="17"/>
  <c r="E73" i="17"/>
  <c r="F73" i="17"/>
  <c r="D67" i="17"/>
  <c r="D68" i="17"/>
  <c r="C67" i="17"/>
  <c r="E67" i="17"/>
  <c r="D66" i="17"/>
  <c r="C66" i="17"/>
  <c r="D59" i="17"/>
  <c r="D60" i="17"/>
  <c r="D61" i="17"/>
  <c r="C59" i="17"/>
  <c r="C60" i="17"/>
  <c r="C61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C48" i="17"/>
  <c r="D47" i="17"/>
  <c r="D48" i="17"/>
  <c r="C47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D32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3" i="16"/>
  <c r="E23" i="16"/>
  <c r="F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E104" i="15"/>
  <c r="F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F92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D70" i="15"/>
  <c r="E70" i="15"/>
  <c r="F70" i="15"/>
  <c r="C70" i="15"/>
  <c r="F69" i="15"/>
  <c r="E69" i="15"/>
  <c r="F68" i="15"/>
  <c r="E68" i="15"/>
  <c r="D65" i="15"/>
  <c r="C65" i="15"/>
  <c r="E64" i="15"/>
  <c r="F64" i="15"/>
  <c r="F63" i="15"/>
  <c r="E63" i="15"/>
  <c r="D60" i="15"/>
  <c r="C60" i="15"/>
  <c r="F60" i="15"/>
  <c r="F59" i="15"/>
  <c r="E59" i="15"/>
  <c r="F58" i="15"/>
  <c r="E58" i="15"/>
  <c r="E60" i="15"/>
  <c r="D55" i="15"/>
  <c r="C55" i="15"/>
  <c r="F54" i="15"/>
  <c r="E54" i="15"/>
  <c r="F53" i="15"/>
  <c r="E53" i="15"/>
  <c r="D50" i="15"/>
  <c r="C50" i="15"/>
  <c r="F49" i="15"/>
  <c r="E49" i="15"/>
  <c r="F48" i="15"/>
  <c r="E48" i="15"/>
  <c r="D45" i="15"/>
  <c r="E45" i="15"/>
  <c r="C45" i="15"/>
  <c r="F45" i="15"/>
  <c r="F44" i="15"/>
  <c r="E44" i="15"/>
  <c r="F43" i="15"/>
  <c r="E43" i="15"/>
  <c r="D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F21" i="15"/>
  <c r="E21" i="15"/>
  <c r="F20" i="15"/>
  <c r="E20" i="15"/>
  <c r="E19" i="15"/>
  <c r="F19" i="15"/>
  <c r="D16" i="15"/>
  <c r="E16" i="15"/>
  <c r="F16" i="15"/>
  <c r="C16" i="15"/>
  <c r="F15" i="15"/>
  <c r="E15" i="15"/>
  <c r="E14" i="15"/>
  <c r="F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E17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/>
  <c r="D77" i="13"/>
  <c r="C79" i="13"/>
  <c r="E78" i="13"/>
  <c r="E80" i="13"/>
  <c r="E77" i="13"/>
  <c r="D78" i="13"/>
  <c r="C78" i="13"/>
  <c r="C80" i="13"/>
  <c r="C77" i="13"/>
  <c r="C75" i="13"/>
  <c r="E73" i="13"/>
  <c r="E75" i="13"/>
  <c r="D73" i="13"/>
  <c r="D75" i="13"/>
  <c r="C73" i="13"/>
  <c r="E71" i="13"/>
  <c r="D71" i="13"/>
  <c r="C71" i="13"/>
  <c r="E66" i="13"/>
  <c r="E65" i="13"/>
  <c r="D66" i="13"/>
  <c r="D65" i="13"/>
  <c r="C66" i="13"/>
  <c r="C65" i="13"/>
  <c r="E60" i="13"/>
  <c r="E61" i="13"/>
  <c r="E57" i="13"/>
  <c r="D60" i="13"/>
  <c r="C60" i="13"/>
  <c r="C59" i="13"/>
  <c r="C61" i="13"/>
  <c r="C57" i="13"/>
  <c r="E58" i="13"/>
  <c r="D58" i="13"/>
  <c r="C58" i="13"/>
  <c r="E55" i="13"/>
  <c r="D55" i="13"/>
  <c r="D50" i="13"/>
  <c r="C55" i="13"/>
  <c r="C50" i="13"/>
  <c r="E54" i="13"/>
  <c r="E50" i="13"/>
  <c r="D54" i="13"/>
  <c r="C54" i="13"/>
  <c r="E48" i="13"/>
  <c r="C48" i="13"/>
  <c r="C42" i="13"/>
  <c r="E46" i="13"/>
  <c r="E59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/>
  <c r="E13" i="13"/>
  <c r="E25" i="13"/>
  <c r="E27" i="13"/>
  <c r="D13" i="13"/>
  <c r="D25" i="13"/>
  <c r="D27" i="13"/>
  <c r="D21" i="13"/>
  <c r="C13" i="13"/>
  <c r="D47" i="12"/>
  <c r="E47" i="12"/>
  <c r="C47" i="12"/>
  <c r="F46" i="12"/>
  <c r="E46" i="12"/>
  <c r="F45" i="12"/>
  <c r="E45" i="12"/>
  <c r="D40" i="12"/>
  <c r="E40" i="12"/>
  <c r="C40" i="12"/>
  <c r="E39" i="12"/>
  <c r="F39" i="12"/>
  <c r="F38" i="12"/>
  <c r="E38" i="12"/>
  <c r="E37" i="12"/>
  <c r="F37" i="12"/>
  <c r="D32" i="12"/>
  <c r="E32" i="12"/>
  <c r="F32" i="12"/>
  <c r="C32" i="12"/>
  <c r="E31" i="12"/>
  <c r="F31" i="12"/>
  <c r="E30" i="12"/>
  <c r="F30" i="12"/>
  <c r="E29" i="12"/>
  <c r="F29" i="12"/>
  <c r="F28" i="12"/>
  <c r="E28" i="12"/>
  <c r="F27" i="12"/>
  <c r="E27" i="12"/>
  <c r="E26" i="12"/>
  <c r="F26" i="12"/>
  <c r="E25" i="12"/>
  <c r="F25" i="12"/>
  <c r="F24" i="12"/>
  <c r="E24" i="12"/>
  <c r="F23" i="12"/>
  <c r="E23" i="12"/>
  <c r="E19" i="12"/>
  <c r="F19" i="12"/>
  <c r="E18" i="12"/>
  <c r="F18" i="12"/>
  <c r="E16" i="12"/>
  <c r="F16" i="12"/>
  <c r="D15" i="12"/>
  <c r="D17" i="12"/>
  <c r="C15" i="12"/>
  <c r="C17" i="12"/>
  <c r="F14" i="12"/>
  <c r="E14" i="12"/>
  <c r="E13" i="12"/>
  <c r="F13" i="12"/>
  <c r="F12" i="12"/>
  <c r="E12" i="12"/>
  <c r="E11" i="12"/>
  <c r="F11" i="12"/>
  <c r="D73" i="11"/>
  <c r="E73" i="11"/>
  <c r="C73" i="11"/>
  <c r="E72" i="11"/>
  <c r="F72" i="11"/>
  <c r="E71" i="11"/>
  <c r="F71" i="11"/>
  <c r="E70" i="11"/>
  <c r="F70" i="11"/>
  <c r="F67" i="11"/>
  <c r="E67" i="11"/>
  <c r="E64" i="11"/>
  <c r="F64" i="11"/>
  <c r="F63" i="11"/>
  <c r="E63" i="11"/>
  <c r="D61" i="11"/>
  <c r="D65" i="11"/>
  <c r="C61" i="11"/>
  <c r="F60" i="11"/>
  <c r="E60" i="11"/>
  <c r="F59" i="11"/>
  <c r="E59" i="11"/>
  <c r="D56" i="11"/>
  <c r="D75" i="11"/>
  <c r="C56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F37" i="11"/>
  <c r="E37" i="11"/>
  <c r="E36" i="11"/>
  <c r="F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C22" i="11"/>
  <c r="F21" i="11"/>
  <c r="E21" i="11"/>
  <c r="E20" i="11"/>
  <c r="F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D119" i="10"/>
  <c r="E119" i="10"/>
  <c r="C119" i="10"/>
  <c r="F119" i="10"/>
  <c r="F118" i="10"/>
  <c r="D118" i="10"/>
  <c r="E118" i="10"/>
  <c r="C118" i="10"/>
  <c r="D117" i="10"/>
  <c r="C117" i="10"/>
  <c r="F116" i="10"/>
  <c r="D116" i="10"/>
  <c r="E116" i="10"/>
  <c r="C116" i="10"/>
  <c r="D115" i="10"/>
  <c r="E115" i="10"/>
  <c r="C115" i="10"/>
  <c r="F115" i="10"/>
  <c r="F114" i="10"/>
  <c r="D114" i="10"/>
  <c r="D121" i="10"/>
  <c r="E114" i="10"/>
  <c r="C114" i="10"/>
  <c r="D113" i="10"/>
  <c r="D122" i="10"/>
  <c r="C113" i="10"/>
  <c r="F112" i="10"/>
  <c r="D112" i="10"/>
  <c r="C112" i="10"/>
  <c r="C121" i="10"/>
  <c r="F121" i="10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/>
  <c r="D59" i="10"/>
  <c r="E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E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C205" i="9"/>
  <c r="D204" i="9"/>
  <c r="E204" i="9"/>
  <c r="C204" i="9"/>
  <c r="D203" i="9"/>
  <c r="E203" i="9"/>
  <c r="F203" i="9"/>
  <c r="C203" i="9"/>
  <c r="D202" i="9"/>
  <c r="E202" i="9"/>
  <c r="C202" i="9"/>
  <c r="D201" i="9"/>
  <c r="E201" i="9"/>
  <c r="F201" i="9"/>
  <c r="C201" i="9"/>
  <c r="D200" i="9"/>
  <c r="C200" i="9"/>
  <c r="D199" i="9"/>
  <c r="D208" i="9"/>
  <c r="C199" i="9"/>
  <c r="D198" i="9"/>
  <c r="D207" i="9"/>
  <c r="C198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E189" i="9"/>
  <c r="F189" i="9"/>
  <c r="E188" i="9"/>
  <c r="F188" i="9"/>
  <c r="E187" i="9"/>
  <c r="F187" i="9"/>
  <c r="F186" i="9"/>
  <c r="E186" i="9"/>
  <c r="E185" i="9"/>
  <c r="F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F154" i="9"/>
  <c r="C154" i="9"/>
  <c r="E154" i="9"/>
  <c r="D153" i="9"/>
  <c r="C153" i="9"/>
  <c r="E152" i="9"/>
  <c r="F152" i="9"/>
  <c r="E151" i="9"/>
  <c r="F151" i="9"/>
  <c r="E150" i="9"/>
  <c r="F150" i="9"/>
  <c r="E149" i="9"/>
  <c r="F149" i="9"/>
  <c r="E148" i="9"/>
  <c r="F148" i="9"/>
  <c r="F147" i="9"/>
  <c r="E147" i="9"/>
  <c r="F146" i="9"/>
  <c r="E146" i="9"/>
  <c r="E145" i="9"/>
  <c r="F145" i="9"/>
  <c r="E144" i="9"/>
  <c r="F144" i="9"/>
  <c r="D141" i="9"/>
  <c r="E141" i="9"/>
  <c r="F141" i="9"/>
  <c r="C141" i="9"/>
  <c r="D140" i="9"/>
  <c r="E140" i="9"/>
  <c r="C140" i="9"/>
  <c r="F139" i="9"/>
  <c r="E139" i="9"/>
  <c r="E138" i="9"/>
  <c r="F138" i="9"/>
  <c r="E137" i="9"/>
  <c r="F137" i="9"/>
  <c r="F136" i="9"/>
  <c r="E136" i="9"/>
  <c r="F135" i="9"/>
  <c r="E135" i="9"/>
  <c r="F134" i="9"/>
  <c r="E134" i="9"/>
  <c r="E133" i="9"/>
  <c r="F133" i="9"/>
  <c r="F132" i="9"/>
  <c r="E132" i="9"/>
  <c r="F131" i="9"/>
  <c r="E131" i="9"/>
  <c r="D128" i="9"/>
  <c r="E128" i="9"/>
  <c r="C128" i="9"/>
  <c r="D127" i="9"/>
  <c r="E127" i="9"/>
  <c r="C127" i="9"/>
  <c r="E126" i="9"/>
  <c r="F126" i="9"/>
  <c r="E125" i="9"/>
  <c r="F125" i="9"/>
  <c r="E124" i="9"/>
  <c r="F124" i="9"/>
  <c r="F123" i="9"/>
  <c r="E123" i="9"/>
  <c r="F122" i="9"/>
  <c r="E122" i="9"/>
  <c r="F121" i="9"/>
  <c r="E121" i="9"/>
  <c r="E120" i="9"/>
  <c r="F120" i="9"/>
  <c r="E119" i="9"/>
  <c r="F119" i="9"/>
  <c r="E118" i="9"/>
  <c r="F118" i="9"/>
  <c r="D115" i="9"/>
  <c r="E115" i="9"/>
  <c r="C115" i="9"/>
  <c r="D114" i="9"/>
  <c r="E114" i="9"/>
  <c r="F114" i="9"/>
  <c r="C114" i="9"/>
  <c r="E113" i="9"/>
  <c r="F113" i="9"/>
  <c r="E112" i="9"/>
  <c r="F112" i="9"/>
  <c r="E111" i="9"/>
  <c r="F111" i="9"/>
  <c r="E110" i="9"/>
  <c r="F110" i="9"/>
  <c r="E109" i="9"/>
  <c r="F109" i="9"/>
  <c r="E108" i="9"/>
  <c r="F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E100" i="9"/>
  <c r="F100" i="9"/>
  <c r="E99" i="9"/>
  <c r="F99" i="9"/>
  <c r="E98" i="9"/>
  <c r="F98" i="9"/>
  <c r="F97" i="9"/>
  <c r="E97" i="9"/>
  <c r="E96" i="9"/>
  <c r="F96" i="9"/>
  <c r="F95" i="9"/>
  <c r="E95" i="9"/>
  <c r="F94" i="9"/>
  <c r="E94" i="9"/>
  <c r="E93" i="9"/>
  <c r="F93" i="9"/>
  <c r="E92" i="9"/>
  <c r="F92" i="9"/>
  <c r="D89" i="9"/>
  <c r="C89" i="9"/>
  <c r="D88" i="9"/>
  <c r="E88" i="9"/>
  <c r="C88" i="9"/>
  <c r="F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E74" i="9"/>
  <c r="F74" i="9"/>
  <c r="F73" i="9"/>
  <c r="E73" i="9"/>
  <c r="E72" i="9"/>
  <c r="F72" i="9"/>
  <c r="F71" i="9"/>
  <c r="E71" i="9"/>
  <c r="E70" i="9"/>
  <c r="F70" i="9"/>
  <c r="E69" i="9"/>
  <c r="F69" i="9"/>
  <c r="E68" i="9"/>
  <c r="F68" i="9"/>
  <c r="E67" i="9"/>
  <c r="F67" i="9"/>
  <c r="F66" i="9"/>
  <c r="E66" i="9"/>
  <c r="F63" i="9"/>
  <c r="D63" i="9"/>
  <c r="C63" i="9"/>
  <c r="D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/>
  <c r="C49" i="9"/>
  <c r="E48" i="9"/>
  <c r="F48" i="9"/>
  <c r="F47" i="9"/>
  <c r="E47" i="9"/>
  <c r="E46" i="9"/>
  <c r="F46" i="9"/>
  <c r="F45" i="9"/>
  <c r="E45" i="9"/>
  <c r="E44" i="9"/>
  <c r="F44" i="9"/>
  <c r="E43" i="9"/>
  <c r="F43" i="9"/>
  <c r="E42" i="9"/>
  <c r="F42" i="9"/>
  <c r="E41" i="9"/>
  <c r="F41" i="9"/>
  <c r="E40" i="9"/>
  <c r="F40" i="9"/>
  <c r="F37" i="9"/>
  <c r="D37" i="9"/>
  <c r="E37" i="9"/>
  <c r="C37" i="9"/>
  <c r="F36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C23" i="9"/>
  <c r="E22" i="9"/>
  <c r="F22" i="9"/>
  <c r="E21" i="9"/>
  <c r="F21" i="9"/>
  <c r="E20" i="9"/>
  <c r="F20" i="9"/>
  <c r="F19" i="9"/>
  <c r="E19" i="9"/>
  <c r="E18" i="9"/>
  <c r="F18" i="9"/>
  <c r="F17" i="9"/>
  <c r="E17" i="9"/>
  <c r="E16" i="9"/>
  <c r="F16" i="9"/>
  <c r="E15" i="9"/>
  <c r="F15" i="9"/>
  <c r="E14" i="9"/>
  <c r="F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C166" i="8"/>
  <c r="E161" i="8"/>
  <c r="D161" i="8"/>
  <c r="C161" i="8"/>
  <c r="E160" i="8"/>
  <c r="C160" i="8"/>
  <c r="E147" i="8"/>
  <c r="E143" i="8"/>
  <c r="D147" i="8"/>
  <c r="D143" i="8"/>
  <c r="D149" i="8"/>
  <c r="C147" i="8"/>
  <c r="C143" i="8"/>
  <c r="E145" i="8"/>
  <c r="D145" i="8"/>
  <c r="C145" i="8"/>
  <c r="E144" i="8"/>
  <c r="D144" i="8"/>
  <c r="C144" i="8"/>
  <c r="E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E102" i="8"/>
  <c r="D102" i="8"/>
  <c r="D104" i="8"/>
  <c r="C102" i="8"/>
  <c r="C104" i="8"/>
  <c r="E100" i="8"/>
  <c r="D100" i="8"/>
  <c r="C100" i="8"/>
  <c r="E95" i="8"/>
  <c r="E94" i="8"/>
  <c r="D95" i="8"/>
  <c r="C95" i="8"/>
  <c r="C94" i="8"/>
  <c r="D94" i="8"/>
  <c r="E89" i="8"/>
  <c r="D89" i="8"/>
  <c r="C89" i="8"/>
  <c r="C90" i="8"/>
  <c r="C86" i="8"/>
  <c r="E87" i="8"/>
  <c r="D87" i="8"/>
  <c r="C87" i="8"/>
  <c r="E84" i="8"/>
  <c r="E79" i="8"/>
  <c r="D84" i="8"/>
  <c r="D79" i="8"/>
  <c r="C84" i="8"/>
  <c r="E83" i="8"/>
  <c r="D83" i="8"/>
  <c r="C83" i="8"/>
  <c r="C79" i="8"/>
  <c r="E77" i="8"/>
  <c r="E71" i="8"/>
  <c r="C77" i="8"/>
  <c r="C71" i="8"/>
  <c r="E75" i="8"/>
  <c r="E88" i="8"/>
  <c r="E90" i="8"/>
  <c r="D75" i="8"/>
  <c r="D88" i="8"/>
  <c r="D90" i="8"/>
  <c r="D86" i="8"/>
  <c r="C75" i="8"/>
  <c r="C88" i="8"/>
  <c r="E74" i="8"/>
  <c r="D74" i="8"/>
  <c r="C74" i="8"/>
  <c r="E67" i="8"/>
  <c r="D67" i="8"/>
  <c r="C67" i="8"/>
  <c r="D53" i="8"/>
  <c r="E38" i="8"/>
  <c r="E43" i="8"/>
  <c r="E57" i="8"/>
  <c r="E62" i="8"/>
  <c r="D38" i="8"/>
  <c r="D43" i="8"/>
  <c r="D57" i="8"/>
  <c r="D62" i="8"/>
  <c r="C38" i="8"/>
  <c r="C57" i="8"/>
  <c r="C62" i="8"/>
  <c r="E33" i="8"/>
  <c r="E34" i="8"/>
  <c r="D33" i="8"/>
  <c r="D34" i="8"/>
  <c r="E26" i="8"/>
  <c r="D26" i="8"/>
  <c r="C26" i="8"/>
  <c r="E13" i="8"/>
  <c r="D13" i="8"/>
  <c r="D25" i="8"/>
  <c r="C13" i="8"/>
  <c r="C25" i="8"/>
  <c r="C27" i="8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/>
  <c r="D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/>
  <c r="F144" i="7"/>
  <c r="E144" i="7"/>
  <c r="F143" i="7"/>
  <c r="E143" i="7"/>
  <c r="F142" i="7"/>
  <c r="E142" i="7"/>
  <c r="E141" i="7"/>
  <c r="F141" i="7"/>
  <c r="F140" i="7"/>
  <c r="E140" i="7"/>
  <c r="F139" i="7"/>
  <c r="E139" i="7"/>
  <c r="F138" i="7"/>
  <c r="E138" i="7"/>
  <c r="E137" i="7"/>
  <c r="F137" i="7"/>
  <c r="F136" i="7"/>
  <c r="E136" i="7"/>
  <c r="F135" i="7"/>
  <c r="E135" i="7"/>
  <c r="F134" i="7"/>
  <c r="E134" i="7"/>
  <c r="E133" i="7"/>
  <c r="F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C121" i="7"/>
  <c r="F120" i="7"/>
  <c r="E120" i="7"/>
  <c r="E119" i="7"/>
  <c r="F119" i="7"/>
  <c r="F118" i="7"/>
  <c r="E118" i="7"/>
  <c r="F117" i="7"/>
  <c r="E117" i="7"/>
  <c r="F116" i="7"/>
  <c r="E116" i="7"/>
  <c r="E115" i="7"/>
  <c r="F115" i="7"/>
  <c r="F114" i="7"/>
  <c r="E114" i="7"/>
  <c r="E113" i="7"/>
  <c r="F113" i="7"/>
  <c r="F112" i="7"/>
  <c r="E112" i="7"/>
  <c r="E111" i="7"/>
  <c r="F111" i="7"/>
  <c r="F110" i="7"/>
  <c r="E110" i="7"/>
  <c r="E109" i="7"/>
  <c r="F109" i="7"/>
  <c r="F108" i="7"/>
  <c r="E108" i="7"/>
  <c r="E107" i="7"/>
  <c r="F107" i="7"/>
  <c r="F106" i="7"/>
  <c r="E106" i="7"/>
  <c r="F105" i="7"/>
  <c r="E105" i="7"/>
  <c r="F104" i="7"/>
  <c r="E104" i="7"/>
  <c r="E103" i="7"/>
  <c r="F103" i="7"/>
  <c r="F93" i="7"/>
  <c r="E93" i="7"/>
  <c r="D90" i="7"/>
  <c r="C90" i="7"/>
  <c r="F89" i="7"/>
  <c r="E89" i="7"/>
  <c r="E88" i="7"/>
  <c r="F88" i="7"/>
  <c r="E87" i="7"/>
  <c r="F87" i="7"/>
  <c r="E86" i="7"/>
  <c r="F86" i="7"/>
  <c r="F85" i="7"/>
  <c r="E85" i="7"/>
  <c r="E84" i="7"/>
  <c r="F84" i="7"/>
  <c r="F83" i="7"/>
  <c r="E83" i="7"/>
  <c r="E82" i="7"/>
  <c r="F82" i="7"/>
  <c r="F81" i="7"/>
  <c r="E81" i="7"/>
  <c r="E80" i="7"/>
  <c r="F80" i="7"/>
  <c r="E79" i="7"/>
  <c r="F79" i="7"/>
  <c r="E78" i="7"/>
  <c r="F78" i="7"/>
  <c r="F77" i="7"/>
  <c r="E77" i="7"/>
  <c r="E76" i="7"/>
  <c r="F76" i="7"/>
  <c r="F75" i="7"/>
  <c r="E75" i="7"/>
  <c r="E74" i="7"/>
  <c r="F74" i="7"/>
  <c r="F73" i="7"/>
  <c r="E73" i="7"/>
  <c r="F72" i="7"/>
  <c r="E72" i="7"/>
  <c r="E71" i="7"/>
  <c r="F71" i="7"/>
  <c r="E70" i="7"/>
  <c r="F70" i="7"/>
  <c r="E69" i="7"/>
  <c r="F69" i="7"/>
  <c r="E68" i="7"/>
  <c r="F68" i="7"/>
  <c r="E67" i="7"/>
  <c r="F67" i="7"/>
  <c r="E66" i="7"/>
  <c r="F66" i="7"/>
  <c r="F65" i="7"/>
  <c r="E65" i="7"/>
  <c r="E64" i="7"/>
  <c r="F64" i="7"/>
  <c r="F63" i="7"/>
  <c r="E63" i="7"/>
  <c r="E62" i="7"/>
  <c r="F62" i="7"/>
  <c r="D59" i="7"/>
  <c r="E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F50" i="7"/>
  <c r="E50" i="7"/>
  <c r="E47" i="7"/>
  <c r="F47" i="7"/>
  <c r="F44" i="7"/>
  <c r="E44" i="7"/>
  <c r="D41" i="7"/>
  <c r="E41" i="7"/>
  <c r="F41" i="7"/>
  <c r="C41" i="7"/>
  <c r="E40" i="7"/>
  <c r="F40" i="7"/>
  <c r="E39" i="7"/>
  <c r="F39" i="7"/>
  <c r="E38" i="7"/>
  <c r="F38" i="7"/>
  <c r="D35" i="7"/>
  <c r="C35" i="7"/>
  <c r="F34" i="7"/>
  <c r="E34" i="7"/>
  <c r="E33" i="7"/>
  <c r="F33" i="7"/>
  <c r="D30" i="7"/>
  <c r="E30" i="7"/>
  <c r="C30" i="7"/>
  <c r="F29" i="7"/>
  <c r="E29" i="7"/>
  <c r="E28" i="7"/>
  <c r="F28" i="7"/>
  <c r="F27" i="7"/>
  <c r="E27" i="7"/>
  <c r="D24" i="7"/>
  <c r="C24" i="7"/>
  <c r="E23" i="7"/>
  <c r="F23" i="7"/>
  <c r="F22" i="7"/>
  <c r="E22" i="7"/>
  <c r="E21" i="7"/>
  <c r="F21" i="7"/>
  <c r="D18" i="7"/>
  <c r="E18" i="7"/>
  <c r="C18" i="7"/>
  <c r="E17" i="7"/>
  <c r="F17" i="7"/>
  <c r="F16" i="7"/>
  <c r="E16" i="7"/>
  <c r="E15" i="7"/>
  <c r="F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C153" i="6"/>
  <c r="F152" i="6"/>
  <c r="E152" i="6"/>
  <c r="F151" i="6"/>
  <c r="E151" i="6"/>
  <c r="F150" i="6"/>
  <c r="E150" i="6"/>
  <c r="E149" i="6"/>
  <c r="F149" i="6"/>
  <c r="F148" i="6"/>
  <c r="E148" i="6"/>
  <c r="E147" i="6"/>
  <c r="F147" i="6"/>
  <c r="F146" i="6"/>
  <c r="E146" i="6"/>
  <c r="F145" i="6"/>
  <c r="E145" i="6"/>
  <c r="F144" i="6"/>
  <c r="E144" i="6"/>
  <c r="E143" i="6"/>
  <c r="F143" i="6"/>
  <c r="F142" i="6"/>
  <c r="E142" i="6"/>
  <c r="D137" i="6"/>
  <c r="E137" i="6"/>
  <c r="F137" i="6"/>
  <c r="C137" i="6"/>
  <c r="F136" i="6"/>
  <c r="E136" i="6"/>
  <c r="F135" i="6"/>
  <c r="E135" i="6"/>
  <c r="E134" i="6"/>
  <c r="F134" i="6"/>
  <c r="F133" i="6"/>
  <c r="E133" i="6"/>
  <c r="E132" i="6"/>
  <c r="F132" i="6"/>
  <c r="F131" i="6"/>
  <c r="E131" i="6"/>
  <c r="F130" i="6"/>
  <c r="E130" i="6"/>
  <c r="F129" i="6"/>
  <c r="E129" i="6"/>
  <c r="E128" i="6"/>
  <c r="F128" i="6"/>
  <c r="F127" i="6"/>
  <c r="E127" i="6"/>
  <c r="E126" i="6"/>
  <c r="F126" i="6"/>
  <c r="D124" i="6"/>
  <c r="C124" i="6"/>
  <c r="F123" i="6"/>
  <c r="E123" i="6"/>
  <c r="F122" i="6"/>
  <c r="E122" i="6"/>
  <c r="F121" i="6"/>
  <c r="E121" i="6"/>
  <c r="F120" i="6"/>
  <c r="E120" i="6"/>
  <c r="F119" i="6"/>
  <c r="E119" i="6"/>
  <c r="E118" i="6"/>
  <c r="F118" i="6"/>
  <c r="F117" i="6"/>
  <c r="E117" i="6"/>
  <c r="F116" i="6"/>
  <c r="E116" i="6"/>
  <c r="F115" i="6"/>
  <c r="E115" i="6"/>
  <c r="E114" i="6"/>
  <c r="F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E106" i="6"/>
  <c r="F106" i="6"/>
  <c r="F105" i="6"/>
  <c r="E105" i="6"/>
  <c r="F104" i="6"/>
  <c r="E104" i="6"/>
  <c r="F103" i="6"/>
  <c r="E103" i="6"/>
  <c r="E102" i="6"/>
  <c r="F102" i="6"/>
  <c r="F101" i="6"/>
  <c r="E101" i="6"/>
  <c r="F100" i="6"/>
  <c r="E100" i="6"/>
  <c r="F94" i="6"/>
  <c r="D94" i="6"/>
  <c r="C94" i="6"/>
  <c r="E94" i="6"/>
  <c r="F93" i="6"/>
  <c r="D93" i="6"/>
  <c r="E93" i="6"/>
  <c r="C93" i="6"/>
  <c r="D92" i="6"/>
  <c r="E92" i="6"/>
  <c r="F92" i="6"/>
  <c r="C92" i="6"/>
  <c r="D91" i="6"/>
  <c r="C91" i="6"/>
  <c r="D90" i="6"/>
  <c r="E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C86" i="6"/>
  <c r="D85" i="6"/>
  <c r="E85" i="6"/>
  <c r="F85" i="6"/>
  <c r="C85" i="6"/>
  <c r="D84" i="6"/>
  <c r="C84" i="6"/>
  <c r="C95" i="6"/>
  <c r="D81" i="6"/>
  <c r="C81" i="6"/>
  <c r="F80" i="6"/>
  <c r="E80" i="6"/>
  <c r="F79" i="6"/>
  <c r="E79" i="6"/>
  <c r="F78" i="6"/>
  <c r="E78" i="6"/>
  <c r="E77" i="6"/>
  <c r="F77" i="6"/>
  <c r="F76" i="6"/>
  <c r="E76" i="6"/>
  <c r="E75" i="6"/>
  <c r="F75" i="6"/>
  <c r="F74" i="6"/>
  <c r="E74" i="6"/>
  <c r="F73" i="6"/>
  <c r="E73" i="6"/>
  <c r="F72" i="6"/>
  <c r="E72" i="6"/>
  <c r="E71" i="6"/>
  <c r="F71" i="6"/>
  <c r="E70" i="6"/>
  <c r="F70" i="6"/>
  <c r="D68" i="6"/>
  <c r="E68" i="6"/>
  <c r="F68" i="6"/>
  <c r="C68" i="6"/>
  <c r="F67" i="6"/>
  <c r="E67" i="6"/>
  <c r="F66" i="6"/>
  <c r="E66" i="6"/>
  <c r="F65" i="6"/>
  <c r="E65" i="6"/>
  <c r="F64" i="6"/>
  <c r="E64" i="6"/>
  <c r="E63" i="6"/>
  <c r="F63" i="6"/>
  <c r="E62" i="6"/>
  <c r="F62" i="6"/>
  <c r="E61" i="6"/>
  <c r="F61" i="6"/>
  <c r="F60" i="6"/>
  <c r="E60" i="6"/>
  <c r="E59" i="6"/>
  <c r="F59" i="6"/>
  <c r="E58" i="6"/>
  <c r="F58" i="6"/>
  <c r="F57" i="6"/>
  <c r="E57" i="6"/>
  <c r="D51" i="6"/>
  <c r="C51" i="6"/>
  <c r="D50" i="6"/>
  <c r="C50" i="6"/>
  <c r="D49" i="6"/>
  <c r="E49" i="6"/>
  <c r="F49" i="6"/>
  <c r="C49" i="6"/>
  <c r="D48" i="6"/>
  <c r="C48" i="6"/>
  <c r="D47" i="6"/>
  <c r="E47" i="6"/>
  <c r="C47" i="6"/>
  <c r="D46" i="6"/>
  <c r="E46" i="6"/>
  <c r="F46" i="6"/>
  <c r="C46" i="6"/>
  <c r="D45" i="6"/>
  <c r="E45" i="6"/>
  <c r="F45" i="6"/>
  <c r="C45" i="6"/>
  <c r="D44" i="6"/>
  <c r="C44" i="6"/>
  <c r="F44" i="6"/>
  <c r="D43" i="6"/>
  <c r="C43" i="6"/>
  <c r="D42" i="6"/>
  <c r="E42" i="6"/>
  <c r="C42" i="6"/>
  <c r="D41" i="6"/>
  <c r="C41" i="6"/>
  <c r="D38" i="6"/>
  <c r="E38" i="6"/>
  <c r="C38" i="6"/>
  <c r="F37" i="6"/>
  <c r="E37" i="6"/>
  <c r="F36" i="6"/>
  <c r="E36" i="6"/>
  <c r="E35" i="6"/>
  <c r="F35" i="6"/>
  <c r="E34" i="6"/>
  <c r="F34" i="6"/>
  <c r="E33" i="6"/>
  <c r="F33" i="6"/>
  <c r="E32" i="6"/>
  <c r="F32" i="6"/>
  <c r="F31" i="6"/>
  <c r="E31" i="6"/>
  <c r="F30" i="6"/>
  <c r="E30" i="6"/>
  <c r="E29" i="6"/>
  <c r="F29" i="6"/>
  <c r="F28" i="6"/>
  <c r="E28" i="6"/>
  <c r="E27" i="6"/>
  <c r="F27" i="6"/>
  <c r="D25" i="6"/>
  <c r="E25" i="6"/>
  <c r="C25" i="6"/>
  <c r="F24" i="6"/>
  <c r="E24" i="6"/>
  <c r="F23" i="6"/>
  <c r="E23" i="6"/>
  <c r="F22" i="6"/>
  <c r="E22" i="6"/>
  <c r="E21" i="6"/>
  <c r="F21" i="6"/>
  <c r="E20" i="6"/>
  <c r="F20" i="6"/>
  <c r="E19" i="6"/>
  <c r="F19" i="6"/>
  <c r="E18" i="6"/>
  <c r="F18" i="6"/>
  <c r="F17" i="6"/>
  <c r="E17" i="6"/>
  <c r="E16" i="6"/>
  <c r="F16" i="6"/>
  <c r="E15" i="6"/>
  <c r="F15" i="6"/>
  <c r="F14" i="6"/>
  <c r="E14" i="6"/>
  <c r="E51" i="5"/>
  <c r="F51" i="5"/>
  <c r="D48" i="5"/>
  <c r="E48" i="5"/>
  <c r="C48" i="5"/>
  <c r="F48" i="5"/>
  <c r="F47" i="5"/>
  <c r="E47" i="5"/>
  <c r="F46" i="5"/>
  <c r="E46" i="5"/>
  <c r="D41" i="5"/>
  <c r="E41" i="5"/>
  <c r="C41" i="5"/>
  <c r="E40" i="5"/>
  <c r="F40" i="5"/>
  <c r="F39" i="5"/>
  <c r="E39" i="5"/>
  <c r="F38" i="5"/>
  <c r="E38" i="5"/>
  <c r="D33" i="5"/>
  <c r="E33" i="5"/>
  <c r="C33" i="5"/>
  <c r="E32" i="5"/>
  <c r="F32" i="5"/>
  <c r="E31" i="5"/>
  <c r="F31" i="5"/>
  <c r="E30" i="5"/>
  <c r="F30" i="5"/>
  <c r="F29" i="5"/>
  <c r="E29" i="5"/>
  <c r="E28" i="5"/>
  <c r="F28" i="5"/>
  <c r="E27" i="5"/>
  <c r="F27" i="5"/>
  <c r="E26" i="5"/>
  <c r="F26" i="5"/>
  <c r="E25" i="5"/>
  <c r="F25" i="5"/>
  <c r="E24" i="5"/>
  <c r="F24" i="5"/>
  <c r="E20" i="5"/>
  <c r="F20" i="5"/>
  <c r="E19" i="5"/>
  <c r="F19" i="5"/>
  <c r="E17" i="5"/>
  <c r="F17" i="5"/>
  <c r="D16" i="5"/>
  <c r="C16" i="5"/>
  <c r="F15" i="5"/>
  <c r="E15" i="5"/>
  <c r="E14" i="5"/>
  <c r="F14" i="5"/>
  <c r="E13" i="5"/>
  <c r="F13" i="5"/>
  <c r="E12" i="5"/>
  <c r="F12" i="5"/>
  <c r="D73" i="4"/>
  <c r="C73" i="4"/>
  <c r="E72" i="4"/>
  <c r="F72" i="4"/>
  <c r="E71" i="4"/>
  <c r="F71" i="4"/>
  <c r="E70" i="4"/>
  <c r="F70" i="4"/>
  <c r="F67" i="4"/>
  <c r="E67" i="4"/>
  <c r="E64" i="4"/>
  <c r="F64" i="4"/>
  <c r="F63" i="4"/>
  <c r="E63" i="4"/>
  <c r="D61" i="4"/>
  <c r="D65" i="4"/>
  <c r="C61" i="4"/>
  <c r="F61" i="4"/>
  <c r="F60" i="4"/>
  <c r="E60" i="4"/>
  <c r="F59" i="4"/>
  <c r="E59" i="4"/>
  <c r="D56" i="4"/>
  <c r="C56" i="4"/>
  <c r="E55" i="4"/>
  <c r="F55" i="4"/>
  <c r="E54" i="4"/>
  <c r="F54" i="4"/>
  <c r="E53" i="4"/>
  <c r="F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F40" i="4"/>
  <c r="E40" i="4"/>
  <c r="D38" i="4"/>
  <c r="D41" i="4"/>
  <c r="C38" i="4"/>
  <c r="E37" i="4"/>
  <c r="F37" i="4"/>
  <c r="E36" i="4"/>
  <c r="F36" i="4"/>
  <c r="E33" i="4"/>
  <c r="F33" i="4"/>
  <c r="E32" i="4"/>
  <c r="F32" i="4"/>
  <c r="F31" i="4"/>
  <c r="E31" i="4"/>
  <c r="D29" i="4"/>
  <c r="D43" i="4"/>
  <c r="E43" i="4"/>
  <c r="C29" i="4"/>
  <c r="E28" i="4"/>
  <c r="F28" i="4"/>
  <c r="E27" i="4"/>
  <c r="F27" i="4"/>
  <c r="F26" i="4"/>
  <c r="E26" i="4"/>
  <c r="E25" i="4"/>
  <c r="F25" i="4"/>
  <c r="D22" i="4"/>
  <c r="C22" i="4"/>
  <c r="E21" i="4"/>
  <c r="F21" i="4"/>
  <c r="E20" i="4"/>
  <c r="F20" i="4"/>
  <c r="E19" i="4"/>
  <c r="F19" i="4"/>
  <c r="F18" i="4"/>
  <c r="E18" i="4"/>
  <c r="F17" i="4"/>
  <c r="E17" i="4"/>
  <c r="F16" i="4"/>
  <c r="E16" i="4"/>
  <c r="E15" i="4"/>
  <c r="F15" i="4"/>
  <c r="F14" i="4"/>
  <c r="E14" i="4"/>
  <c r="E13" i="4"/>
  <c r="F13" i="4"/>
  <c r="D22" i="22"/>
  <c r="C23" i="22"/>
  <c r="E23" i="22"/>
  <c r="C34" i="22"/>
  <c r="E34" i="22"/>
  <c r="C102" i="22"/>
  <c r="C22" i="22"/>
  <c r="E22" i="22"/>
  <c r="F20" i="20"/>
  <c r="D41" i="20"/>
  <c r="E19" i="20"/>
  <c r="F19" i="20"/>
  <c r="E17" i="17"/>
  <c r="E294" i="17"/>
  <c r="E295" i="17"/>
  <c r="E296" i="17"/>
  <c r="E297" i="17"/>
  <c r="F297" i="17"/>
  <c r="E299" i="17"/>
  <c r="C22" i="19"/>
  <c r="C258" i="18"/>
  <c r="C99" i="18"/>
  <c r="C96" i="18"/>
  <c r="C283" i="18"/>
  <c r="E283" i="18"/>
  <c r="E21" i="18"/>
  <c r="D22" i="18"/>
  <c r="E22" i="18"/>
  <c r="C33" i="18"/>
  <c r="C55" i="18"/>
  <c r="D289" i="18"/>
  <c r="D71" i="18"/>
  <c r="D65" i="18"/>
  <c r="E60" i="18"/>
  <c r="E69" i="18"/>
  <c r="E70" i="18"/>
  <c r="E36" i="18"/>
  <c r="E139" i="18"/>
  <c r="D144" i="18"/>
  <c r="C145" i="18"/>
  <c r="C156" i="18"/>
  <c r="C157" i="18"/>
  <c r="E157" i="18"/>
  <c r="E156" i="18"/>
  <c r="C163" i="18"/>
  <c r="E163" i="18"/>
  <c r="C229" i="18"/>
  <c r="C210" i="18"/>
  <c r="C234" i="18"/>
  <c r="C180" i="18"/>
  <c r="D241" i="18"/>
  <c r="E243" i="18"/>
  <c r="E244" i="18"/>
  <c r="D252" i="18"/>
  <c r="D253" i="18"/>
  <c r="C303" i="18"/>
  <c r="C306" i="18"/>
  <c r="C310" i="18"/>
  <c r="C261" i="18"/>
  <c r="D260" i="18"/>
  <c r="E260" i="18"/>
  <c r="E195" i="18"/>
  <c r="C253" i="18"/>
  <c r="E316" i="18"/>
  <c r="E215" i="18"/>
  <c r="C217" i="18"/>
  <c r="C241" i="18"/>
  <c r="E219" i="18"/>
  <c r="E221" i="18"/>
  <c r="D222" i="18"/>
  <c r="C252" i="18"/>
  <c r="C254" i="18"/>
  <c r="E265" i="18"/>
  <c r="E314" i="18"/>
  <c r="E216" i="18"/>
  <c r="E218" i="18"/>
  <c r="E220" i="18"/>
  <c r="C222" i="18"/>
  <c r="D223" i="18"/>
  <c r="E233" i="18"/>
  <c r="E301" i="18"/>
  <c r="E60" i="17"/>
  <c r="F17" i="17"/>
  <c r="D21" i="17"/>
  <c r="D91" i="17"/>
  <c r="D92" i="17"/>
  <c r="E24" i="17"/>
  <c r="F24" i="17"/>
  <c r="E36" i="17"/>
  <c r="F36" i="17"/>
  <c r="E47" i="17"/>
  <c r="F47" i="17"/>
  <c r="E52" i="17"/>
  <c r="F52" i="17"/>
  <c r="E58" i="17"/>
  <c r="F58" i="17"/>
  <c r="E66" i="17"/>
  <c r="F66" i="17"/>
  <c r="C68" i="17"/>
  <c r="E68" i="17"/>
  <c r="C138" i="17"/>
  <c r="E159" i="17"/>
  <c r="E20" i="17"/>
  <c r="F20" i="17"/>
  <c r="C21" i="17"/>
  <c r="E23" i="17"/>
  <c r="F23" i="17"/>
  <c r="E29" i="17"/>
  <c r="F29" i="17"/>
  <c r="D62" i="17"/>
  <c r="C37" i="17"/>
  <c r="E44" i="17"/>
  <c r="F44" i="17"/>
  <c r="D160" i="17"/>
  <c r="E160" i="17"/>
  <c r="C160" i="17"/>
  <c r="E53" i="17"/>
  <c r="E59" i="17"/>
  <c r="F67" i="17"/>
  <c r="D89" i="17"/>
  <c r="D102" i="17"/>
  <c r="E123" i="17"/>
  <c r="F123" i="17"/>
  <c r="F172" i="17"/>
  <c r="C173" i="17"/>
  <c r="F173" i="17"/>
  <c r="C193" i="17"/>
  <c r="C266" i="17"/>
  <c r="C192" i="17"/>
  <c r="C124" i="17"/>
  <c r="E144" i="17"/>
  <c r="F144" i="17"/>
  <c r="E158" i="17"/>
  <c r="E179" i="17"/>
  <c r="C277" i="17"/>
  <c r="C261" i="17"/>
  <c r="C254" i="17"/>
  <c r="C214" i="17"/>
  <c r="C206" i="17"/>
  <c r="C262" i="17"/>
  <c r="C272" i="17"/>
  <c r="C255" i="17"/>
  <c r="C215" i="17"/>
  <c r="D280" i="17"/>
  <c r="D264" i="17"/>
  <c r="E203" i="17"/>
  <c r="F203" i="17"/>
  <c r="D277" i="17"/>
  <c r="D261" i="17"/>
  <c r="D278" i="17"/>
  <c r="D262" i="17"/>
  <c r="D263" i="17"/>
  <c r="D190" i="17"/>
  <c r="E198" i="17"/>
  <c r="F198" i="17"/>
  <c r="D199" i="17"/>
  <c r="E199" i="17"/>
  <c r="F199" i="17"/>
  <c r="D200" i="17"/>
  <c r="D285" i="17"/>
  <c r="E285" i="17"/>
  <c r="F285" i="17"/>
  <c r="D269" i="17"/>
  <c r="F204" i="17"/>
  <c r="D215" i="17"/>
  <c r="D227" i="17"/>
  <c r="E227" i="17"/>
  <c r="D239" i="17"/>
  <c r="C290" i="17"/>
  <c r="C274" i="17"/>
  <c r="C199" i="17"/>
  <c r="C200" i="17"/>
  <c r="C205" i="17"/>
  <c r="E250" i="17"/>
  <c r="F250" i="17"/>
  <c r="C267" i="17"/>
  <c r="C269" i="17"/>
  <c r="F295" i="17"/>
  <c r="F296" i="17"/>
  <c r="F298" i="17"/>
  <c r="F299" i="17"/>
  <c r="I31" i="14"/>
  <c r="I17" i="14"/>
  <c r="D31" i="14"/>
  <c r="C33" i="14"/>
  <c r="C36" i="14"/>
  <c r="C38" i="14"/>
  <c r="C40" i="14"/>
  <c r="G33" i="14"/>
  <c r="H17" i="14"/>
  <c r="E21" i="13"/>
  <c r="D15" i="13"/>
  <c r="C20" i="12"/>
  <c r="D20" i="12"/>
  <c r="D34" i="12"/>
  <c r="E15" i="12"/>
  <c r="F15" i="12"/>
  <c r="E22" i="11"/>
  <c r="E56" i="11"/>
  <c r="F56" i="11"/>
  <c r="E61" i="11"/>
  <c r="E112" i="10"/>
  <c r="E113" i="10"/>
  <c r="E198" i="9"/>
  <c r="F198" i="9"/>
  <c r="C21" i="8"/>
  <c r="D153" i="8"/>
  <c r="E138" i="8"/>
  <c r="E136" i="8"/>
  <c r="E137" i="8"/>
  <c r="D137" i="8"/>
  <c r="D136" i="8"/>
  <c r="C157" i="8"/>
  <c r="D15" i="8"/>
  <c r="D24" i="8"/>
  <c r="C43" i="8"/>
  <c r="D49" i="8"/>
  <c r="C53" i="8"/>
  <c r="E53" i="8"/>
  <c r="D77" i="8"/>
  <c r="D71" i="8"/>
  <c r="C49" i="8"/>
  <c r="E49" i="8"/>
  <c r="E90" i="7"/>
  <c r="F90" i="7"/>
  <c r="E183" i="7"/>
  <c r="F183" i="7"/>
  <c r="F33" i="5"/>
  <c r="E22" i="4"/>
  <c r="F22" i="4"/>
  <c r="E29" i="4"/>
  <c r="C41" i="4"/>
  <c r="E56" i="4"/>
  <c r="F56" i="4"/>
  <c r="E61" i="4"/>
  <c r="C65" i="4"/>
  <c r="C53" i="22"/>
  <c r="C35" i="22"/>
  <c r="C29" i="22"/>
  <c r="C110" i="22"/>
  <c r="E54" i="22"/>
  <c r="E46" i="22"/>
  <c r="E40" i="22"/>
  <c r="D110" i="22"/>
  <c r="D53" i="22"/>
  <c r="D45" i="22"/>
  <c r="D39" i="22"/>
  <c r="D35" i="22"/>
  <c r="D29" i="22"/>
  <c r="D112" i="22"/>
  <c r="E45" i="22"/>
  <c r="E35" i="22"/>
  <c r="C54" i="22"/>
  <c r="C40" i="22"/>
  <c r="C36" i="22"/>
  <c r="E217" i="18"/>
  <c r="D145" i="18"/>
  <c r="D169" i="18"/>
  <c r="E144" i="18"/>
  <c r="C168" i="18"/>
  <c r="D76" i="18"/>
  <c r="D66" i="18"/>
  <c r="E222" i="18"/>
  <c r="D246" i="18"/>
  <c r="E253" i="18"/>
  <c r="E241" i="18"/>
  <c r="C211" i="18"/>
  <c r="C181" i="18"/>
  <c r="C169" i="18"/>
  <c r="D63" i="17"/>
  <c r="C126" i="17"/>
  <c r="C49" i="17"/>
  <c r="D161" i="17"/>
  <c r="D49" i="17"/>
  <c r="E269" i="17"/>
  <c r="F269" i="17"/>
  <c r="E200" i="17"/>
  <c r="D288" i="17"/>
  <c r="D279" i="17"/>
  <c r="C194" i="17"/>
  <c r="C195" i="17"/>
  <c r="C282" i="17"/>
  <c r="C208" i="17"/>
  <c r="F68" i="17"/>
  <c r="E20" i="12"/>
  <c r="F20" i="12"/>
  <c r="C34" i="12"/>
  <c r="C42" i="12"/>
  <c r="C49" i="12"/>
  <c r="D17" i="8"/>
  <c r="C43" i="4"/>
  <c r="E41" i="4"/>
  <c r="F41" i="4"/>
  <c r="E65" i="4"/>
  <c r="F65" i="4"/>
  <c r="D55" i="22"/>
  <c r="D47" i="22"/>
  <c r="D37" i="22"/>
  <c r="C55" i="22"/>
  <c r="C47" i="22"/>
  <c r="D77" i="18"/>
  <c r="D122" i="18"/>
  <c r="E169" i="18"/>
  <c r="E145" i="18"/>
  <c r="D50" i="17"/>
  <c r="D70" i="17"/>
  <c r="D162" i="17"/>
  <c r="C127" i="17"/>
  <c r="D123" i="18"/>
  <c r="D114" i="18"/>
  <c r="D126" i="18"/>
  <c r="D124" i="18"/>
  <c r="D109" i="18"/>
  <c r="F24" i="7"/>
  <c r="E24" i="7"/>
  <c r="F272" i="17"/>
  <c r="D254" i="18"/>
  <c r="E254" i="18"/>
  <c r="E252" i="18"/>
  <c r="C75" i="4"/>
  <c r="D286" i="17"/>
  <c r="E286" i="17"/>
  <c r="F286" i="17"/>
  <c r="E283" i="17"/>
  <c r="F283" i="17"/>
  <c r="D284" i="17"/>
  <c r="E284" i="17"/>
  <c r="E238" i="17"/>
  <c r="F238" i="17"/>
  <c r="C239" i="17"/>
  <c r="C284" i="18"/>
  <c r="C235" i="18"/>
  <c r="D181" i="17"/>
  <c r="E181" i="17"/>
  <c r="E180" i="17"/>
  <c r="C52" i="6"/>
  <c r="F55" i="15"/>
  <c r="E55" i="15"/>
  <c r="E102" i="17"/>
  <c r="F102" i="17"/>
  <c r="D103" i="17"/>
  <c r="F16" i="5"/>
  <c r="F43" i="4"/>
  <c r="E34" i="12"/>
  <c r="F34" i="12"/>
  <c r="D42" i="12"/>
  <c r="E31" i="14"/>
  <c r="E33" i="14"/>
  <c r="E36" i="14"/>
  <c r="E38" i="14"/>
  <c r="E40" i="14"/>
  <c r="I40" i="14"/>
  <c r="F37" i="15"/>
  <c r="E37" i="15"/>
  <c r="E76" i="17"/>
  <c r="F76" i="17"/>
  <c r="D77" i="17"/>
  <c r="E77" i="17"/>
  <c r="D137" i="17"/>
  <c r="E136" i="17"/>
  <c r="F136" i="17"/>
  <c r="C108" i="22"/>
  <c r="C111" i="22"/>
  <c r="C103" i="22"/>
  <c r="G36" i="14"/>
  <c r="G38" i="14"/>
  <c r="G40" i="14"/>
  <c r="I33" i="14"/>
  <c r="I36" i="14"/>
  <c r="I38" i="14"/>
  <c r="D267" i="17"/>
  <c r="C216" i="17"/>
  <c r="C91" i="17"/>
  <c r="C161" i="17"/>
  <c r="C196" i="17"/>
  <c r="D188" i="7"/>
  <c r="C15" i="8"/>
  <c r="D155" i="8"/>
  <c r="D152" i="8"/>
  <c r="D154" i="8"/>
  <c r="D156" i="8"/>
  <c r="D157" i="8"/>
  <c r="C50" i="17"/>
  <c r="D112" i="8"/>
  <c r="D111" i="8"/>
  <c r="D28" i="8"/>
  <c r="D99" i="8"/>
  <c r="D101" i="8"/>
  <c r="D98" i="8"/>
  <c r="F200" i="17"/>
  <c r="E62" i="9"/>
  <c r="E37" i="17"/>
  <c r="D229" i="18"/>
  <c r="E229" i="18"/>
  <c r="E205" i="18"/>
  <c r="D175" i="18"/>
  <c r="E175" i="18"/>
  <c r="D210" i="18"/>
  <c r="D17" i="13"/>
  <c r="D28" i="13"/>
  <c r="D70" i="13"/>
  <c r="D72" i="13"/>
  <c r="D69" i="13"/>
  <c r="D24" i="13"/>
  <c r="D20" i="13"/>
  <c r="C284" i="17"/>
  <c r="C287" i="17"/>
  <c r="C174" i="17"/>
  <c r="C18" i="5"/>
  <c r="F50" i="6"/>
  <c r="E50" i="6"/>
  <c r="D95" i="7"/>
  <c r="E95" i="7"/>
  <c r="C153" i="8"/>
  <c r="C156" i="8"/>
  <c r="C152" i="8"/>
  <c r="F89" i="9"/>
  <c r="E89" i="9"/>
  <c r="D33" i="18"/>
  <c r="E32" i="18"/>
  <c r="D294" i="18"/>
  <c r="C49" i="19"/>
  <c r="C64" i="19"/>
  <c r="C65" i="19"/>
  <c r="C114" i="19"/>
  <c r="C116" i="19"/>
  <c r="C119" i="19"/>
  <c r="C123" i="19"/>
  <c r="D46" i="20"/>
  <c r="E43" i="20"/>
  <c r="C209" i="17"/>
  <c r="C104" i="17"/>
  <c r="E277" i="17"/>
  <c r="F277" i="17"/>
  <c r="C154" i="8"/>
  <c r="C270" i="17"/>
  <c r="C268" i="17"/>
  <c r="D271" i="17"/>
  <c r="E261" i="17"/>
  <c r="F261" i="17"/>
  <c r="E44" i="6"/>
  <c r="F81" i="6"/>
  <c r="E167" i="7"/>
  <c r="F167" i="7"/>
  <c r="C306" i="17"/>
  <c r="C95" i="18"/>
  <c r="C89" i="18"/>
  <c r="C88" i="18"/>
  <c r="C85" i="18"/>
  <c r="C101" i="18"/>
  <c r="C100" i="18"/>
  <c r="C102" i="18"/>
  <c r="C86" i="18"/>
  <c r="C87" i="18"/>
  <c r="C83" i="18"/>
  <c r="C84" i="18"/>
  <c r="C90" i="18"/>
  <c r="C98" i="18"/>
  <c r="D272" i="17"/>
  <c r="E272" i="17"/>
  <c r="E262" i="17"/>
  <c r="F262" i="17"/>
  <c r="F37" i="17"/>
  <c r="D75" i="4"/>
  <c r="E73" i="4"/>
  <c r="F73" i="4"/>
  <c r="F199" i="9"/>
  <c r="C208" i="9"/>
  <c r="E36" i="20"/>
  <c r="F36" i="20"/>
  <c r="F33" i="20"/>
  <c r="E199" i="9"/>
  <c r="E89" i="17"/>
  <c r="F89" i="17"/>
  <c r="D90" i="17"/>
  <c r="E91" i="17"/>
  <c r="D128" i="18"/>
  <c r="C139" i="17"/>
  <c r="C155" i="8"/>
  <c r="C109" i="22"/>
  <c r="D52" i="6"/>
  <c r="E41" i="6"/>
  <c r="F41" i="6"/>
  <c r="F47" i="6"/>
  <c r="E51" i="6"/>
  <c r="F51" i="6"/>
  <c r="E200" i="9"/>
  <c r="F200" i="9"/>
  <c r="E109" i="17"/>
  <c r="F109" i="17"/>
  <c r="D111" i="17"/>
  <c r="E111" i="17"/>
  <c r="D206" i="17"/>
  <c r="E206" i="17"/>
  <c r="F206" i="17"/>
  <c r="D214" i="17"/>
  <c r="D205" i="17"/>
  <c r="E205" i="17"/>
  <c r="F205" i="17"/>
  <c r="D115" i="18"/>
  <c r="D112" i="18"/>
  <c r="D127" i="18"/>
  <c r="E49" i="17"/>
  <c r="F49" i="17"/>
  <c r="C112" i="22"/>
  <c r="D255" i="17"/>
  <c r="E255" i="17"/>
  <c r="F255" i="17"/>
  <c r="E215" i="17"/>
  <c r="F215" i="17"/>
  <c r="F38" i="4"/>
  <c r="E86" i="8"/>
  <c r="E140" i="8"/>
  <c r="E135" i="8"/>
  <c r="D139" i="8"/>
  <c r="D140" i="8"/>
  <c r="D135" i="8"/>
  <c r="F24" i="20"/>
  <c r="E25" i="20"/>
  <c r="F25" i="20"/>
  <c r="C37" i="22"/>
  <c r="E139" i="8"/>
  <c r="E17" i="13"/>
  <c r="E28" i="13"/>
  <c r="F160" i="17"/>
  <c r="E48" i="6"/>
  <c r="F48" i="6"/>
  <c r="E91" i="6"/>
  <c r="F91" i="6"/>
  <c r="E35" i="7"/>
  <c r="F35" i="7"/>
  <c r="F61" i="11"/>
  <c r="C65" i="11"/>
  <c r="C304" i="17"/>
  <c r="E35" i="17"/>
  <c r="F35" i="17"/>
  <c r="C125" i="17"/>
  <c r="C90" i="17"/>
  <c r="F135" i="17"/>
  <c r="C41" i="20"/>
  <c r="D121" i="18"/>
  <c r="D111" i="18"/>
  <c r="D247" i="18"/>
  <c r="E36" i="22"/>
  <c r="E30" i="22"/>
  <c r="F38" i="6"/>
  <c r="E17" i="12"/>
  <c r="F17" i="12"/>
  <c r="F60" i="17"/>
  <c r="E192" i="17"/>
  <c r="F192" i="17"/>
  <c r="D113" i="18"/>
  <c r="D110" i="18"/>
  <c r="D125" i="18"/>
  <c r="E111" i="22"/>
  <c r="E38" i="4"/>
  <c r="D138" i="8"/>
  <c r="D48" i="13"/>
  <c r="D42" i="13"/>
  <c r="C271" i="17"/>
  <c r="C263" i="17"/>
  <c r="E263" i="17"/>
  <c r="D124" i="17"/>
  <c r="C246" i="18"/>
  <c r="E246" i="18"/>
  <c r="C223" i="18"/>
  <c r="E53" i="22"/>
  <c r="E39" i="22"/>
  <c r="E29" i="22"/>
  <c r="C46" i="22"/>
  <c r="C30" i="22"/>
  <c r="F90" i="6"/>
  <c r="E15" i="8"/>
  <c r="E25" i="8"/>
  <c r="E27" i="8"/>
  <c r="E23" i="9"/>
  <c r="F23" i="9"/>
  <c r="C41" i="11"/>
  <c r="E38" i="11"/>
  <c r="F38" i="11"/>
  <c r="F65" i="15"/>
  <c r="C31" i="17"/>
  <c r="E30" i="17"/>
  <c r="F30" i="17"/>
  <c r="E48" i="17"/>
  <c r="F48" i="17"/>
  <c r="F53" i="17"/>
  <c r="F59" i="17"/>
  <c r="C264" i="17"/>
  <c r="C280" i="17"/>
  <c r="E191" i="17"/>
  <c r="F191" i="17"/>
  <c r="F227" i="17"/>
  <c r="D43" i="18"/>
  <c r="E37" i="18"/>
  <c r="F41" i="5"/>
  <c r="D95" i="6"/>
  <c r="E95" i="6"/>
  <c r="F95" i="6"/>
  <c r="E84" i="6"/>
  <c r="F84" i="6"/>
  <c r="E71" i="10"/>
  <c r="F84" i="10"/>
  <c r="E84" i="10"/>
  <c r="E121" i="10"/>
  <c r="F117" i="10"/>
  <c r="E117" i="10"/>
  <c r="F33" i="14"/>
  <c r="F31" i="14"/>
  <c r="H31" i="14"/>
  <c r="E61" i="17"/>
  <c r="F61" i="17"/>
  <c r="C278" i="17"/>
  <c r="C279" i="17"/>
  <c r="C190" i="17"/>
  <c r="E189" i="17"/>
  <c r="F189" i="17"/>
  <c r="F229" i="17"/>
  <c r="C65" i="18"/>
  <c r="C289" i="18"/>
  <c r="E289" i="18"/>
  <c r="C76" i="18"/>
  <c r="D303" i="18"/>
  <c r="E40" i="20"/>
  <c r="F40" i="20"/>
  <c r="D108" i="22"/>
  <c r="D109" i="22"/>
  <c r="F59" i="7"/>
  <c r="C95" i="7"/>
  <c r="E42" i="13"/>
  <c r="F294" i="17"/>
  <c r="D326" i="18"/>
  <c r="E324" i="18"/>
  <c r="E39" i="20"/>
  <c r="D168" i="18"/>
  <c r="E168" i="18"/>
  <c r="C39" i="22"/>
  <c r="C45" i="22"/>
  <c r="F29" i="4"/>
  <c r="E81" i="6"/>
  <c r="E153" i="6"/>
  <c r="F153" i="6"/>
  <c r="C149" i="8"/>
  <c r="F140" i="9"/>
  <c r="E205" i="9"/>
  <c r="F205" i="9"/>
  <c r="F22" i="11"/>
  <c r="F50" i="15"/>
  <c r="E50" i="15"/>
  <c r="D172" i="17"/>
  <c r="E171" i="17"/>
  <c r="D274" i="17"/>
  <c r="D290" i="17"/>
  <c r="E290" i="17"/>
  <c r="F290" i="17"/>
  <c r="E54" i="18"/>
  <c r="D55" i="18"/>
  <c r="E188" i="18"/>
  <c r="C189" i="18"/>
  <c r="E102" i="22"/>
  <c r="E103" i="22"/>
  <c r="E77" i="22"/>
  <c r="D287" i="17"/>
  <c r="E71" i="18"/>
  <c r="D18" i="5"/>
  <c r="E16" i="5"/>
  <c r="F42" i="6"/>
  <c r="D27" i="8"/>
  <c r="E50" i="9"/>
  <c r="F50" i="9"/>
  <c r="F128" i="9"/>
  <c r="C207" i="9"/>
  <c r="F206" i="9"/>
  <c r="E108" i="10"/>
  <c r="D43" i="11"/>
  <c r="E20" i="13"/>
  <c r="E65" i="15"/>
  <c r="E100" i="17"/>
  <c r="F100" i="17"/>
  <c r="F111" i="17"/>
  <c r="E240" i="18"/>
  <c r="E21" i="17"/>
  <c r="F21" i="17"/>
  <c r="E43" i="6"/>
  <c r="F43" i="6"/>
  <c r="F179" i="6"/>
  <c r="F18" i="7"/>
  <c r="F30" i="7"/>
  <c r="E121" i="7"/>
  <c r="F121" i="7"/>
  <c r="E166" i="8"/>
  <c r="F24" i="9"/>
  <c r="F49" i="9"/>
  <c r="F127" i="9"/>
  <c r="E35" i="10"/>
  <c r="F73" i="11"/>
  <c r="C15" i="13"/>
  <c r="C25" i="13"/>
  <c r="C27" i="13"/>
  <c r="E42" i="18"/>
  <c r="F45" i="20"/>
  <c r="F25" i="6"/>
  <c r="E86" i="6"/>
  <c r="F86" i="6"/>
  <c r="E124" i="6"/>
  <c r="F124" i="6"/>
  <c r="C188" i="7"/>
  <c r="E36" i="9"/>
  <c r="E63" i="9"/>
  <c r="E167" i="9"/>
  <c r="F113" i="10"/>
  <c r="C122" i="10"/>
  <c r="F122" i="10"/>
  <c r="C75" i="11"/>
  <c r="F307" i="17"/>
  <c r="D193" i="17"/>
  <c r="E153" i="9"/>
  <c r="F153" i="9"/>
  <c r="E23" i="10"/>
  <c r="F23" i="15"/>
  <c r="F95" i="17"/>
  <c r="F230" i="17"/>
  <c r="D23" i="22"/>
  <c r="D33" i="22"/>
  <c r="C88" i="22"/>
  <c r="F115" i="9"/>
  <c r="F204" i="9"/>
  <c r="E107" i="10"/>
  <c r="F40" i="12"/>
  <c r="F130" i="17"/>
  <c r="E311" i="17"/>
  <c r="C46" i="20"/>
  <c r="F202" i="9"/>
  <c r="E48" i="10"/>
  <c r="E96" i="10"/>
  <c r="F47" i="12"/>
  <c r="F75" i="15"/>
  <c r="F145" i="17"/>
  <c r="E155" i="17"/>
  <c r="F188" i="17"/>
  <c r="E179" i="18"/>
  <c r="E282" i="18"/>
  <c r="D103" i="22"/>
  <c r="E93" i="22"/>
  <c r="F94" i="17"/>
  <c r="D261" i="18"/>
  <c r="E261" i="18"/>
  <c r="D189" i="18"/>
  <c r="E189" i="18"/>
  <c r="E277" i="18"/>
  <c r="C37" i="19"/>
  <c r="C38" i="19"/>
  <c r="C127" i="19"/>
  <c r="C129" i="19"/>
  <c r="C133" i="19"/>
  <c r="E19" i="21"/>
  <c r="F19" i="21"/>
  <c r="E151" i="18"/>
  <c r="E279" i="17"/>
  <c r="F279" i="17"/>
  <c r="C24" i="13"/>
  <c r="C17" i="13"/>
  <c r="C28" i="13"/>
  <c r="C70" i="13"/>
  <c r="C72" i="13"/>
  <c r="C69" i="13"/>
  <c r="D291" i="17"/>
  <c r="D289" i="17"/>
  <c r="E287" i="17"/>
  <c r="C300" i="17"/>
  <c r="C265" i="17"/>
  <c r="E41" i="11"/>
  <c r="F41" i="11"/>
  <c r="E47" i="22"/>
  <c r="E55" i="22"/>
  <c r="E37" i="22"/>
  <c r="E112" i="22"/>
  <c r="E264" i="17"/>
  <c r="F264" i="17"/>
  <c r="E141" i="8"/>
  <c r="D254" i="17"/>
  <c r="D216" i="17"/>
  <c r="E216" i="17"/>
  <c r="E214" i="17"/>
  <c r="F214" i="17"/>
  <c r="C21" i="5"/>
  <c r="E161" i="17"/>
  <c r="C162" i="17"/>
  <c r="F161" i="17"/>
  <c r="E42" i="12"/>
  <c r="F42" i="12"/>
  <c r="D49" i="12"/>
  <c r="E49" i="12"/>
  <c r="F49" i="12"/>
  <c r="F52" i="6"/>
  <c r="E239" i="17"/>
  <c r="F239" i="17"/>
  <c r="E193" i="17"/>
  <c r="F193" i="17"/>
  <c r="D282" i="17"/>
  <c r="D194" i="17"/>
  <c r="D266" i="17"/>
  <c r="F188" i="7"/>
  <c r="C43" i="11"/>
  <c r="F36" i="14"/>
  <c r="F38" i="14"/>
  <c r="F40" i="14"/>
  <c r="H33" i="14"/>
  <c r="H36" i="14"/>
  <c r="H38" i="14"/>
  <c r="H40" i="14"/>
  <c r="F65" i="11"/>
  <c r="E65" i="11"/>
  <c r="C91" i="18"/>
  <c r="C103" i="18"/>
  <c r="D304" i="17"/>
  <c r="D273" i="17"/>
  <c r="E271" i="17"/>
  <c r="E294" i="18"/>
  <c r="D158" i="8"/>
  <c r="C92" i="17"/>
  <c r="F91" i="17"/>
  <c r="E108" i="22"/>
  <c r="E109" i="22"/>
  <c r="E110" i="22"/>
  <c r="E274" i="17"/>
  <c r="F274" i="17"/>
  <c r="D300" i="17"/>
  <c r="F95" i="7"/>
  <c r="C66" i="18"/>
  <c r="C294" i="18"/>
  <c r="E65" i="18"/>
  <c r="D129" i="18"/>
  <c r="D22" i="13"/>
  <c r="E52" i="6"/>
  <c r="E90" i="17"/>
  <c r="E75" i="4"/>
  <c r="F75" i="4"/>
  <c r="C77" i="18"/>
  <c r="E76" i="18"/>
  <c r="E75" i="11"/>
  <c r="F75" i="11"/>
  <c r="D20" i="8"/>
  <c r="D21" i="8"/>
  <c r="D22" i="8"/>
  <c r="E21" i="8"/>
  <c r="E20" i="8"/>
  <c r="E223" i="18"/>
  <c r="C247" i="18"/>
  <c r="E247" i="18"/>
  <c r="D295" i="18"/>
  <c r="E33" i="18"/>
  <c r="E210" i="18"/>
  <c r="D234" i="18"/>
  <c r="E234" i="18"/>
  <c r="D211" i="18"/>
  <c r="D180" i="18"/>
  <c r="E180" i="18"/>
  <c r="F216" i="17"/>
  <c r="E43" i="11"/>
  <c r="D173" i="17"/>
  <c r="E172" i="17"/>
  <c r="E41" i="20"/>
  <c r="F39" i="20"/>
  <c r="D44" i="18"/>
  <c r="E43" i="18"/>
  <c r="D259" i="18"/>
  <c r="E24" i="8"/>
  <c r="E17" i="8"/>
  <c r="E188" i="7"/>
  <c r="C136" i="8"/>
  <c r="C138" i="8"/>
  <c r="C137" i="8"/>
  <c r="C140" i="8"/>
  <c r="C139" i="8"/>
  <c r="C135" i="8"/>
  <c r="C32" i="17"/>
  <c r="E31" i="17"/>
  <c r="F31" i="17"/>
  <c r="D125" i="17"/>
  <c r="E125" i="17"/>
  <c r="E124" i="17"/>
  <c r="F124" i="17"/>
  <c r="D126" i="17"/>
  <c r="D116" i="18"/>
  <c r="E38" i="22"/>
  <c r="E113" i="22"/>
  <c r="E56" i="22"/>
  <c r="E48" i="22"/>
  <c r="F90" i="17"/>
  <c r="D141" i="8"/>
  <c r="F43" i="20"/>
  <c r="E46" i="20"/>
  <c r="F46" i="20"/>
  <c r="F287" i="17"/>
  <c r="C289" i="17"/>
  <c r="F50" i="17"/>
  <c r="E50" i="17"/>
  <c r="D270" i="17"/>
  <c r="E270" i="17"/>
  <c r="F270" i="17"/>
  <c r="E267" i="17"/>
  <c r="F267" i="17"/>
  <c r="D54" i="22"/>
  <c r="D30" i="22"/>
  <c r="D46" i="22"/>
  <c r="D36" i="22"/>
  <c r="D40" i="22"/>
  <c r="D111" i="22"/>
  <c r="F41" i="20"/>
  <c r="C24" i="8"/>
  <c r="C20" i="8"/>
  <c r="C17" i="8"/>
  <c r="D104" i="17"/>
  <c r="E104" i="17"/>
  <c r="D105" i="17"/>
  <c r="E103" i="17"/>
  <c r="F103" i="17"/>
  <c r="E156" i="8"/>
  <c r="E154" i="8"/>
  <c r="E157" i="8"/>
  <c r="E153" i="8"/>
  <c r="E152" i="8"/>
  <c r="E155" i="8"/>
  <c r="E306" i="17"/>
  <c r="D21" i="5"/>
  <c r="E18" i="5"/>
  <c r="F18" i="5"/>
  <c r="E326" i="18"/>
  <c r="D330" i="18"/>
  <c r="E330" i="18"/>
  <c r="E278" i="17"/>
  <c r="F278" i="17"/>
  <c r="C288" i="17"/>
  <c r="C38" i="22"/>
  <c r="C56" i="22"/>
  <c r="C48" i="22"/>
  <c r="C113" i="22"/>
  <c r="F263" i="17"/>
  <c r="F125" i="17"/>
  <c r="C158" i="8"/>
  <c r="C21" i="13"/>
  <c r="C22" i="13"/>
  <c r="C20" i="13"/>
  <c r="E207" i="9"/>
  <c r="F207" i="9"/>
  <c r="E55" i="18"/>
  <c r="D284" i="18"/>
  <c r="E284" i="18"/>
  <c r="C259" i="18"/>
  <c r="C263" i="18"/>
  <c r="C264" i="18"/>
  <c r="C266" i="18"/>
  <c r="C267" i="18"/>
  <c r="D306" i="18"/>
  <c r="E303" i="18"/>
  <c r="F280" i="17"/>
  <c r="C281" i="17"/>
  <c r="F271" i="17"/>
  <c r="C273" i="17"/>
  <c r="E22" i="13"/>
  <c r="E70" i="13"/>
  <c r="E72" i="13"/>
  <c r="E69" i="13"/>
  <c r="E208" i="9"/>
  <c r="F208" i="9"/>
  <c r="D268" i="17"/>
  <c r="E268" i="17"/>
  <c r="F268" i="17"/>
  <c r="F104" i="17"/>
  <c r="F284" i="17"/>
  <c r="D138" i="17"/>
  <c r="E137" i="17"/>
  <c r="F137" i="17"/>
  <c r="D207" i="17"/>
  <c r="E280" i="17"/>
  <c r="E122" i="10"/>
  <c r="E190" i="17"/>
  <c r="F190" i="17"/>
  <c r="D106" i="17"/>
  <c r="D127" i="17"/>
  <c r="E126" i="17"/>
  <c r="F126" i="17"/>
  <c r="C295" i="18"/>
  <c r="E295" i="18"/>
  <c r="E66" i="18"/>
  <c r="F300" i="17"/>
  <c r="E28" i="8"/>
  <c r="E112" i="8"/>
  <c r="E111" i="8"/>
  <c r="D174" i="17"/>
  <c r="E174" i="17"/>
  <c r="F174" i="17"/>
  <c r="E173" i="17"/>
  <c r="D175" i="17"/>
  <c r="E92" i="17"/>
  <c r="F92" i="17"/>
  <c r="C105" i="18"/>
  <c r="E266" i="17"/>
  <c r="F266" i="17"/>
  <c r="D265" i="17"/>
  <c r="E265" i="17"/>
  <c r="F265" i="17"/>
  <c r="E288" i="17"/>
  <c r="F288" i="17"/>
  <c r="E158" i="8"/>
  <c r="C112" i="8"/>
  <c r="C111" i="8"/>
  <c r="C28" i="8"/>
  <c r="D56" i="22"/>
  <c r="D48" i="22"/>
  <c r="D38" i="22"/>
  <c r="D113" i="22"/>
  <c r="C291" i="17"/>
  <c r="E300" i="17"/>
  <c r="E194" i="17"/>
  <c r="F194" i="17"/>
  <c r="D195" i="17"/>
  <c r="E195" i="17"/>
  <c r="F195" i="17"/>
  <c r="D196" i="17"/>
  <c r="E254" i="17"/>
  <c r="F254" i="17"/>
  <c r="E289" i="17"/>
  <c r="F289" i="17"/>
  <c r="D208" i="17"/>
  <c r="E207" i="17"/>
  <c r="F207" i="17"/>
  <c r="E306" i="18"/>
  <c r="D310" i="18"/>
  <c r="E310" i="18"/>
  <c r="D235" i="18"/>
  <c r="E235" i="18"/>
  <c r="E211" i="18"/>
  <c r="D181" i="18"/>
  <c r="E181" i="18"/>
  <c r="C269" i="18"/>
  <c r="C268" i="18"/>
  <c r="C271" i="18"/>
  <c r="E273" i="17"/>
  <c r="F273" i="17"/>
  <c r="D263" i="18"/>
  <c r="E263" i="18"/>
  <c r="E259" i="18"/>
  <c r="E282" i="17"/>
  <c r="F282" i="17"/>
  <c r="D281" i="17"/>
  <c r="E281" i="17"/>
  <c r="F281" i="17"/>
  <c r="D305" i="17"/>
  <c r="F162" i="17"/>
  <c r="E162" i="17"/>
  <c r="C197" i="17"/>
  <c r="C105" i="17"/>
  <c r="C210" i="17"/>
  <c r="C62" i="17"/>
  <c r="E32" i="17"/>
  <c r="C140" i="17"/>
  <c r="C175" i="17"/>
  <c r="F32" i="17"/>
  <c r="D87" i="18"/>
  <c r="E87" i="18"/>
  <c r="D86" i="18"/>
  <c r="E86" i="18"/>
  <c r="D96" i="18"/>
  <c r="D88" i="18"/>
  <c r="E88" i="18"/>
  <c r="D101" i="18"/>
  <c r="E101" i="18"/>
  <c r="D89" i="18"/>
  <c r="E89" i="18"/>
  <c r="E44" i="18"/>
  <c r="D99" i="18"/>
  <c r="E99" i="18"/>
  <c r="D84" i="18"/>
  <c r="D258" i="18"/>
  <c r="D83" i="18"/>
  <c r="D97" i="18"/>
  <c r="E97" i="18"/>
  <c r="D98" i="18"/>
  <c r="E98" i="18"/>
  <c r="D85" i="18"/>
  <c r="E85" i="18"/>
  <c r="D95" i="18"/>
  <c r="D100" i="18"/>
  <c r="E100" i="18"/>
  <c r="D117" i="18"/>
  <c r="C113" i="18"/>
  <c r="E113" i="18"/>
  <c r="C112" i="18"/>
  <c r="E112" i="18"/>
  <c r="C122" i="18"/>
  <c r="C114" i="18"/>
  <c r="E114" i="18"/>
  <c r="C123" i="18"/>
  <c r="E123" i="18"/>
  <c r="C125" i="18"/>
  <c r="E125" i="18"/>
  <c r="C121" i="18"/>
  <c r="E77" i="18"/>
  <c r="C111" i="18"/>
  <c r="E111" i="18"/>
  <c r="C109" i="18"/>
  <c r="C127" i="18"/>
  <c r="E127" i="18"/>
  <c r="C110" i="18"/>
  <c r="C126" i="18"/>
  <c r="E126" i="18"/>
  <c r="C124" i="18"/>
  <c r="E124" i="18"/>
  <c r="C115" i="18"/>
  <c r="E115" i="18"/>
  <c r="E138" i="17"/>
  <c r="F138" i="17"/>
  <c r="D139" i="17"/>
  <c r="E139" i="17"/>
  <c r="F139" i="17"/>
  <c r="D140" i="17"/>
  <c r="D35" i="5"/>
  <c r="E21" i="5"/>
  <c r="F21" i="5"/>
  <c r="C141" i="8"/>
  <c r="E304" i="17"/>
  <c r="F304" i="17"/>
  <c r="F43" i="11"/>
  <c r="C35" i="5"/>
  <c r="C176" i="17"/>
  <c r="F175" i="17"/>
  <c r="D91" i="18"/>
  <c r="E83" i="18"/>
  <c r="E96" i="18"/>
  <c r="D102" i="18"/>
  <c r="E102" i="18"/>
  <c r="E305" i="17"/>
  <c r="D309" i="17"/>
  <c r="F291" i="17"/>
  <c r="C305" i="17"/>
  <c r="D131" i="18"/>
  <c r="E258" i="18"/>
  <c r="D264" i="18"/>
  <c r="C106" i="17"/>
  <c r="F105" i="17"/>
  <c r="E121" i="18"/>
  <c r="E84" i="18"/>
  <c r="D90" i="18"/>
  <c r="E90" i="18"/>
  <c r="D176" i="17"/>
  <c r="E175" i="17"/>
  <c r="D197" i="17"/>
  <c r="E197" i="17"/>
  <c r="F197" i="17"/>
  <c r="E196" i="17"/>
  <c r="F196" i="17"/>
  <c r="E95" i="18"/>
  <c r="D103" i="18"/>
  <c r="E103" i="18"/>
  <c r="E127" i="17"/>
  <c r="F127" i="17"/>
  <c r="E35" i="5"/>
  <c r="D43" i="5"/>
  <c r="C116" i="18"/>
  <c r="E116" i="18"/>
  <c r="E110" i="18"/>
  <c r="F140" i="17"/>
  <c r="C141" i="17"/>
  <c r="C99" i="8"/>
  <c r="C101" i="8"/>
  <c r="C98" i="8"/>
  <c r="C22" i="8"/>
  <c r="D113" i="17"/>
  <c r="D324" i="17"/>
  <c r="C43" i="5"/>
  <c r="F35" i="5"/>
  <c r="D141" i="17"/>
  <c r="D148" i="17"/>
  <c r="E140" i="17"/>
  <c r="C128" i="18"/>
  <c r="E128" i="18"/>
  <c r="E122" i="18"/>
  <c r="E99" i="8"/>
  <c r="E101" i="8"/>
  <c r="E98" i="8"/>
  <c r="E22" i="8"/>
  <c r="E105" i="17"/>
  <c r="E109" i="18"/>
  <c r="C63" i="17"/>
  <c r="E62" i="17"/>
  <c r="F62" i="17"/>
  <c r="E291" i="17"/>
  <c r="E208" i="17"/>
  <c r="F208" i="17"/>
  <c r="D210" i="17"/>
  <c r="D209" i="17"/>
  <c r="E209" i="17"/>
  <c r="F209" i="17"/>
  <c r="E148" i="17"/>
  <c r="C322" i="17"/>
  <c r="C211" i="17"/>
  <c r="C148" i="17"/>
  <c r="E324" i="17"/>
  <c r="E43" i="5"/>
  <c r="D50" i="5"/>
  <c r="E50" i="5"/>
  <c r="F106" i="17"/>
  <c r="C113" i="17"/>
  <c r="C324" i="17"/>
  <c r="E106" i="17"/>
  <c r="D323" i="17"/>
  <c r="E176" i="17"/>
  <c r="D183" i="17"/>
  <c r="D266" i="18"/>
  <c r="E264" i="18"/>
  <c r="E63" i="17"/>
  <c r="F63" i="17"/>
  <c r="C70" i="17"/>
  <c r="C117" i="18"/>
  <c r="D211" i="17"/>
  <c r="E211" i="17"/>
  <c r="E210" i="17"/>
  <c r="F210" i="17"/>
  <c r="F43" i="5"/>
  <c r="C50" i="5"/>
  <c r="C129" i="18"/>
  <c r="E129" i="18"/>
  <c r="C309" i="17"/>
  <c r="F305" i="17"/>
  <c r="D105" i="18"/>
  <c r="E105" i="18"/>
  <c r="E91" i="18"/>
  <c r="D322" i="17"/>
  <c r="E322" i="17"/>
  <c r="E141" i="17"/>
  <c r="F141" i="17"/>
  <c r="E113" i="17"/>
  <c r="D310" i="17"/>
  <c r="F176" i="17"/>
  <c r="C323" i="17"/>
  <c r="F323" i="17"/>
  <c r="C183" i="17"/>
  <c r="F183" i="17"/>
  <c r="E183" i="17"/>
  <c r="C131" i="18"/>
  <c r="E131" i="18"/>
  <c r="E117" i="18"/>
  <c r="E323" i="17"/>
  <c r="D325" i="17"/>
  <c r="D312" i="17"/>
  <c r="F309" i="17"/>
  <c r="C310" i="17"/>
  <c r="F70" i="17"/>
  <c r="E70" i="17"/>
  <c r="F148" i="17"/>
  <c r="E309" i="17"/>
  <c r="C325" i="17"/>
  <c r="F324" i="17"/>
  <c r="F50" i="5"/>
  <c r="F113" i="17"/>
  <c r="F211" i="17"/>
  <c r="F322" i="17"/>
  <c r="E266" i="18"/>
  <c r="D267" i="18"/>
  <c r="C312" i="17"/>
  <c r="E310" i="17"/>
  <c r="F310" i="17"/>
  <c r="E312" i="17"/>
  <c r="D313" i="17"/>
  <c r="D269" i="18"/>
  <c r="E269" i="18"/>
  <c r="E267" i="18"/>
  <c r="D268" i="18"/>
  <c r="E325" i="17"/>
  <c r="F325" i="17"/>
  <c r="D315" i="17"/>
  <c r="D251" i="17"/>
  <c r="D314" i="17"/>
  <c r="D256" i="17"/>
  <c r="F312" i="17"/>
  <c r="C313" i="17"/>
  <c r="E313" i="17"/>
  <c r="D271" i="18"/>
  <c r="E271" i="18"/>
  <c r="E268" i="18"/>
  <c r="E256" i="17"/>
  <c r="D257" i="17"/>
  <c r="F313" i="17"/>
  <c r="C256" i="17"/>
  <c r="C315" i="17"/>
  <c r="C251" i="17"/>
  <c r="C314" i="17"/>
  <c r="D318" i="17"/>
  <c r="E314" i="17"/>
  <c r="F314" i="17"/>
  <c r="C318" i="17"/>
  <c r="F251" i="17"/>
  <c r="F256" i="17"/>
  <c r="C257" i="17"/>
  <c r="E257" i="17"/>
  <c r="E315" i="17"/>
  <c r="F315" i="17"/>
  <c r="E251" i="17"/>
  <c r="F257" i="17"/>
  <c r="E318" i="17"/>
  <c r="F318" i="17"/>
</calcChain>
</file>

<file path=xl/sharedStrings.xml><?xml version="1.0" encoding="utf-8"?>
<sst xmlns="http://schemas.openxmlformats.org/spreadsheetml/2006/main" count="2335" uniqueCount="1010">
  <si>
    <t>JOHNSON MEMORIAL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</si>
  <si>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</si>
  <si>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</si>
  <si>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</si>
  <si>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</si>
  <si>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</si>
  <si>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</si>
  <si>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</si>
  <si>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</si>
  <si>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</si>
  <si>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</si>
  <si>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</si>
  <si>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</si>
  <si>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</si>
  <si>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</si>
  <si>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</si>
  <si>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</si>
  <si>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</si>
  <si>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</si>
  <si>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</si>
  <si>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</si>
  <si>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</si>
  <si>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</si>
  <si>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</si>
  <si>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</si>
  <si>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</si>
  <si>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</si>
  <si>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</si>
  <si>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</si>
  <si>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</si>
  <si>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</si>
  <si>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</si>
  <si>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</si>
  <si>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</si>
  <si>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</si>
  <si>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</si>
  <si>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</si>
  <si>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</si>
  <si>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</si>
  <si>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</si>
  <si>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</si>
  <si>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</si>
  <si>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</si>
  <si>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</si>
  <si>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</si>
  <si>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</si>
  <si>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</si>
  <si>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</si>
  <si>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</si>
  <si>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</si>
  <si>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</si>
  <si>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</si>
  <si>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</si>
  <si>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</si>
  <si>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</si>
  <si>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</si>
  <si>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</si>
  <si>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</si>
  <si>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</si>
  <si>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</si>
  <si>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</si>
  <si>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</si>
  <si>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</si>
  <si>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</si>
  <si>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</si>
  <si>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</si>
  <si>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</si>
  <si>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</si>
  <si>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</si>
  <si>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</si>
  <si>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</si>
  <si>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</si>
  <si>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</si>
  <si>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</si>
  <si>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</si>
  <si>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</si>
  <si>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</si>
  <si>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</si>
  <si>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</si>
  <si>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</si>
  <si>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</si>
  <si>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</si>
  <si>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</si>
  <si>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</si>
  <si>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</si>
  <si>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</si>
  <si>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</si>
  <si>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</si>
  <si>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</si>
  <si>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</si>
  <si>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</si>
  <si>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</si>
  <si>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</si>
  <si>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</si>
  <si>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</si>
  <si>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</si>
  <si>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</si>
  <si>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</si>
  <si>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</si>
  <si>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</si>
  <si>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</si>
  <si>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</si>
  <si>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</si>
  <si>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</si>
  <si>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</si>
  <si>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</si>
  <si>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</si>
  <si>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</si>
  <si>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</si>
  <si>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</si>
  <si>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</si>
  <si>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</si>
  <si>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</si>
  <si>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</si>
  <si>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</si>
  <si>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</si>
  <si>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</si>
  <si>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</si>
  <si>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</si>
  <si>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</si>
  <si>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</si>
  <si>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</si>
  <si>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</si>
  <si>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</si>
  <si>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</si>
  <si>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</si>
  <si>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</si>
  <si>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</si>
  <si>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</si>
  <si>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</si>
  <si>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</si>
  <si>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</si>
  <si>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</si>
  <si>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</si>
  <si>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</si>
  <si>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</si>
  <si>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</si>
  <si>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</si>
  <si>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</si>
  <si>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</si>
  <si>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</si>
  <si>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</si>
  <si>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</si>
  <si>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</si>
  <si>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</si>
  <si>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</si>
  <si>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</si>
  <si>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</si>
  <si>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</si>
  <si>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</si>
  <si>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</si>
  <si>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</si>
  <si>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</si>
  <si>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</si>
  <si>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</si>
  <si>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</si>
  <si>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</si>
  <si>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</si>
  <si>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</si>
  <si>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</si>
  <si>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</si>
  <si>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</si>
  <si>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</si>
  <si>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</si>
  <si>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</si>
  <si>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</si>
  <si>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</si>
  <si>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</si>
  <si>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</si>
  <si>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</si>
  <si>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</si>
  <si>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</si>
  <si>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</si>
  <si>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</si>
  <si>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</si>
  <si>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</si>
  <si>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</si>
  <si>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</si>
  <si>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</si>
  <si>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</si>
  <si>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</si>
  <si>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</si>
  <si>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</si>
  <si>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</si>
  <si>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</si>
  <si>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</si>
  <si>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</si>
  <si>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</si>
  <si>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</si>
  <si>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</si>
  <si>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</si>
  <si>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</si>
  <si>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</si>
  <si>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</si>
  <si>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</si>
  <si>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</si>
  <si>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</si>
  <si>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</si>
  <si>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</si>
  <si>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</si>
  <si>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</si>
  <si>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</si>
  <si>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</si>
  <si>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</si>
  <si>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</si>
  <si>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</si>
  <si>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</si>
  <si>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</si>
  <si>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</si>
  <si>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</si>
  <si>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</si>
  <si>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</si>
  <si>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</si>
  <si>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</si>
  <si>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</si>
  <si>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</si>
  <si>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</si>
  <si>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</si>
  <si>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</si>
  <si>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</si>
  <si>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</si>
  <si>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</si>
  <si>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</si>
  <si>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</si>
  <si>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</si>
  <si>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</si>
  <si>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</si>
  <si>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</si>
  <si>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</si>
  <si>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</si>
  <si>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</si>
  <si>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</si>
  <si>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</si>
  <si>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</si>
  <si>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</si>
  <si>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</si>
  <si>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</si>
  <si>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</si>
  <si>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</si>
  <si>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</si>
  <si>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</si>
  <si>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</si>
  <si>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</si>
  <si>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</si>
  <si>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</si>
  <si>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</si>
  <si>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</si>
  <si>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</si>
  <si>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</si>
  <si>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</si>
  <si>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</si>
  <si>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</si>
  <si>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</si>
  <si>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</si>
  <si>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</si>
  <si>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</si>
  <si>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</si>
  <si>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</si>
  <si>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</si>
  <si>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</si>
  <si>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</si>
  <si>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</si>
  <si>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</si>
  <si>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</si>
  <si>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</si>
  <si>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</si>
  <si>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</si>
  <si>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</si>
  <si>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</si>
  <si>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</si>
  <si>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</si>
  <si>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</si>
  <si>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</si>
  <si>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</si>
  <si>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</si>
  <si>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</si>
  <si>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</si>
  <si>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</si>
  <si>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</si>
  <si>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</si>
  <si>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</si>
  <si>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</si>
  <si>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</si>
  <si>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</si>
  <si>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</si>
  <si>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</si>
  <si>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</si>
  <si>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</si>
  <si>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</si>
  <si>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</si>
  <si>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</si>
  <si>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</si>
  <si>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</si>
  <si>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</si>
  <si>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</si>
  <si>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</si>
  <si>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</si>
  <si>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</si>
  <si>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</si>
  <si>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</si>
  <si>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</si>
  <si>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</si>
  <si>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</si>
  <si>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</si>
  <si>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</si>
  <si>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</si>
  <si>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</si>
  <si>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</si>
  <si>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</si>
  <si>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</si>
  <si>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</si>
  <si>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</si>
  <si>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</si>
  <si>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</si>
  <si>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</si>
  <si>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</si>
  <si>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</si>
  <si>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</si>
  <si>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</si>
  <si>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</si>
  <si>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</si>
  <si>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</si>
  <si>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</si>
  <si>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</si>
  <si>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</si>
  <si>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</si>
  <si>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</si>
  <si>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</si>
  <si>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</si>
  <si>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</si>
  <si>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</si>
  <si>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</si>
  <si>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</si>
  <si>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</si>
  <si>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</si>
  <si>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</si>
  <si>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</si>
  <si>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</si>
  <si>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</si>
  <si>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</si>
  <si>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</si>
  <si>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</si>
  <si>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</si>
  <si>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</si>
  <si>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</si>
  <si>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</si>
  <si>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</si>
  <si>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</si>
  <si>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</si>
  <si>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</si>
  <si>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</si>
  <si>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</si>
  <si>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</si>
  <si>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</si>
  <si>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</si>
  <si>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</si>
  <si>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</si>
  <si>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</si>
  <si>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</si>
  <si>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</si>
  <si>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</si>
  <si>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</si>
  <si>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</si>
  <si>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</si>
  <si>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</si>
  <si>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</si>
  <si>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</si>
  <si>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</si>
  <si>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</si>
  <si>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</si>
  <si>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</si>
  <si>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</si>
  <si>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</si>
  <si>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</si>
  <si>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</si>
  <si>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</si>
  <si>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</si>
  <si>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</si>
  <si>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</si>
  <si>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</si>
  <si>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</si>
  <si>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</si>
  <si>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</si>
  <si>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</si>
  <si>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</si>
  <si>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</si>
  <si>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</si>
  <si>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</si>
  <si>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</si>
  <si>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</si>
  <si>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</si>
  <si>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</si>
  <si>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</si>
  <si>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</si>
  <si>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</si>
  <si>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</si>
  <si>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</si>
  <si>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</si>
  <si>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</si>
  <si>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</si>
  <si>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</si>
  <si>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</si>
  <si>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</si>
  <si>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</si>
  <si>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</si>
  <si>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</si>
  <si>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</si>
  <si>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</si>
  <si>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</si>
  <si>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</si>
  <si>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</si>
  <si>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</si>
  <si>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</si>
  <si>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</si>
  <si>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</si>
  <si>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</si>
  <si>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</si>
  <si>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</si>
  <si>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</si>
  <si>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</si>
  <si>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</si>
  <si>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</si>
  <si>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</si>
  <si>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</si>
  <si>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</si>
  <si>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</si>
  <si>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</si>
  <si>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</si>
  <si>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</si>
  <si>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</si>
  <si>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</si>
  <si>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</si>
  <si>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</si>
  <si>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</si>
  <si>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</si>
  <si>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</si>
  <si>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</si>
  <si>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</si>
  <si>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</si>
  <si>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</si>
  <si>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</si>
  <si>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</si>
  <si>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</si>
  <si>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</si>
  <si>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</si>
  <si>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</si>
  <si>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</si>
  <si>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</si>
  <si>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</si>
  <si>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</si>
  <si>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</si>
  <si>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</si>
  <si>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</si>
  <si>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</si>
  <si>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</si>
  <si>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</si>
  <si>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</si>
  <si>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</si>
  <si>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</si>
  <si>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</si>
  <si>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</si>
  <si>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</si>
  <si>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</si>
  <si>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</si>
  <si>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</si>
  <si>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</si>
  <si>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</si>
  <si>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</si>
  <si>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</si>
  <si>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</si>
  <si>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</si>
  <si>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</si>
  <si>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</si>
  <si>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</si>
  <si>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</si>
  <si>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</si>
  <si>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</si>
  <si>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</si>
  <si>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</si>
  <si>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</si>
  <si>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</si>
  <si>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</si>
  <si>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</si>
  <si>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</si>
  <si>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</si>
  <si>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</si>
  <si>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</si>
  <si>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</si>
  <si>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</si>
  <si>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</si>
  <si>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</si>
  <si>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</si>
  <si>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</si>
  <si>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</si>
  <si>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</si>
  <si>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</si>
  <si>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</si>
  <si>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</si>
  <si>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</si>
  <si>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</si>
  <si>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JOHNSON MEMORIAL MEDICAL CENTER,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</si>
  <si>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</si>
  <si>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</si>
  <si>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</si>
  <si>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</si>
  <si>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</si>
  <si>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</si>
  <si>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</si>
  <si>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</si>
  <si>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</si>
  <si>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</si>
  <si>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</si>
  <si>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</si>
  <si>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</si>
  <si>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</si>
  <si>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</si>
  <si>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</si>
  <si>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</si>
  <si>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</si>
  <si>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</si>
  <si>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</si>
  <si>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</si>
  <si>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</si>
  <si>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</si>
  <si>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</si>
  <si>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</si>
  <si>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</si>
  <si>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</si>
  <si>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</si>
  <si>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</si>
  <si>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</si>
  <si>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</si>
  <si>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</si>
  <si>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</si>
  <si>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</si>
  <si>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</si>
  <si>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</si>
  <si>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</si>
  <si>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</si>
  <si>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</si>
  <si>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</si>
  <si>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</si>
  <si>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</si>
  <si>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</si>
  <si>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</si>
  <si>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</si>
  <si>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</si>
  <si>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</si>
  <si>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</si>
  <si>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</si>
  <si>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</si>
  <si>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</si>
  <si>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</si>
  <si>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</si>
  <si>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</si>
  <si>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</si>
  <si>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</si>
  <si>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</si>
  <si>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</si>
  <si>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</si>
  <si>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</si>
  <si>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</si>
  <si>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</si>
  <si>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</si>
  <si>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</si>
  <si>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</si>
  <si>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</si>
  <si>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</si>
  <si>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</si>
  <si>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</si>
  <si>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</si>
  <si>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</si>
  <si>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</si>
  <si>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</si>
  <si>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</si>
  <si>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</si>
  <si>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</si>
  <si>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</si>
  <si>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</si>
  <si>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</si>
  <si>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</si>
  <si>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</si>
  <si>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</si>
  <si>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</si>
  <si>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</si>
  <si>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</si>
  <si>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</si>
  <si>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</si>
  <si>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</si>
  <si>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</si>
  <si>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</si>
  <si>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</si>
  <si>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</si>
  <si>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</si>
  <si>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</si>
  <si>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</si>
  <si>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</si>
  <si>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</si>
  <si>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</si>
  <si>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</si>
  <si>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</si>
  <si>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</si>
  <si>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</si>
  <si>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</si>
  <si>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</si>
  <si>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</si>
  <si>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</si>
  <si>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</si>
  <si>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</si>
  <si>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</si>
  <si>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</si>
  <si>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</si>
  <si>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</si>
  <si>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</si>
  <si>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</si>
  <si>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</si>
  <si>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</si>
  <si>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</si>
  <si>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</si>
  <si>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</si>
  <si>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</si>
  <si>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</si>
  <si>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</si>
  <si>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>Total Outpatient Surgical Procedures(A)</t>
  </si>
  <si>
    <t>Offsite Surgical Department - Enfield, CT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</si>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</sst>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444722</v>
      </c>
      <c r="D13" s="22">
        <v>1675853</v>
      </c>
      <c r="E13" s="22">
        <f t="shared" ref="E13:E22" si="0">D13-C13</f>
        <v>1231131</v>
      </c>
      <c r="F13" s="23">
        <f t="shared" ref="F13:F22" si="1">IF(C13=0,0,E13/C13)</f>
        <v>2.7683159366975323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8595481</v>
      </c>
      <c r="D15" s="22">
        <v>9554938</v>
      </c>
      <c r="E15" s="22">
        <f t="shared" si="0"/>
        <v>959457</v>
      </c>
      <c r="F15" s="23">
        <f t="shared" si="1"/>
        <v>0.11162342165610045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1295797</v>
      </c>
      <c r="D19" s="22">
        <v>1506354</v>
      </c>
      <c r="E19" s="22">
        <f t="shared" si="0"/>
        <v>210557</v>
      </c>
      <c r="F19" s="23">
        <f t="shared" si="1"/>
        <v>0.16249227309524564</v>
      </c>
    </row>
    <row r="20" spans="1:11" ht="24" customHeight="1" x14ac:dyDescent="0.2">
      <c r="A20" s="20">
        <v>8</v>
      </c>
      <c r="B20" s="21" t="s">
        <v>23</v>
      </c>
      <c r="C20" s="22">
        <v>1653559</v>
      </c>
      <c r="D20" s="22">
        <v>1497131</v>
      </c>
      <c r="E20" s="22">
        <f t="shared" si="0"/>
        <v>-156428</v>
      </c>
      <c r="F20" s="23">
        <f t="shared" si="1"/>
        <v>-9.4600797431479616E-2</v>
      </c>
    </row>
    <row r="21" spans="1:11" ht="24" customHeight="1" x14ac:dyDescent="0.2">
      <c r="A21" s="20">
        <v>9</v>
      </c>
      <c r="B21" s="21" t="s">
        <v>24</v>
      </c>
      <c r="C21" s="22">
        <v>580488</v>
      </c>
      <c r="D21" s="22">
        <v>329908</v>
      </c>
      <c r="E21" s="22">
        <f t="shared" si="0"/>
        <v>-250580</v>
      </c>
      <c r="F21" s="23">
        <f t="shared" si="1"/>
        <v>-0.43167128347183747</v>
      </c>
    </row>
    <row r="22" spans="1:11" ht="24" customHeight="1" x14ac:dyDescent="0.25">
      <c r="A22" s="24"/>
      <c r="B22" s="25" t="s">
        <v>25</v>
      </c>
      <c r="C22" s="26">
        <f>SUM(C13:C21)</f>
        <v>12570047</v>
      </c>
      <c r="D22" s="26">
        <f>SUM(D13:D21)</f>
        <v>14564184</v>
      </c>
      <c r="E22" s="26">
        <f t="shared" si="0"/>
        <v>1994137</v>
      </c>
      <c r="F22" s="27">
        <f t="shared" si="1"/>
        <v>0.15864196848269541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3793323</v>
      </c>
      <c r="D25" s="22">
        <v>3425921</v>
      </c>
      <c r="E25" s="22">
        <f>D25-C25</f>
        <v>-367402</v>
      </c>
      <c r="F25" s="23">
        <f>IF(C25=0,0,E25/C25)</f>
        <v>-9.6854921133792196E-2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224048</v>
      </c>
      <c r="D27" s="22">
        <v>224917</v>
      </c>
      <c r="E27" s="22">
        <f>D27-C27</f>
        <v>869</v>
      </c>
      <c r="F27" s="23">
        <f>IF(C27=0,0,E27/C27)</f>
        <v>3.8786331500392773E-3</v>
      </c>
    </row>
    <row r="28" spans="1:11" ht="24" customHeight="1" x14ac:dyDescent="0.2">
      <c r="A28" s="20">
        <v>4</v>
      </c>
      <c r="B28" s="21" t="s">
        <v>31</v>
      </c>
      <c r="C28" s="22">
        <v>843587</v>
      </c>
      <c r="D28" s="22">
        <v>843587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4860958</v>
      </c>
      <c r="D29" s="26">
        <f>SUM(D25:D28)</f>
        <v>4494425</v>
      </c>
      <c r="E29" s="26">
        <f>D29-C29</f>
        <v>-366533</v>
      </c>
      <c r="F29" s="27">
        <f>IF(C29=0,0,E29/C29)</f>
        <v>-7.5403449278928142E-2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3397937</v>
      </c>
      <c r="D32" s="22">
        <v>3467074</v>
      </c>
      <c r="E32" s="22">
        <f>D32-C32</f>
        <v>69137</v>
      </c>
      <c r="F32" s="23">
        <f>IF(C32=0,0,E32/C32)</f>
        <v>2.0346757459011159E-2</v>
      </c>
    </row>
    <row r="33" spans="1:8" ht="24" customHeight="1" x14ac:dyDescent="0.2">
      <c r="A33" s="20">
        <v>7</v>
      </c>
      <c r="B33" s="21" t="s">
        <v>35</v>
      </c>
      <c r="C33" s="22">
        <v>8261131</v>
      </c>
      <c r="D33" s="22">
        <v>8986456</v>
      </c>
      <c r="E33" s="22">
        <f>D33-C33</f>
        <v>725325</v>
      </c>
      <c r="F33" s="23">
        <f>IF(C33=0,0,E33/C33)</f>
        <v>8.7799721369870548E-2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60542187</v>
      </c>
      <c r="D36" s="22">
        <v>66495422</v>
      </c>
      <c r="E36" s="22">
        <f>D36-C36</f>
        <v>5953235</v>
      </c>
      <c r="F36" s="23">
        <f>IF(C36=0,0,E36/C36)</f>
        <v>9.833201103224104E-2</v>
      </c>
    </row>
    <row r="37" spans="1:8" ht="24" customHeight="1" x14ac:dyDescent="0.2">
      <c r="A37" s="20">
        <v>2</v>
      </c>
      <c r="B37" s="21" t="s">
        <v>39</v>
      </c>
      <c r="C37" s="22">
        <v>44128525</v>
      </c>
      <c r="D37" s="22">
        <v>45821926</v>
      </c>
      <c r="E37" s="22">
        <f>D37-C37</f>
        <v>1693401</v>
      </c>
      <c r="F37" s="23">
        <f>IF(C37=0,0,E37/C37)</f>
        <v>3.8374294178198792E-2</v>
      </c>
    </row>
    <row r="38" spans="1:8" ht="24" customHeight="1" x14ac:dyDescent="0.25">
      <c r="A38" s="24"/>
      <c r="B38" s="25" t="s">
        <v>40</v>
      </c>
      <c r="C38" s="26">
        <f>C36-C37</f>
        <v>16413662</v>
      </c>
      <c r="D38" s="26">
        <f>D36-D37</f>
        <v>20673496</v>
      </c>
      <c r="E38" s="26">
        <f>D38-C38</f>
        <v>4259834</v>
      </c>
      <c r="F38" s="27">
        <f>IF(C38=0,0,E38/C38)</f>
        <v>0.25952977464748572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16413662</v>
      </c>
      <c r="D41" s="26">
        <f>+D38+D40</f>
        <v>20673496</v>
      </c>
      <c r="E41" s="26">
        <f>D41-C41</f>
        <v>4259834</v>
      </c>
      <c r="F41" s="27">
        <f>IF(C41=0,0,E41/C41)</f>
        <v>0.25952977464748572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45503735</v>
      </c>
      <c r="D43" s="26">
        <f>D22+D29+D31+D32+D33+D41</f>
        <v>52185635</v>
      </c>
      <c r="E43" s="26">
        <f>D43-C43</f>
        <v>6681900</v>
      </c>
      <c r="F43" s="27">
        <f>IF(C43=0,0,E43/C43)</f>
        <v>0.14684289102861556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5855188</v>
      </c>
      <c r="D49" s="22">
        <v>8861782</v>
      </c>
      <c r="E49" s="22">
        <f t="shared" ref="E49:E56" si="2">D49-C49</f>
        <v>3006594</v>
      </c>
      <c r="F49" s="23">
        <f t="shared" ref="F49:F56" si="3">IF(C49=0,0,E49/C49)</f>
        <v>0.51349230801811996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1753717</v>
      </c>
      <c r="D50" s="22">
        <v>1895078</v>
      </c>
      <c r="E50" s="22">
        <f t="shared" si="2"/>
        <v>141361</v>
      </c>
      <c r="F50" s="23">
        <f t="shared" si="3"/>
        <v>8.0606506066828343E-2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2675513</v>
      </c>
      <c r="D51" s="22">
        <v>2212362</v>
      </c>
      <c r="E51" s="22">
        <f t="shared" si="2"/>
        <v>-463151</v>
      </c>
      <c r="F51" s="23">
        <f t="shared" si="3"/>
        <v>-0.1731073629617946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11987500</v>
      </c>
      <c r="D53" s="22">
        <v>11987500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304886</v>
      </c>
      <c r="D54" s="22">
        <v>838274</v>
      </c>
      <c r="E54" s="22">
        <f t="shared" si="2"/>
        <v>533388</v>
      </c>
      <c r="F54" s="23">
        <f t="shared" si="3"/>
        <v>1.7494670139002775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5754783</v>
      </c>
      <c r="D55" s="22">
        <v>10142734</v>
      </c>
      <c r="E55" s="22">
        <f t="shared" si="2"/>
        <v>4387951</v>
      </c>
      <c r="F55" s="23">
        <f t="shared" si="3"/>
        <v>0.76248765592030143</v>
      </c>
    </row>
    <row r="56" spans="1:6" ht="24" customHeight="1" x14ac:dyDescent="0.25">
      <c r="A56" s="24"/>
      <c r="B56" s="25" t="s">
        <v>54</v>
      </c>
      <c r="C56" s="26">
        <f>SUM(C49:C55)</f>
        <v>28331587</v>
      </c>
      <c r="D56" s="26">
        <f>SUM(D49:D55)</f>
        <v>35937730</v>
      </c>
      <c r="E56" s="26">
        <f t="shared" si="2"/>
        <v>7606143</v>
      </c>
      <c r="F56" s="27">
        <f t="shared" si="3"/>
        <v>0.26846865302674361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4572057</v>
      </c>
      <c r="E60" s="22">
        <f>D60-C60</f>
        <v>4572057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4572057</v>
      </c>
      <c r="E61" s="26">
        <f>D61-C61</f>
        <v>4572057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8881173</v>
      </c>
      <c r="D64" s="22">
        <v>7433424</v>
      </c>
      <c r="E64" s="22">
        <f>D64-C64</f>
        <v>-1447749</v>
      </c>
      <c r="F64" s="23">
        <f>IF(C64=0,0,E64/C64)</f>
        <v>-0.16301326412625899</v>
      </c>
    </row>
    <row r="65" spans="1:6" ht="24" customHeight="1" x14ac:dyDescent="0.25">
      <c r="A65" s="24"/>
      <c r="B65" s="25" t="s">
        <v>61</v>
      </c>
      <c r="C65" s="26">
        <f>SUM(C61:C64)</f>
        <v>8881173</v>
      </c>
      <c r="D65" s="26">
        <f>SUM(D61:D64)</f>
        <v>12005481</v>
      </c>
      <c r="E65" s="26">
        <f>D65-C65</f>
        <v>3124308</v>
      </c>
      <c r="F65" s="27">
        <f>IF(C65=0,0,E65/C65)</f>
        <v>0.35179001692681811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3321184</v>
      </c>
      <c r="D70" s="22">
        <v>-498600</v>
      </c>
      <c r="E70" s="22">
        <f>D70-C70</f>
        <v>-3819784</v>
      </c>
      <c r="F70" s="23">
        <f>IF(C70=0,0,E70/C70)</f>
        <v>-1.1501271835586344</v>
      </c>
    </row>
    <row r="71" spans="1:6" ht="24" customHeight="1" x14ac:dyDescent="0.2">
      <c r="A71" s="20">
        <v>2</v>
      </c>
      <c r="B71" s="21" t="s">
        <v>65</v>
      </c>
      <c r="C71" s="22">
        <v>332881</v>
      </c>
      <c r="D71" s="22">
        <v>471516</v>
      </c>
      <c r="E71" s="22">
        <f>D71-C71</f>
        <v>138635</v>
      </c>
      <c r="F71" s="23">
        <f>IF(C71=0,0,E71/C71)</f>
        <v>0.41647014999354126</v>
      </c>
    </row>
    <row r="72" spans="1:6" ht="24" customHeight="1" x14ac:dyDescent="0.2">
      <c r="A72" s="20">
        <v>3</v>
      </c>
      <c r="B72" s="21" t="s">
        <v>66</v>
      </c>
      <c r="C72" s="22">
        <v>4636910</v>
      </c>
      <c r="D72" s="22">
        <v>4269508</v>
      </c>
      <c r="E72" s="22">
        <f>D72-C72</f>
        <v>-367402</v>
      </c>
      <c r="F72" s="23">
        <f>IF(C72=0,0,E72/C72)</f>
        <v>-7.9234231417042819E-2</v>
      </c>
    </row>
    <row r="73" spans="1:6" ht="24" customHeight="1" x14ac:dyDescent="0.25">
      <c r="A73" s="20"/>
      <c r="B73" s="25" t="s">
        <v>67</v>
      </c>
      <c r="C73" s="26">
        <f>SUM(C70:C72)</f>
        <v>8290975</v>
      </c>
      <c r="D73" s="26">
        <f>SUM(D70:D72)</f>
        <v>4242424</v>
      </c>
      <c r="E73" s="26">
        <f>D73-C73</f>
        <v>-4048551</v>
      </c>
      <c r="F73" s="27">
        <f>IF(C73=0,0,E73/C73)</f>
        <v>-0.48830819053247659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45503735</v>
      </c>
      <c r="D75" s="26">
        <f>D56+D65+D67+D73</f>
        <v>52185635</v>
      </c>
      <c r="E75" s="26">
        <f>D75-C75</f>
        <v>6681900</v>
      </c>
      <c r="F75" s="27">
        <f>IF(C75=0,0,E75/C75)</f>
        <v>0.14684289102861556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86321671</v>
      </c>
      <c r="D11" s="76">
        <v>92077182</v>
      </c>
      <c r="E11" s="76">
        <v>89233234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1356313</v>
      </c>
      <c r="D12" s="185">
        <v>1321902</v>
      </c>
      <c r="E12" s="185">
        <v>1227015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87677984</v>
      </c>
      <c r="D13" s="76">
        <f>+D11+D12</f>
        <v>93399084</v>
      </c>
      <c r="E13" s="76">
        <f>+E11+E12</f>
        <v>90460249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93071797</v>
      </c>
      <c r="D14" s="185">
        <v>94695856</v>
      </c>
      <c r="E14" s="185">
        <v>97291661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-5393813</v>
      </c>
      <c r="D15" s="76">
        <f>+D13-D14</f>
        <v>-1296772</v>
      </c>
      <c r="E15" s="76">
        <f>+E13-E14</f>
        <v>-6831412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2589208</v>
      </c>
      <c r="D16" s="185">
        <v>-2067392</v>
      </c>
      <c r="E16" s="185">
        <v>228655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-2804605</v>
      </c>
      <c r="D17" s="76">
        <f>D15+D16</f>
        <v>-3364164</v>
      </c>
      <c r="E17" s="76">
        <f>E15+E16</f>
        <v>-6602757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-5.9753858301031457E-2</v>
      </c>
      <c r="D20" s="189">
        <f>IF(+D27=0,0,+D24/+D27)</f>
        <v>-1.4198488734885148E-2</v>
      </c>
      <c r="E20" s="189">
        <f>IF(+E27=0,0,+E24/+E27)</f>
        <v>-7.5327980587349477E-2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2.8683821249252995E-2</v>
      </c>
      <c r="D21" s="189">
        <f>IF(+D27=0,0,+D26/+D27)</f>
        <v>-2.2636085620750354E-2</v>
      </c>
      <c r="E21" s="189">
        <f>IF(+E27=0,0,+E26/+E27)</f>
        <v>2.5213117582719934E-3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-3.1070037051778458E-2</v>
      </c>
      <c r="D22" s="189">
        <f>IF(+D27=0,0,+D28/+D27)</f>
        <v>-3.6834574355635502E-2</v>
      </c>
      <c r="E22" s="189">
        <f>IF(+E27=0,0,+E28/+E27)</f>
        <v>-7.2806668829077478E-2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-5393813</v>
      </c>
      <c r="D24" s="76">
        <f>+D15</f>
        <v>-1296772</v>
      </c>
      <c r="E24" s="76">
        <f>+E15</f>
        <v>-6831412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87677984</v>
      </c>
      <c r="D25" s="76">
        <f>+D13</f>
        <v>93399084</v>
      </c>
      <c r="E25" s="76">
        <f>+E13</f>
        <v>90460249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2589208</v>
      </c>
      <c r="D26" s="76">
        <f>+D16</f>
        <v>-2067392</v>
      </c>
      <c r="E26" s="76">
        <f>+E16</f>
        <v>228655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90267192</v>
      </c>
      <c r="D27" s="76">
        <f>SUM(D25:D26)</f>
        <v>91331692</v>
      </c>
      <c r="E27" s="76">
        <f>SUM(E25:E26)</f>
        <v>90688904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-2804605</v>
      </c>
      <c r="D28" s="76">
        <f>+D17</f>
        <v>-3364164</v>
      </c>
      <c r="E28" s="76">
        <f>+E17</f>
        <v>-6602757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-8766006</v>
      </c>
      <c r="D31" s="76">
        <v>-12121840</v>
      </c>
      <c r="E31" s="76">
        <v>-18535995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-3686748</v>
      </c>
      <c r="D32" s="76">
        <v>-6904100</v>
      </c>
      <c r="E32" s="76">
        <v>-13542977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-7278534</v>
      </c>
      <c r="D33" s="76">
        <f>+D32-C32</f>
        <v>-3217352</v>
      </c>
      <c r="E33" s="76">
        <f>+E32-D32</f>
        <v>-6638877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-1.0264</v>
      </c>
      <c r="D34" s="193">
        <f>IF(C32=0,0,+D33/C32)</f>
        <v>0.87268020488517251</v>
      </c>
      <c r="E34" s="193">
        <f>IF(D32=0,0,+E33/D32)</f>
        <v>0.96158471053432015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0.32653669174260758</v>
      </c>
      <c r="D38" s="338">
        <f>IF(+D40=0,0,+D39/+D40)</f>
        <v>0.35611222344536098</v>
      </c>
      <c r="E38" s="338">
        <f>IF(+E40=0,0,+E39/+E40)</f>
        <v>0.3049795223992593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15465517</v>
      </c>
      <c r="D39" s="341">
        <v>17849528</v>
      </c>
      <c r="E39" s="341">
        <v>17993815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47362264</v>
      </c>
      <c r="D40" s="341">
        <v>50123323</v>
      </c>
      <c r="E40" s="341">
        <v>59000076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3.5991793950753976</v>
      </c>
      <c r="D42" s="343">
        <f>IF((D48/365)=0,0,+D45/(D48/365))</f>
        <v>6.1003443877513366</v>
      </c>
      <c r="E42" s="343">
        <f>IF((E48/365)=0,0,+E45/(E48/365))</f>
        <v>6.9466348194388052</v>
      </c>
    </row>
    <row r="43" spans="1:14" ht="24" customHeight="1" x14ac:dyDescent="0.2">
      <c r="A43" s="339">
        <v>5</v>
      </c>
      <c r="B43" s="344" t="s">
        <v>16</v>
      </c>
      <c r="C43" s="345">
        <v>875661</v>
      </c>
      <c r="D43" s="345">
        <v>1528751</v>
      </c>
      <c r="E43" s="345">
        <v>1805602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875661</v>
      </c>
      <c r="D45" s="341">
        <f>+D43+D44</f>
        <v>1528751</v>
      </c>
      <c r="E45" s="341">
        <f>+E43+E44</f>
        <v>1805602</v>
      </c>
    </row>
    <row r="46" spans="1:14" ht="24" customHeight="1" x14ac:dyDescent="0.2">
      <c r="A46" s="339">
        <v>8</v>
      </c>
      <c r="B46" s="340" t="s">
        <v>334</v>
      </c>
      <c r="C46" s="341">
        <f>+C14</f>
        <v>93071797</v>
      </c>
      <c r="D46" s="341">
        <f>+D14</f>
        <v>94695856</v>
      </c>
      <c r="E46" s="341">
        <f>+E14</f>
        <v>97291661</v>
      </c>
    </row>
    <row r="47" spans="1:14" ht="24" customHeight="1" x14ac:dyDescent="0.2">
      <c r="A47" s="339">
        <v>9</v>
      </c>
      <c r="B47" s="340" t="s">
        <v>356</v>
      </c>
      <c r="C47" s="341">
        <v>4269259</v>
      </c>
      <c r="D47" s="341">
        <v>3226575</v>
      </c>
      <c r="E47" s="341">
        <v>2419144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88802538</v>
      </c>
      <c r="D48" s="341">
        <f>+D46-D47</f>
        <v>91469281</v>
      </c>
      <c r="E48" s="341">
        <f>+E46-E47</f>
        <v>94872517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31.084120927177143</v>
      </c>
      <c r="D50" s="350">
        <f>IF((D55/365)=0,0,+D54/(D55/365))</f>
        <v>34.671359838097565</v>
      </c>
      <c r="E50" s="350">
        <f>IF((E55/365)=0,0,+E54/(E55/365))</f>
        <v>40.086861583432025</v>
      </c>
    </row>
    <row r="51" spans="1:5" ht="24" customHeight="1" x14ac:dyDescent="0.2">
      <c r="A51" s="339">
        <v>12</v>
      </c>
      <c r="B51" s="344" t="s">
        <v>359</v>
      </c>
      <c r="C51" s="351">
        <v>10135389</v>
      </c>
      <c r="D51" s="351">
        <v>11658028</v>
      </c>
      <c r="E51" s="351">
        <v>12246951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2784065</v>
      </c>
      <c r="D53" s="341">
        <v>2911614</v>
      </c>
      <c r="E53" s="341">
        <v>2446731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7351324</v>
      </c>
      <c r="D54" s="352">
        <f>+D51+D52-D53</f>
        <v>8746414</v>
      </c>
      <c r="E54" s="352">
        <f>+E51+E52-E53</f>
        <v>9800220</v>
      </c>
    </row>
    <row r="55" spans="1:5" ht="24" customHeight="1" x14ac:dyDescent="0.2">
      <c r="A55" s="339">
        <v>16</v>
      </c>
      <c r="B55" s="340" t="s">
        <v>75</v>
      </c>
      <c r="C55" s="341">
        <f>+C11</f>
        <v>86321671</v>
      </c>
      <c r="D55" s="341">
        <f>+D11</f>
        <v>92077182</v>
      </c>
      <c r="E55" s="341">
        <f>+E11</f>
        <v>89233234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194.67040863178934</v>
      </c>
      <c r="D57" s="355">
        <f>IF((D61/365)=0,0,+D58/(D61/365))</f>
        <v>200.01264572091694</v>
      </c>
      <c r="E57" s="355">
        <f>IF((E61/365)=0,0,+E58/(E61/365))</f>
        <v>226.98910517995427</v>
      </c>
    </row>
    <row r="58" spans="1:5" ht="24" customHeight="1" x14ac:dyDescent="0.2">
      <c r="A58" s="339">
        <v>18</v>
      </c>
      <c r="B58" s="340" t="s">
        <v>54</v>
      </c>
      <c r="C58" s="353">
        <f>+C40</f>
        <v>47362264</v>
      </c>
      <c r="D58" s="353">
        <f>+D40</f>
        <v>50123323</v>
      </c>
      <c r="E58" s="353">
        <f>+E40</f>
        <v>59000076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93071797</v>
      </c>
      <c r="D59" s="353">
        <f t="shared" si="0"/>
        <v>94695856</v>
      </c>
      <c r="E59" s="353">
        <f t="shared" si="0"/>
        <v>97291661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4269259</v>
      </c>
      <c r="D60" s="356">
        <f t="shared" si="0"/>
        <v>3226575</v>
      </c>
      <c r="E60" s="356">
        <f t="shared" si="0"/>
        <v>2419144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88802538</v>
      </c>
      <c r="D61" s="353">
        <f>+D59-D60</f>
        <v>91469281</v>
      </c>
      <c r="E61" s="353">
        <f>+E59-E60</f>
        <v>94872517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-7.1617412165788057</v>
      </c>
      <c r="D65" s="357">
        <f>IF(D67=0,0,(D66/D67)*100)</f>
        <v>-13.415264488387521</v>
      </c>
      <c r="E65" s="357">
        <f>IF(E67=0,0,(E66/E67)*100)</f>
        <v>-24.640687118089623</v>
      </c>
    </row>
    <row r="66" spans="1:5" ht="24" customHeight="1" x14ac:dyDescent="0.2">
      <c r="A66" s="339">
        <v>2</v>
      </c>
      <c r="B66" s="340" t="s">
        <v>67</v>
      </c>
      <c r="C66" s="353">
        <f>+C32</f>
        <v>-3686748</v>
      </c>
      <c r="D66" s="353">
        <f>+D32</f>
        <v>-6904100</v>
      </c>
      <c r="E66" s="353">
        <f>+E32</f>
        <v>-13542977</v>
      </c>
    </row>
    <row r="67" spans="1:5" ht="24" customHeight="1" x14ac:dyDescent="0.2">
      <c r="A67" s="339">
        <v>3</v>
      </c>
      <c r="B67" s="340" t="s">
        <v>43</v>
      </c>
      <c r="C67" s="353">
        <v>51478375</v>
      </c>
      <c r="D67" s="353">
        <v>51464509</v>
      </c>
      <c r="E67" s="353">
        <v>54961848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3.0924492967650363</v>
      </c>
      <c r="D69" s="357">
        <f>IF(D75=0,0,(D72/D75)*100)</f>
        <v>-0.27450095437606958</v>
      </c>
      <c r="E69" s="357">
        <f>IF(E75=0,0,(E72/E75)*100)</f>
        <v>-6.5808913474713835</v>
      </c>
    </row>
    <row r="70" spans="1:5" ht="24" customHeight="1" x14ac:dyDescent="0.2">
      <c r="A70" s="339">
        <v>5</v>
      </c>
      <c r="B70" s="340" t="s">
        <v>366</v>
      </c>
      <c r="C70" s="353">
        <f>+C28</f>
        <v>-2804605</v>
      </c>
      <c r="D70" s="353">
        <f>+D28</f>
        <v>-3364164</v>
      </c>
      <c r="E70" s="353">
        <f>+E28</f>
        <v>-6602757</v>
      </c>
    </row>
    <row r="71" spans="1:5" ht="24" customHeight="1" x14ac:dyDescent="0.2">
      <c r="A71" s="339">
        <v>6</v>
      </c>
      <c r="B71" s="340" t="s">
        <v>356</v>
      </c>
      <c r="C71" s="356">
        <f>+C47</f>
        <v>4269259</v>
      </c>
      <c r="D71" s="356">
        <f>+D47</f>
        <v>3226575</v>
      </c>
      <c r="E71" s="356">
        <f>+E47</f>
        <v>2419144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1464654</v>
      </c>
      <c r="D72" s="353">
        <f>+D70+D71</f>
        <v>-137589</v>
      </c>
      <c r="E72" s="353">
        <f>+E70+E71</f>
        <v>-4183613</v>
      </c>
    </row>
    <row r="73" spans="1:5" ht="24" customHeight="1" x14ac:dyDescent="0.2">
      <c r="A73" s="339">
        <v>8</v>
      </c>
      <c r="B73" s="340" t="s">
        <v>54</v>
      </c>
      <c r="C73" s="341">
        <f>+C40</f>
        <v>47362264</v>
      </c>
      <c r="D73" s="341">
        <f>+D40</f>
        <v>50123323</v>
      </c>
      <c r="E73" s="341">
        <f>+E40</f>
        <v>59000076</v>
      </c>
    </row>
    <row r="74" spans="1:5" ht="24" customHeight="1" x14ac:dyDescent="0.2">
      <c r="A74" s="339">
        <v>9</v>
      </c>
      <c r="B74" s="340" t="s">
        <v>58</v>
      </c>
      <c r="C74" s="353">
        <v>0</v>
      </c>
      <c r="D74" s="353">
        <v>0</v>
      </c>
      <c r="E74" s="353">
        <v>4572057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47362264</v>
      </c>
      <c r="D75" s="341">
        <f>+D73+D74</f>
        <v>50123323</v>
      </c>
      <c r="E75" s="341">
        <f>+E73+E74</f>
        <v>63572133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0</v>
      </c>
      <c r="D77" s="359">
        <f>IF(D80=0,0,(D78/D80)*100)</f>
        <v>0</v>
      </c>
      <c r="E77" s="359">
        <f>IF(E80=0,0,(E78/E80)*100)</f>
        <v>-50.965307905989576</v>
      </c>
    </row>
    <row r="78" spans="1:5" ht="24" customHeight="1" x14ac:dyDescent="0.2">
      <c r="A78" s="339">
        <v>12</v>
      </c>
      <c r="B78" s="340" t="s">
        <v>58</v>
      </c>
      <c r="C78" s="341">
        <f>+C74</f>
        <v>0</v>
      </c>
      <c r="D78" s="341">
        <f>+D74</f>
        <v>0</v>
      </c>
      <c r="E78" s="341">
        <f>+E74</f>
        <v>4572057</v>
      </c>
    </row>
    <row r="79" spans="1:5" ht="24" customHeight="1" x14ac:dyDescent="0.2">
      <c r="A79" s="339">
        <v>13</v>
      </c>
      <c r="B79" s="340" t="s">
        <v>67</v>
      </c>
      <c r="C79" s="341">
        <f>+C32</f>
        <v>-3686748</v>
      </c>
      <c r="D79" s="341">
        <f>+D32</f>
        <v>-6904100</v>
      </c>
      <c r="E79" s="341">
        <f>+E32</f>
        <v>-13542977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-3686748</v>
      </c>
      <c r="D80" s="341">
        <f>+D78+D79</f>
        <v>-6904100</v>
      </c>
      <c r="E80" s="341">
        <f>+E78+E79</f>
        <v>-8970920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FILING&amp;R&amp;8JOHNSON MEMORIAL MEDICAL CENTER,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9904</v>
      </c>
      <c r="D11" s="376">
        <v>2019</v>
      </c>
      <c r="E11" s="376">
        <v>1731</v>
      </c>
      <c r="F11" s="377">
        <v>40</v>
      </c>
      <c r="G11" s="377">
        <v>56</v>
      </c>
      <c r="H11" s="378">
        <f>IF(F11=0,0,$C11/(F11*365))</f>
        <v>0.67835616438356161</v>
      </c>
      <c r="I11" s="378">
        <f>IF(G11=0,0,$C11/(G11*365))</f>
        <v>0.48454011741682973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0</v>
      </c>
      <c r="D13" s="376">
        <v>90</v>
      </c>
      <c r="E13" s="376">
        <v>0</v>
      </c>
      <c r="F13" s="377">
        <v>5</v>
      </c>
      <c r="G13" s="377">
        <v>7</v>
      </c>
      <c r="H13" s="378">
        <f>IF(F13=0,0,$C13/(F13*365))</f>
        <v>0</v>
      </c>
      <c r="I13" s="378">
        <f>IF(G13=0,0,$C13/(G13*365))</f>
        <v>0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4144</v>
      </c>
      <c r="D16" s="376">
        <v>624</v>
      </c>
      <c r="E16" s="376">
        <v>625</v>
      </c>
      <c r="F16" s="377">
        <v>17</v>
      </c>
      <c r="G16" s="377">
        <v>20</v>
      </c>
      <c r="H16" s="378">
        <f t="shared" si="0"/>
        <v>0.66784850926672035</v>
      </c>
      <c r="I16" s="378">
        <f t="shared" si="0"/>
        <v>0.56767123287671228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4144</v>
      </c>
      <c r="D17" s="381">
        <f>SUM(D15:D16)</f>
        <v>624</v>
      </c>
      <c r="E17" s="381">
        <f>SUM(E15:E16)</f>
        <v>625</v>
      </c>
      <c r="F17" s="381">
        <f>SUM(F15:F16)</f>
        <v>17</v>
      </c>
      <c r="G17" s="381">
        <f>SUM(G15:G16)</f>
        <v>20</v>
      </c>
      <c r="H17" s="382">
        <f t="shared" si="0"/>
        <v>0.66784850926672035</v>
      </c>
      <c r="I17" s="382">
        <f t="shared" si="0"/>
        <v>0.56767123287671228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562</v>
      </c>
      <c r="D21" s="376">
        <v>196</v>
      </c>
      <c r="E21" s="376">
        <v>196</v>
      </c>
      <c r="F21" s="377">
        <v>4</v>
      </c>
      <c r="G21" s="377">
        <v>6</v>
      </c>
      <c r="H21" s="378">
        <f>IF(F21=0,0,$C21/(F21*365))</f>
        <v>0.38493150684931504</v>
      </c>
      <c r="I21" s="378">
        <f>IF(G21=0,0,$C21/(G21*365))</f>
        <v>0.25662100456621006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481</v>
      </c>
      <c r="D23" s="376">
        <v>197</v>
      </c>
      <c r="E23" s="376">
        <v>195</v>
      </c>
      <c r="F23" s="377">
        <v>4</v>
      </c>
      <c r="G23" s="377">
        <v>6</v>
      </c>
      <c r="H23" s="378">
        <f>IF(F23=0,0,$C23/(F23*365))</f>
        <v>0.32945205479452055</v>
      </c>
      <c r="I23" s="378">
        <f>IF(G23=0,0,$C23/(G23*365))</f>
        <v>0.21963470319634704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14610</v>
      </c>
      <c r="D31" s="384">
        <f>SUM(D10:D29)-D13-D17-D23</f>
        <v>2839</v>
      </c>
      <c r="E31" s="384">
        <f>SUM(E10:E29)-E17-E23</f>
        <v>2552</v>
      </c>
      <c r="F31" s="384">
        <f>SUM(F10:F29)-F17-F23</f>
        <v>66</v>
      </c>
      <c r="G31" s="384">
        <f>SUM(G10:G29)-G17-G23</f>
        <v>89</v>
      </c>
      <c r="H31" s="385">
        <f>IF(F31=0,0,$C31/(F31*365))</f>
        <v>0.60647571606475714</v>
      </c>
      <c r="I31" s="385">
        <f>IF(G31=0,0,$C31/(G31*365))</f>
        <v>0.44974603663229185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15091</v>
      </c>
      <c r="D33" s="384">
        <f>SUM(D10:D29)-D13-D17</f>
        <v>3036</v>
      </c>
      <c r="E33" s="384">
        <f>SUM(E10:E29)-E17</f>
        <v>2747</v>
      </c>
      <c r="F33" s="384">
        <f>SUM(F10:F29)-F17</f>
        <v>70</v>
      </c>
      <c r="G33" s="384">
        <f>SUM(G10:G29)-G17</f>
        <v>95</v>
      </c>
      <c r="H33" s="385">
        <f>IF(F33=0,0,$C33/(F33*365))</f>
        <v>0.59064579256360084</v>
      </c>
      <c r="I33" s="385">
        <f>IF(G33=0,0,$C33/(G33*365))</f>
        <v>0.43521268925739004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15091</v>
      </c>
      <c r="D36" s="384">
        <f t="shared" si="1"/>
        <v>3036</v>
      </c>
      <c r="E36" s="384">
        <f t="shared" si="1"/>
        <v>2747</v>
      </c>
      <c r="F36" s="384">
        <f t="shared" si="1"/>
        <v>70</v>
      </c>
      <c r="G36" s="384">
        <f t="shared" si="1"/>
        <v>95</v>
      </c>
      <c r="H36" s="387">
        <f t="shared" si="1"/>
        <v>0.59064579256360084</v>
      </c>
      <c r="I36" s="387">
        <f t="shared" si="1"/>
        <v>0.43521268925739004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16270</v>
      </c>
      <c r="D37" s="384">
        <v>3191</v>
      </c>
      <c r="E37" s="384">
        <v>2818</v>
      </c>
      <c r="F37" s="386">
        <v>70</v>
      </c>
      <c r="G37" s="386">
        <v>95</v>
      </c>
      <c r="H37" s="385">
        <f>IF(F37=0,0,$C37/(F37*365))</f>
        <v>0.63679060665362031</v>
      </c>
      <c r="I37" s="385">
        <f>IF(G37=0,0,$C37/(G37*365))</f>
        <v>0.46921413121845712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-1179</v>
      </c>
      <c r="D38" s="384">
        <f t="shared" si="2"/>
        <v>-155</v>
      </c>
      <c r="E38" s="384">
        <f t="shared" si="2"/>
        <v>-71</v>
      </c>
      <c r="F38" s="384">
        <f t="shared" si="2"/>
        <v>0</v>
      </c>
      <c r="G38" s="384">
        <f t="shared" si="2"/>
        <v>0</v>
      </c>
      <c r="H38" s="387">
        <f t="shared" si="2"/>
        <v>-4.614481409001947E-2</v>
      </c>
      <c r="I38" s="387">
        <f t="shared" si="2"/>
        <v>-3.400144196106708E-2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-7.2464658881376764E-2</v>
      </c>
      <c r="D40" s="389">
        <f t="shared" si="3"/>
        <v>-4.8574114697586962E-2</v>
      </c>
      <c r="E40" s="389">
        <f t="shared" si="3"/>
        <v>-2.5195173882185947E-2</v>
      </c>
      <c r="F40" s="389">
        <f t="shared" si="3"/>
        <v>0</v>
      </c>
      <c r="G40" s="389">
        <f t="shared" si="3"/>
        <v>0</v>
      </c>
      <c r="H40" s="389">
        <f t="shared" si="3"/>
        <v>-7.2464658881376612E-2</v>
      </c>
      <c r="I40" s="389">
        <f t="shared" si="3"/>
        <v>-7.246465888137682E-2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101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FILING&amp;RJOHNSON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1782</v>
      </c>
      <c r="D12" s="409">
        <v>1638</v>
      </c>
      <c r="E12" s="409">
        <f>+D12-C12</f>
        <v>-144</v>
      </c>
      <c r="F12" s="410">
        <f>IF(C12=0,0,+E12/C12)</f>
        <v>-8.0808080808080815E-2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1980</v>
      </c>
      <c r="D13" s="409">
        <v>1850</v>
      </c>
      <c r="E13" s="409">
        <f>+D13-C13</f>
        <v>-130</v>
      </c>
      <c r="F13" s="410">
        <f>IF(C13=0,0,+E13/C13)</f>
        <v>-6.5656565656565663E-2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3574</v>
      </c>
      <c r="D14" s="409">
        <v>3556</v>
      </c>
      <c r="E14" s="409">
        <f>+D14-C14</f>
        <v>-18</v>
      </c>
      <c r="F14" s="410">
        <f>IF(C14=0,0,+E14/C14)</f>
        <v>-5.0363738108561837E-3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7336</v>
      </c>
      <c r="D16" s="401">
        <f>SUM(D12:D15)</f>
        <v>7044</v>
      </c>
      <c r="E16" s="401">
        <f>+D16-C16</f>
        <v>-292</v>
      </c>
      <c r="F16" s="402">
        <f>IF(C16=0,0,+E16/C16)</f>
        <v>-3.9803707742639041E-2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180</v>
      </c>
      <c r="D19" s="409">
        <v>164</v>
      </c>
      <c r="E19" s="409">
        <f>+D19-C19</f>
        <v>-16</v>
      </c>
      <c r="F19" s="410">
        <f>IF(C19=0,0,+E19/C19)</f>
        <v>-8.8888888888888892E-2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887</v>
      </c>
      <c r="D20" s="409">
        <v>1070</v>
      </c>
      <c r="E20" s="409">
        <f>+D20-C20</f>
        <v>183</v>
      </c>
      <c r="F20" s="410">
        <f>IF(C20=0,0,+E20/C20)</f>
        <v>0.20631341600901917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44</v>
      </c>
      <c r="D21" s="409">
        <v>53</v>
      </c>
      <c r="E21" s="409">
        <f>+D21-C21</f>
        <v>9</v>
      </c>
      <c r="F21" s="410">
        <f>IF(C21=0,0,+E21/C21)</f>
        <v>0.20454545454545456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1111</v>
      </c>
      <c r="D23" s="401">
        <f>SUM(D19:D22)</f>
        <v>1287</v>
      </c>
      <c r="E23" s="401">
        <f>+D23-C23</f>
        <v>176</v>
      </c>
      <c r="F23" s="402">
        <f>IF(C23=0,0,+E23/C23)</f>
        <v>0.15841584158415842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473</v>
      </c>
      <c r="D63" s="409">
        <v>453</v>
      </c>
      <c r="E63" s="409">
        <f>+D63-C63</f>
        <v>-20</v>
      </c>
      <c r="F63" s="410">
        <f>IF(C63=0,0,+E63/C63)</f>
        <v>-4.2283298097251586E-2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1995</v>
      </c>
      <c r="D64" s="409">
        <v>2059</v>
      </c>
      <c r="E64" s="409">
        <f>+D64-C64</f>
        <v>64</v>
      </c>
      <c r="F64" s="410">
        <f>IF(C64=0,0,+E64/C64)</f>
        <v>3.2080200501253132E-2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2468</v>
      </c>
      <c r="D65" s="401">
        <f>SUM(D63:D64)</f>
        <v>2512</v>
      </c>
      <c r="E65" s="401">
        <f>+D65-C65</f>
        <v>44</v>
      </c>
      <c r="F65" s="402">
        <f>IF(C65=0,0,+E65/C65)</f>
        <v>1.7828200972447326E-2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81</v>
      </c>
      <c r="D68" s="409">
        <v>86</v>
      </c>
      <c r="E68" s="409">
        <f>+D68-C68</f>
        <v>5</v>
      </c>
      <c r="F68" s="410">
        <f>IF(C68=0,0,+E68/C68)</f>
        <v>6.1728395061728392E-2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2104</v>
      </c>
      <c r="D69" s="409">
        <v>2021</v>
      </c>
      <c r="E69" s="409">
        <f>+D69-C69</f>
        <v>-83</v>
      </c>
      <c r="F69" s="412">
        <f>IF(C69=0,0,+E69/C69)</f>
        <v>-3.944866920152091E-2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2185</v>
      </c>
      <c r="D70" s="401">
        <f>SUM(D68:D69)</f>
        <v>2107</v>
      </c>
      <c r="E70" s="401">
        <f>+D70-C70</f>
        <v>-78</v>
      </c>
      <c r="F70" s="402">
        <f>IF(C70=0,0,+E70/C70)</f>
        <v>-3.5697940503432495E-2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2270</v>
      </c>
      <c r="D73" s="376">
        <v>2297</v>
      </c>
      <c r="E73" s="409">
        <f>+D73-C73</f>
        <v>27</v>
      </c>
      <c r="F73" s="410">
        <f>IF(C73=0,0,+E73/C73)</f>
        <v>1.1894273127753305E-2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16780</v>
      </c>
      <c r="D74" s="376">
        <v>16629</v>
      </c>
      <c r="E74" s="409">
        <f>+D74-C74</f>
        <v>-151</v>
      </c>
      <c r="F74" s="410">
        <f>IF(C74=0,0,+E74/C74)</f>
        <v>-8.9988081048867699E-3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19050</v>
      </c>
      <c r="D75" s="401">
        <f>SUM(D73:D74)</f>
        <v>18926</v>
      </c>
      <c r="E75" s="401">
        <f>SUM(E73:E74)</f>
        <v>-124</v>
      </c>
      <c r="F75" s="402">
        <f>IF(C75=0,0,+E75/C75)</f>
        <v>-6.5091863517060368E-3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1930</v>
      </c>
      <c r="D95" s="414">
        <v>2201</v>
      </c>
      <c r="E95" s="415">
        <f t="shared" ref="E95:E100" si="2">+D95-C95</f>
        <v>271</v>
      </c>
      <c r="F95" s="412">
        <f t="shared" ref="F95:F100" si="3">IF(C95=0,0,+E95/C95)</f>
        <v>0.14041450777202072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1915</v>
      </c>
      <c r="D96" s="414">
        <v>2843</v>
      </c>
      <c r="E96" s="409">
        <f t="shared" si="2"/>
        <v>928</v>
      </c>
      <c r="F96" s="410">
        <f t="shared" si="3"/>
        <v>0.4845953002610966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1521</v>
      </c>
      <c r="D97" s="414">
        <v>1665</v>
      </c>
      <c r="E97" s="409">
        <f t="shared" si="2"/>
        <v>144</v>
      </c>
      <c r="F97" s="410">
        <f t="shared" si="3"/>
        <v>9.4674556213017749E-2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932</v>
      </c>
      <c r="D98" s="414">
        <v>959</v>
      </c>
      <c r="E98" s="409">
        <f t="shared" si="2"/>
        <v>27</v>
      </c>
      <c r="F98" s="410">
        <f t="shared" si="3"/>
        <v>2.8969957081545063E-2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81697</v>
      </c>
      <c r="D99" s="414">
        <v>73156</v>
      </c>
      <c r="E99" s="409">
        <f t="shared" si="2"/>
        <v>-8541</v>
      </c>
      <c r="F99" s="410">
        <f t="shared" si="3"/>
        <v>-0.10454484252787741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87995</v>
      </c>
      <c r="D100" s="381">
        <f>SUM(D95:D99)</f>
        <v>80824</v>
      </c>
      <c r="E100" s="401">
        <f t="shared" si="2"/>
        <v>-7171</v>
      </c>
      <c r="F100" s="402">
        <f t="shared" si="3"/>
        <v>-8.1493266662878566E-2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115.5</v>
      </c>
      <c r="D104" s="416">
        <v>113.6</v>
      </c>
      <c r="E104" s="417">
        <f>+D104-C104</f>
        <v>-1.9000000000000057</v>
      </c>
      <c r="F104" s="410">
        <f>IF(C104=0,0,+E104/C104)</f>
        <v>-1.64502164502165E-2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331.7</v>
      </c>
      <c r="D106" s="416">
        <v>337.7</v>
      </c>
      <c r="E106" s="417">
        <f>+D106-C106</f>
        <v>6</v>
      </c>
      <c r="F106" s="410">
        <f>IF(C106=0,0,+E106/C106)</f>
        <v>1.8088634308109738E-2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447.2</v>
      </c>
      <c r="D107" s="418">
        <f>SUM(D104:D106)</f>
        <v>451.29999999999995</v>
      </c>
      <c r="E107" s="418">
        <f>+D107-C107</f>
        <v>4.0999999999999659</v>
      </c>
      <c r="F107" s="402">
        <f>IF(C107=0,0,+E107/C107)</f>
        <v>9.1681574239713022E-3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779</v>
      </c>
      <c r="D12" s="409">
        <v>871</v>
      </c>
      <c r="E12" s="409">
        <f>+D12-C12</f>
        <v>92</v>
      </c>
      <c r="F12" s="410">
        <f>IF(C12=0,0,+E12/C12)</f>
        <v>0.11810012836970475</v>
      </c>
    </row>
    <row r="13" spans="1:6" ht="15.75" customHeight="1" x14ac:dyDescent="0.2">
      <c r="A13" s="374">
        <v>2</v>
      </c>
      <c r="B13" s="408" t="s">
        <v>622</v>
      </c>
      <c r="C13" s="409">
        <v>1216</v>
      </c>
      <c r="D13" s="409">
        <v>1188</v>
      </c>
      <c r="E13" s="409">
        <f>+D13-C13</f>
        <v>-28</v>
      </c>
      <c r="F13" s="410">
        <f>IF(C13=0,0,+E13/C13)</f>
        <v>-2.3026315789473683E-2</v>
      </c>
    </row>
    <row r="14" spans="1:6" ht="15.75" customHeight="1" x14ac:dyDescent="0.25">
      <c r="A14" s="374"/>
      <c r="B14" s="399" t="s">
        <v>623</v>
      </c>
      <c r="C14" s="401">
        <f>SUM(C11:C13)</f>
        <v>1995</v>
      </c>
      <c r="D14" s="401">
        <f>SUM(D11:D13)</f>
        <v>2059</v>
      </c>
      <c r="E14" s="401">
        <f>+D14-C14</f>
        <v>64</v>
      </c>
      <c r="F14" s="402">
        <f>IF(C14=0,0,+E14/C14)</f>
        <v>3.2080200501253132E-2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1166</v>
      </c>
      <c r="D17" s="409">
        <v>1208</v>
      </c>
      <c r="E17" s="409">
        <f>+D17-C17</f>
        <v>42</v>
      </c>
      <c r="F17" s="410">
        <f>IF(C17=0,0,+E17/C17)</f>
        <v>3.6020583190394515E-2</v>
      </c>
    </row>
    <row r="18" spans="1:6" ht="15.75" customHeight="1" x14ac:dyDescent="0.2">
      <c r="A18" s="374">
        <v>2</v>
      </c>
      <c r="B18" s="408" t="s">
        <v>624</v>
      </c>
      <c r="C18" s="409">
        <v>938</v>
      </c>
      <c r="D18" s="409">
        <v>813</v>
      </c>
      <c r="E18" s="409">
        <f>+D18-C18</f>
        <v>-125</v>
      </c>
      <c r="F18" s="410">
        <f>IF(C18=0,0,+E18/C18)</f>
        <v>-0.13326226012793177</v>
      </c>
    </row>
    <row r="19" spans="1:6" ht="15.75" customHeight="1" x14ac:dyDescent="0.25">
      <c r="A19" s="374"/>
      <c r="B19" s="399" t="s">
        <v>625</v>
      </c>
      <c r="C19" s="401">
        <f>SUM(C16:C18)</f>
        <v>2104</v>
      </c>
      <c r="D19" s="401">
        <f>SUM(D16:D18)</f>
        <v>2021</v>
      </c>
      <c r="E19" s="401">
        <f>+D19-C19</f>
        <v>-83</v>
      </c>
      <c r="F19" s="402">
        <f>IF(C19=0,0,+E19/C19)</f>
        <v>-3.944866920152091E-2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16780</v>
      </c>
      <c r="D22" s="409">
        <v>16629</v>
      </c>
      <c r="E22" s="409">
        <f>+D22-C22</f>
        <v>-151</v>
      </c>
      <c r="F22" s="410">
        <f>IF(C22=0,0,+E22/C22)</f>
        <v>-8.9988081048867699E-3</v>
      </c>
    </row>
    <row r="23" spans="1:6" ht="15.75" customHeight="1" x14ac:dyDescent="0.25">
      <c r="A23" s="374"/>
      <c r="B23" s="399" t="s">
        <v>627</v>
      </c>
      <c r="C23" s="401">
        <f>SUM(C21:C22)</f>
        <v>16780</v>
      </c>
      <c r="D23" s="401">
        <f>SUM(D21:D22)</f>
        <v>16629</v>
      </c>
      <c r="E23" s="401">
        <f>+D23-C23</f>
        <v>-151</v>
      </c>
      <c r="F23" s="402">
        <f>IF(C23=0,0,+E23/C23)</f>
        <v>-8.9988081048867699E-3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FILING&amp;RJOHNSON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37794769</v>
      </c>
      <c r="D15" s="448">
        <v>35193711</v>
      </c>
      <c r="E15" s="448">
        <f t="shared" ref="E15:E24" si="0">D15-C15</f>
        <v>-2601058</v>
      </c>
      <c r="F15" s="449">
        <f t="shared" ref="F15:F24" si="1">IF(C15=0,0,E15/C15)</f>
        <v>-6.8820582022872001E-2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14097531</v>
      </c>
      <c r="D16" s="448">
        <v>12879364</v>
      </c>
      <c r="E16" s="448">
        <f t="shared" si="0"/>
        <v>-1218167</v>
      </c>
      <c r="F16" s="449">
        <f t="shared" si="1"/>
        <v>-8.6409953629468877E-2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0.37300217392517998</v>
      </c>
      <c r="D17" s="453">
        <f>IF(LN_IA1=0,0,LN_IA2/LN_IA1)</f>
        <v>0.36595640624542264</v>
      </c>
      <c r="E17" s="454">
        <f t="shared" si="0"/>
        <v>-7.0457676797573421E-3</v>
      </c>
      <c r="F17" s="449">
        <f t="shared" si="1"/>
        <v>-1.8889347495252517E-2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1571</v>
      </c>
      <c r="D18" s="456">
        <v>1477</v>
      </c>
      <c r="E18" s="456">
        <f t="shared" si="0"/>
        <v>-94</v>
      </c>
      <c r="F18" s="449">
        <f t="shared" si="1"/>
        <v>-5.9834500318268619E-2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1.2617</v>
      </c>
      <c r="D19" s="459">
        <v>1.2758</v>
      </c>
      <c r="E19" s="460">
        <f t="shared" si="0"/>
        <v>1.4100000000000001E-2</v>
      </c>
      <c r="F19" s="449">
        <f t="shared" si="1"/>
        <v>1.1175398272172466E-2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1982.1307000000002</v>
      </c>
      <c r="D20" s="463">
        <f>LN_IA4*LN_IA5</f>
        <v>1884.3566000000001</v>
      </c>
      <c r="E20" s="463">
        <f t="shared" si="0"/>
        <v>-97.774100000000089</v>
      </c>
      <c r="F20" s="449">
        <f t="shared" si="1"/>
        <v>-4.9327776417569275E-2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7112.311514069178</v>
      </c>
      <c r="D21" s="465">
        <f>IF(LN_IA6=0,0,LN_IA2/LN_IA6)</f>
        <v>6834.8867724930615</v>
      </c>
      <c r="E21" s="465">
        <f t="shared" si="0"/>
        <v>-277.4247415761165</v>
      </c>
      <c r="F21" s="449">
        <f t="shared" si="1"/>
        <v>-3.9006269765789976E-2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9143</v>
      </c>
      <c r="D22" s="456">
        <v>8276</v>
      </c>
      <c r="E22" s="456">
        <f t="shared" si="0"/>
        <v>-867</v>
      </c>
      <c r="F22" s="449">
        <f t="shared" si="1"/>
        <v>-9.4826643333697905E-2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1541.8933610412337</v>
      </c>
      <c r="D23" s="465">
        <f>IF(LN_IA8=0,0,LN_IA2/LN_IA8)</f>
        <v>1556.230546157564</v>
      </c>
      <c r="E23" s="465">
        <f t="shared" si="0"/>
        <v>14.337185116330375</v>
      </c>
      <c r="F23" s="449">
        <f t="shared" si="1"/>
        <v>9.2984284637223791E-3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5.819859961807766</v>
      </c>
      <c r="D24" s="466">
        <f>IF(LN_IA4=0,0,LN_IA8/LN_IA4)</f>
        <v>5.6032498307379823</v>
      </c>
      <c r="E24" s="466">
        <f t="shared" si="0"/>
        <v>-0.21661013106978366</v>
      </c>
      <c r="F24" s="449">
        <f t="shared" si="1"/>
        <v>-3.7219131128801285E-2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41270055</v>
      </c>
      <c r="D27" s="448">
        <v>43468093</v>
      </c>
      <c r="E27" s="448">
        <f t="shared" ref="E27:E32" si="2">D27-C27</f>
        <v>2198038</v>
      </c>
      <c r="F27" s="449">
        <f t="shared" ref="F27:F32" si="3">IF(C27=0,0,E27/C27)</f>
        <v>5.3259875713759043E-2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10574250</v>
      </c>
      <c r="D28" s="448">
        <v>10142326</v>
      </c>
      <c r="E28" s="448">
        <f t="shared" si="2"/>
        <v>-431924</v>
      </c>
      <c r="F28" s="449">
        <f t="shared" si="3"/>
        <v>-4.0846774002884369E-2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0.25622088460991876</v>
      </c>
      <c r="D29" s="453">
        <f>IF(LN_IA11=0,0,LN_IA12/LN_IA11)</f>
        <v>0.23332806433445333</v>
      </c>
      <c r="E29" s="454">
        <f t="shared" si="2"/>
        <v>-2.2892820275465436E-2</v>
      </c>
      <c r="F29" s="449">
        <f t="shared" si="3"/>
        <v>-8.9347987032042331E-2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1.0919515078925339</v>
      </c>
      <c r="D30" s="453">
        <f>IF(LN_IA1=0,0,LN_IA11/LN_IA1)</f>
        <v>1.2351096762714224</v>
      </c>
      <c r="E30" s="454">
        <f t="shared" si="2"/>
        <v>0.14315816837888851</v>
      </c>
      <c r="F30" s="449">
        <f t="shared" si="3"/>
        <v>0.13110304564273528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1715.4558188991707</v>
      </c>
      <c r="D31" s="463">
        <f>LN_IA14*LN_IA4</f>
        <v>1824.2569918528909</v>
      </c>
      <c r="E31" s="463">
        <f t="shared" si="2"/>
        <v>108.8011729537202</v>
      </c>
      <c r="F31" s="449">
        <f t="shared" si="3"/>
        <v>6.3424060098230484E-2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6164.1051220926383</v>
      </c>
      <c r="D32" s="465">
        <f>IF(LN_IA15=0,0,LN_IA12/LN_IA15)</f>
        <v>5559.702413254</v>
      </c>
      <c r="E32" s="465">
        <f t="shared" si="2"/>
        <v>-604.40270883863832</v>
      </c>
      <c r="F32" s="449">
        <f t="shared" si="3"/>
        <v>-9.8051979462908806E-2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79064824</v>
      </c>
      <c r="D35" s="448">
        <f>LN_IA1+LN_IA11</f>
        <v>78661804</v>
      </c>
      <c r="E35" s="448">
        <f>D35-C35</f>
        <v>-403020</v>
      </c>
      <c r="F35" s="449">
        <f>IF(C35=0,0,E35/C35)</f>
        <v>-5.0973363325263329E-3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24671781</v>
      </c>
      <c r="D36" s="448">
        <f>LN_IA2+LN_IA12</f>
        <v>23021690</v>
      </c>
      <c r="E36" s="448">
        <f>D36-C36</f>
        <v>-1650091</v>
      </c>
      <c r="F36" s="449">
        <f>IF(C36=0,0,E36/C36)</f>
        <v>-6.688171397111542E-2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54393043</v>
      </c>
      <c r="D37" s="448">
        <f>LN_IA17-LN_IA18</f>
        <v>55640114</v>
      </c>
      <c r="E37" s="448">
        <f>D37-C37</f>
        <v>1247071</v>
      </c>
      <c r="F37" s="449">
        <f>IF(C37=0,0,E37/C37)</f>
        <v>2.2927031311706536E-2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12784325</v>
      </c>
      <c r="D42" s="448">
        <v>13017227</v>
      </c>
      <c r="E42" s="448">
        <f t="shared" ref="E42:E53" si="4">D42-C42</f>
        <v>232902</v>
      </c>
      <c r="F42" s="449">
        <f t="shared" ref="F42:F53" si="5">IF(C42=0,0,E42/C42)</f>
        <v>1.8217778412235295E-2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7906076</v>
      </c>
      <c r="D43" s="448">
        <v>8287534</v>
      </c>
      <c r="E43" s="448">
        <f t="shared" si="4"/>
        <v>381458</v>
      </c>
      <c r="F43" s="449">
        <f t="shared" si="5"/>
        <v>4.8248714027034401E-2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0.61841950982942007</v>
      </c>
      <c r="D44" s="453">
        <f>IF(LN_IB1=0,0,LN_IB2/LN_IB1)</f>
        <v>0.63665894433584047</v>
      </c>
      <c r="E44" s="454">
        <f t="shared" si="4"/>
        <v>1.8239434506420404E-2</v>
      </c>
      <c r="F44" s="449">
        <f t="shared" si="5"/>
        <v>2.9493627249003552E-2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915</v>
      </c>
      <c r="D45" s="456">
        <v>831</v>
      </c>
      <c r="E45" s="456">
        <f t="shared" si="4"/>
        <v>-84</v>
      </c>
      <c r="F45" s="449">
        <f t="shared" si="5"/>
        <v>-9.1803278688524587E-2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1.0093000000000001</v>
      </c>
      <c r="D46" s="459">
        <v>1.0250999999999999</v>
      </c>
      <c r="E46" s="460">
        <f t="shared" si="4"/>
        <v>1.5799999999999814E-2</v>
      </c>
      <c r="F46" s="449">
        <f t="shared" si="5"/>
        <v>1.5654413950262371E-2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923.50950000000012</v>
      </c>
      <c r="D47" s="463">
        <f>LN_IB4*LN_IB5</f>
        <v>851.85809999999992</v>
      </c>
      <c r="E47" s="463">
        <f t="shared" si="4"/>
        <v>-71.651400000000194</v>
      </c>
      <c r="F47" s="449">
        <f t="shared" si="5"/>
        <v>-7.7585991264843709E-2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8560.9038131172438</v>
      </c>
      <c r="D48" s="465">
        <f>IF(LN_IB6=0,0,LN_IB2/LN_IB6)</f>
        <v>9728.7729024352775</v>
      </c>
      <c r="E48" s="465">
        <f t="shared" si="4"/>
        <v>1167.8690893180337</v>
      </c>
      <c r="F48" s="449">
        <f t="shared" si="5"/>
        <v>0.13641890094928924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-1448.5922990480658</v>
      </c>
      <c r="D49" s="465">
        <f>LN_IA7-LN_IB7</f>
        <v>-2893.886129942216</v>
      </c>
      <c r="E49" s="465">
        <f t="shared" si="4"/>
        <v>-1445.2938308941502</v>
      </c>
      <c r="F49" s="449">
        <f t="shared" si="5"/>
        <v>0.99772298378495927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-1337788.7497977298</v>
      </c>
      <c r="D50" s="479">
        <f>LN_IB8*LN_IB6</f>
        <v>-2465180.340268929</v>
      </c>
      <c r="E50" s="479">
        <f t="shared" si="4"/>
        <v>-1127391.5904711992</v>
      </c>
      <c r="F50" s="449">
        <f t="shared" si="5"/>
        <v>0.84272766581544201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3657</v>
      </c>
      <c r="D51" s="456">
        <v>3460</v>
      </c>
      <c r="E51" s="456">
        <f t="shared" si="4"/>
        <v>-197</v>
      </c>
      <c r="F51" s="449">
        <f t="shared" si="5"/>
        <v>-5.3869291769209737E-2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2161.9021055509979</v>
      </c>
      <c r="D52" s="465">
        <f>IF(LN_IB10=0,0,LN_IB2/LN_IB10)</f>
        <v>2395.2410404624279</v>
      </c>
      <c r="E52" s="465">
        <f t="shared" si="4"/>
        <v>233.33893491142999</v>
      </c>
      <c r="F52" s="449">
        <f t="shared" si="5"/>
        <v>0.10793223907423855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3.9967213114754099</v>
      </c>
      <c r="D53" s="466">
        <f>IF(LN_IB4=0,0,LN_IB10/LN_IB4)</f>
        <v>4.1636582430806257</v>
      </c>
      <c r="E53" s="466">
        <f t="shared" si="4"/>
        <v>0.16693693160521583</v>
      </c>
      <c r="F53" s="449">
        <f t="shared" si="5"/>
        <v>4.1768469351592147E-2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46523627</v>
      </c>
      <c r="D56" s="448">
        <v>46103906</v>
      </c>
      <c r="E56" s="448">
        <f t="shared" ref="E56:E63" si="6">D56-C56</f>
        <v>-419721</v>
      </c>
      <c r="F56" s="449">
        <f t="shared" ref="F56:F63" si="7">IF(C56=0,0,E56/C56)</f>
        <v>-9.0216740840089703E-3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24094003</v>
      </c>
      <c r="D57" s="448">
        <v>24852890</v>
      </c>
      <c r="E57" s="448">
        <f t="shared" si="6"/>
        <v>758887</v>
      </c>
      <c r="F57" s="449">
        <f t="shared" si="7"/>
        <v>3.149692477418551E-2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0.51788745963421978</v>
      </c>
      <c r="D58" s="453">
        <f>IF(LN_IB13=0,0,LN_IB14/LN_IB13)</f>
        <v>0.53906256879840075</v>
      </c>
      <c r="E58" s="454">
        <f t="shared" si="6"/>
        <v>2.1175109164180972E-2</v>
      </c>
      <c r="F58" s="449">
        <f t="shared" si="7"/>
        <v>4.0887472307471591E-2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3.6391148535413484</v>
      </c>
      <c r="D59" s="453">
        <f>IF(LN_IB1=0,0,LN_IB13/LN_IB1)</f>
        <v>3.5417609295743246</v>
      </c>
      <c r="E59" s="454">
        <f t="shared" si="6"/>
        <v>-9.7353923967023803E-2</v>
      </c>
      <c r="F59" s="449">
        <f t="shared" si="7"/>
        <v>-2.6752088869161503E-2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3329.7900909903337</v>
      </c>
      <c r="D60" s="463">
        <f>LN_IB16*LN_IB4</f>
        <v>2943.2033324762638</v>
      </c>
      <c r="E60" s="463">
        <f t="shared" si="6"/>
        <v>-386.58675851406997</v>
      </c>
      <c r="F60" s="449">
        <f t="shared" si="7"/>
        <v>-0.11609943808773027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7235.8924561620197</v>
      </c>
      <c r="D61" s="465">
        <f>IF(LN_IB17=0,0,LN_IB14/LN_IB17)</f>
        <v>8444.1634479565582</v>
      </c>
      <c r="E61" s="465">
        <f t="shared" si="6"/>
        <v>1208.2709917945385</v>
      </c>
      <c r="F61" s="449">
        <f t="shared" si="7"/>
        <v>0.1669829947189978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-1071.7873340693814</v>
      </c>
      <c r="D62" s="465">
        <f>LN_IA16-LN_IB18</f>
        <v>-2884.4610347025582</v>
      </c>
      <c r="E62" s="465">
        <f t="shared" si="6"/>
        <v>-1812.6737006331768</v>
      </c>
      <c r="F62" s="449">
        <f t="shared" si="7"/>
        <v>1.6912624762515012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-3568826.8446331727</v>
      </c>
      <c r="D63" s="448">
        <f>LN_IB19*LN_IB17</f>
        <v>-8489555.3297345005</v>
      </c>
      <c r="E63" s="448">
        <f t="shared" si="6"/>
        <v>-4920728.4851013273</v>
      </c>
      <c r="F63" s="449">
        <f t="shared" si="7"/>
        <v>1.378808415012108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59307952</v>
      </c>
      <c r="D66" s="448">
        <f>LN_IB1+LN_IB13</f>
        <v>59121133</v>
      </c>
      <c r="E66" s="448">
        <f>D66-C66</f>
        <v>-186819</v>
      </c>
      <c r="F66" s="449">
        <f>IF(C66=0,0,E66/C66)</f>
        <v>-3.1499823160307406E-3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32000079</v>
      </c>
      <c r="D67" s="448">
        <f>LN_IB2+LN_IB14</f>
        <v>33140424</v>
      </c>
      <c r="E67" s="448">
        <f>D67-C67</f>
        <v>1140345</v>
      </c>
      <c r="F67" s="449">
        <f>IF(C67=0,0,E67/C67)</f>
        <v>3.5635693274382228E-2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27307873</v>
      </c>
      <c r="D68" s="448">
        <f>LN_IB21-LN_IB22</f>
        <v>25980709</v>
      </c>
      <c r="E68" s="448">
        <f>D68-C68</f>
        <v>-1327164</v>
      </c>
      <c r="F68" s="449">
        <f>IF(C68=0,0,E68/C68)</f>
        <v>-4.8600050249244971E-2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-4906615.594430903</v>
      </c>
      <c r="D70" s="441">
        <f>LN_IB9+LN_IB20</f>
        <v>-10954735.670003429</v>
      </c>
      <c r="E70" s="448">
        <f>D70-C70</f>
        <v>-6048120.0755725261</v>
      </c>
      <c r="F70" s="449">
        <f>IF(C70=0,0,E70/C70)</f>
        <v>1.2326459978721893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59307952</v>
      </c>
      <c r="D73" s="488">
        <v>54974285</v>
      </c>
      <c r="E73" s="488">
        <f>D73-C73</f>
        <v>-4333667</v>
      </c>
      <c r="F73" s="489">
        <f>IF(C73=0,0,E73/C73)</f>
        <v>-7.3070589252517096E-2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32000079</v>
      </c>
      <c r="D74" s="488">
        <v>35230262</v>
      </c>
      <c r="E74" s="488">
        <f>D74-C74</f>
        <v>3230183</v>
      </c>
      <c r="F74" s="489">
        <f>IF(C74=0,0,E74/C74)</f>
        <v>0.10094296954704393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27307873</v>
      </c>
      <c r="D76" s="441">
        <f>LN_IB32-LN_IB33</f>
        <v>19744023</v>
      </c>
      <c r="E76" s="488">
        <f>D76-C76</f>
        <v>-7563850</v>
      </c>
      <c r="F76" s="489">
        <f>IF(E76=0,0,E76/C76)</f>
        <v>-0.27698422356072916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0.46044201627464726</v>
      </c>
      <c r="D77" s="453">
        <f>IF(LN_IB32=0,0,LN_IB34/LN_IB32)</f>
        <v>0.35915015538628653</v>
      </c>
      <c r="E77" s="493">
        <f>D77-C77</f>
        <v>-0.10129186088836073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546866</v>
      </c>
      <c r="D83" s="448">
        <v>706618</v>
      </c>
      <c r="E83" s="448">
        <f t="shared" ref="E83:E95" si="8">D83-C83</f>
        <v>159752</v>
      </c>
      <c r="F83" s="449">
        <f t="shared" ref="F83:F95" si="9">IF(C83=0,0,E83/C83)</f>
        <v>0.29212275036297741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5904</v>
      </c>
      <c r="D84" s="448">
        <v>13345</v>
      </c>
      <c r="E84" s="448">
        <f t="shared" si="8"/>
        <v>7441</v>
      </c>
      <c r="F84" s="449">
        <f t="shared" si="9"/>
        <v>1.2603319783197833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1.0796063386643164E-2</v>
      </c>
      <c r="D85" s="453">
        <f>IF(LN_IC1=0,0,LN_IC2/LN_IC1)</f>
        <v>1.8885734583608118E-2</v>
      </c>
      <c r="E85" s="454">
        <f t="shared" si="8"/>
        <v>8.0896711969649544E-3</v>
      </c>
      <c r="F85" s="449">
        <f t="shared" si="9"/>
        <v>0.7493167562329669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42</v>
      </c>
      <c r="D86" s="456">
        <v>39</v>
      </c>
      <c r="E86" s="456">
        <f t="shared" si="8"/>
        <v>-3</v>
      </c>
      <c r="F86" s="449">
        <f t="shared" si="9"/>
        <v>-7.1428571428571425E-2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1.0101</v>
      </c>
      <c r="D87" s="459">
        <v>0.94589999999999996</v>
      </c>
      <c r="E87" s="460">
        <f t="shared" si="8"/>
        <v>-6.4200000000000035E-2</v>
      </c>
      <c r="F87" s="449">
        <f t="shared" si="9"/>
        <v>-6.3558063558063593E-2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42.424199999999999</v>
      </c>
      <c r="D88" s="463">
        <f>LN_IC4*LN_IC5</f>
        <v>36.890099999999997</v>
      </c>
      <c r="E88" s="463">
        <f t="shared" si="8"/>
        <v>-5.5341000000000022</v>
      </c>
      <c r="F88" s="449">
        <f t="shared" si="9"/>
        <v>-0.13044677330391621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139.16585345156773</v>
      </c>
      <c r="D89" s="465">
        <f>IF(LN_IC6=0,0,LN_IC2/LN_IC6)</f>
        <v>361.75017145521429</v>
      </c>
      <c r="E89" s="465">
        <f t="shared" si="8"/>
        <v>222.58431800364656</v>
      </c>
      <c r="F89" s="449">
        <f t="shared" si="9"/>
        <v>1.5994176192158371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8421.7379596656756</v>
      </c>
      <c r="D90" s="465">
        <f>LN_IB7-LN_IC7</f>
        <v>9367.022730980063</v>
      </c>
      <c r="E90" s="465">
        <f t="shared" si="8"/>
        <v>945.2847713143874</v>
      </c>
      <c r="F90" s="449">
        <f t="shared" si="9"/>
        <v>0.11224343191888068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6973.1456606176107</v>
      </c>
      <c r="D91" s="465">
        <f>LN_IA7-LN_IC7</f>
        <v>6473.136601037847</v>
      </c>
      <c r="E91" s="465">
        <f t="shared" si="8"/>
        <v>-500.00905957976374</v>
      </c>
      <c r="F91" s="449">
        <f t="shared" si="9"/>
        <v>-7.1704949805318996E-2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295830.12613517366</v>
      </c>
      <c r="D92" s="441">
        <f>LN_IC9*LN_IC6</f>
        <v>238794.65652594625</v>
      </c>
      <c r="E92" s="441">
        <f t="shared" si="8"/>
        <v>-57035.46960922741</v>
      </c>
      <c r="F92" s="449">
        <f t="shared" si="9"/>
        <v>-0.19279804377721216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169</v>
      </c>
      <c r="D93" s="456">
        <v>228</v>
      </c>
      <c r="E93" s="456">
        <f t="shared" si="8"/>
        <v>59</v>
      </c>
      <c r="F93" s="449">
        <f t="shared" si="9"/>
        <v>0.34911242603550297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34.934911242603548</v>
      </c>
      <c r="D94" s="499">
        <f>IF(LN_IC11=0,0,LN_IC2/LN_IC11)</f>
        <v>58.530701754385966</v>
      </c>
      <c r="E94" s="499">
        <f t="shared" si="8"/>
        <v>23.595790511782418</v>
      </c>
      <c r="F94" s="449">
        <f t="shared" si="9"/>
        <v>0.67542151024580432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4.0238095238095237</v>
      </c>
      <c r="D95" s="466">
        <f>IF(LN_IC4=0,0,LN_IC11/LN_IC4)</f>
        <v>5.8461538461538458</v>
      </c>
      <c r="E95" s="466">
        <f t="shared" si="8"/>
        <v>1.8223443223443221</v>
      </c>
      <c r="F95" s="449">
        <f t="shared" si="9"/>
        <v>0.45289030496131083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1966567</v>
      </c>
      <c r="D98" s="448">
        <v>1457778</v>
      </c>
      <c r="E98" s="448">
        <f t="shared" ref="E98:E106" si="10">D98-C98</f>
        <v>-508789</v>
      </c>
      <c r="F98" s="449">
        <f t="shared" ref="F98:F106" si="11">IF(C98=0,0,E98/C98)</f>
        <v>-0.25871938255853982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284363</v>
      </c>
      <c r="D99" s="448">
        <v>112504</v>
      </c>
      <c r="E99" s="448">
        <f t="shared" si="10"/>
        <v>-171859</v>
      </c>
      <c r="F99" s="449">
        <f t="shared" si="11"/>
        <v>-0.60436484352746311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0.14459868389940439</v>
      </c>
      <c r="D100" s="453">
        <f>IF(LN_IC14=0,0,LN_IC15/LN_IC14)</f>
        <v>7.7174988235520089E-2</v>
      </c>
      <c r="E100" s="454">
        <f t="shared" si="10"/>
        <v>-6.74236956638843E-2</v>
      </c>
      <c r="F100" s="449">
        <f t="shared" si="11"/>
        <v>-0.46628153068661521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3.5960674095665119</v>
      </c>
      <c r="D101" s="453">
        <f>IF(LN_IC1=0,0,LN_IC14/LN_IC1)</f>
        <v>2.0630354731976825</v>
      </c>
      <c r="E101" s="454">
        <f t="shared" si="10"/>
        <v>-1.5330319363688294</v>
      </c>
      <c r="F101" s="449">
        <f t="shared" si="11"/>
        <v>-0.42630789742443365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151.03483120179351</v>
      </c>
      <c r="D102" s="463">
        <f>LN_IC17*LN_IC4</f>
        <v>80.458383454709619</v>
      </c>
      <c r="E102" s="463">
        <f t="shared" si="10"/>
        <v>-70.57644774708389</v>
      </c>
      <c r="F102" s="449">
        <f t="shared" si="11"/>
        <v>-0.46728590475125986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1882.7643778412303</v>
      </c>
      <c r="D103" s="465">
        <f>IF(LN_IC18=0,0,LN_IC15/LN_IC18)</f>
        <v>1398.2880983847879</v>
      </c>
      <c r="E103" s="465">
        <f t="shared" si="10"/>
        <v>-484.4762794564424</v>
      </c>
      <c r="F103" s="449">
        <f t="shared" si="11"/>
        <v>-0.25732177916598403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5353.1280783207894</v>
      </c>
      <c r="D104" s="465">
        <f>LN_IB18-LN_IC19</f>
        <v>7045.8753495717701</v>
      </c>
      <c r="E104" s="465">
        <f t="shared" si="10"/>
        <v>1692.7472712509807</v>
      </c>
      <c r="F104" s="449">
        <f t="shared" si="11"/>
        <v>0.31621647128270741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4281.3407442514081</v>
      </c>
      <c r="D105" s="465">
        <f>LN_IA16-LN_IC19</f>
        <v>4161.4143148692119</v>
      </c>
      <c r="E105" s="465">
        <f t="shared" si="10"/>
        <v>-119.92642938219615</v>
      </c>
      <c r="F105" s="449">
        <f t="shared" si="11"/>
        <v>-2.8011418979725537E-2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646631.5766253724</v>
      </c>
      <c r="D106" s="448">
        <f>LN_IC21*LN_IC18</f>
        <v>334820.66865966475</v>
      </c>
      <c r="E106" s="448">
        <f t="shared" si="10"/>
        <v>-311810.90796570765</v>
      </c>
      <c r="F106" s="449">
        <f t="shared" si="11"/>
        <v>-0.48220798246967772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2513433</v>
      </c>
      <c r="D109" s="448">
        <f>LN_IC1+LN_IC14</f>
        <v>2164396</v>
      </c>
      <c r="E109" s="448">
        <f>D109-C109</f>
        <v>-349037</v>
      </c>
      <c r="F109" s="449">
        <f>IF(C109=0,0,E109/C109)</f>
        <v>-0.13886863107152647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290267</v>
      </c>
      <c r="D110" s="448">
        <f>LN_IC2+LN_IC15</f>
        <v>125849</v>
      </c>
      <c r="E110" s="448">
        <f>D110-C110</f>
        <v>-164418</v>
      </c>
      <c r="F110" s="449">
        <f>IF(C110=0,0,E110/C110)</f>
        <v>-0.56643710790410207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2223166</v>
      </c>
      <c r="D111" s="448">
        <f>LN_IC23-LN_IC24</f>
        <v>2038547</v>
      </c>
      <c r="E111" s="448">
        <f>D111-C111</f>
        <v>-184619</v>
      </c>
      <c r="F111" s="449">
        <f>IF(C111=0,0,E111/C111)</f>
        <v>-8.304328151833916E-2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942461.702760546</v>
      </c>
      <c r="D113" s="448">
        <f>LN_IC10+LN_IC22</f>
        <v>573615.32518561103</v>
      </c>
      <c r="E113" s="448">
        <f>D113-C113</f>
        <v>-368846.37757493497</v>
      </c>
      <c r="F113" s="449">
        <f>IF(C113=0,0,E113/C113)</f>
        <v>-0.3913648443162776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10503345</v>
      </c>
      <c r="D118" s="448">
        <v>10212033</v>
      </c>
      <c r="E118" s="448">
        <f t="shared" ref="E118:E130" si="12">D118-C118</f>
        <v>-291312</v>
      </c>
      <c r="F118" s="449">
        <f t="shared" ref="F118:F130" si="13">IF(C118=0,0,E118/C118)</f>
        <v>-2.7735164369065285E-2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5211995</v>
      </c>
      <c r="D119" s="448">
        <v>3942846</v>
      </c>
      <c r="E119" s="448">
        <f t="shared" si="12"/>
        <v>-1269149</v>
      </c>
      <c r="F119" s="449">
        <f t="shared" si="13"/>
        <v>-0.24350541395377395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0.49622239391355799</v>
      </c>
      <c r="D120" s="453">
        <f>IF(LN_ID1=0,0,LN_1D2/LN_ID1)</f>
        <v>0.3860980472742303</v>
      </c>
      <c r="E120" s="454">
        <f t="shared" si="12"/>
        <v>-0.11012434663932769</v>
      </c>
      <c r="F120" s="449">
        <f t="shared" si="13"/>
        <v>-0.2219253866614318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681</v>
      </c>
      <c r="D121" s="456">
        <v>678</v>
      </c>
      <c r="E121" s="456">
        <f t="shared" si="12"/>
        <v>-3</v>
      </c>
      <c r="F121" s="449">
        <f t="shared" si="13"/>
        <v>-4.4052863436123352E-3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0.94079999999999997</v>
      </c>
      <c r="D122" s="459">
        <v>0.93925999999999998</v>
      </c>
      <c r="E122" s="460">
        <f t="shared" si="12"/>
        <v>-1.5399999999999858E-3</v>
      </c>
      <c r="F122" s="449">
        <f t="shared" si="13"/>
        <v>-1.636904761904747E-3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640.6848</v>
      </c>
      <c r="D123" s="463">
        <f>LN_ID4*LN_ID5</f>
        <v>636.81827999999996</v>
      </c>
      <c r="E123" s="463">
        <f t="shared" si="12"/>
        <v>-3.8665200000000368</v>
      </c>
      <c r="F123" s="449">
        <f t="shared" si="13"/>
        <v>-6.0349800713237409E-3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8135.0376971640344</v>
      </c>
      <c r="D124" s="465">
        <f>IF(LN_ID6=0,0,LN_1D2/LN_ID6)</f>
        <v>6191.4774180163304</v>
      </c>
      <c r="E124" s="465">
        <f t="shared" si="12"/>
        <v>-1943.560279147704</v>
      </c>
      <c r="F124" s="449">
        <f t="shared" si="13"/>
        <v>-0.23891226463833731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425.86611595320937</v>
      </c>
      <c r="D125" s="465">
        <f>LN_IB7-LN_ID7</f>
        <v>3537.2954844189471</v>
      </c>
      <c r="E125" s="465">
        <f t="shared" si="12"/>
        <v>3111.4293684657378</v>
      </c>
      <c r="F125" s="449">
        <f t="shared" si="13"/>
        <v>7.3061209894604424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-1022.7261830948564</v>
      </c>
      <c r="D126" s="465">
        <f>LN_IA7-LN_ID7</f>
        <v>643.4093544767311</v>
      </c>
      <c r="E126" s="465">
        <f t="shared" si="12"/>
        <v>1666.1355375715875</v>
      </c>
      <c r="F126" s="449">
        <f t="shared" si="13"/>
        <v>-1.6291120390892113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-655245.12007089145</v>
      </c>
      <c r="D127" s="479">
        <f>LN_ID9*LN_ID6</f>
        <v>409734.8384537822</v>
      </c>
      <c r="E127" s="479">
        <f t="shared" si="12"/>
        <v>1064979.9585246737</v>
      </c>
      <c r="F127" s="449">
        <f t="shared" si="13"/>
        <v>-1.625315360470678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3369</v>
      </c>
      <c r="D128" s="456">
        <v>3070</v>
      </c>
      <c r="E128" s="456">
        <f t="shared" si="12"/>
        <v>-299</v>
      </c>
      <c r="F128" s="449">
        <f t="shared" si="13"/>
        <v>-8.8750371029979222E-2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1547.0451172454734</v>
      </c>
      <c r="D129" s="465">
        <f>IF(LN_ID11=0,0,LN_1D2/LN_ID11)</f>
        <v>1284.3146579804561</v>
      </c>
      <c r="E129" s="465">
        <f t="shared" si="12"/>
        <v>-262.73045926501732</v>
      </c>
      <c r="F129" s="449">
        <f t="shared" si="13"/>
        <v>-0.16982727674601442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4.9471365638766516</v>
      </c>
      <c r="D130" s="466">
        <f>IF(LN_ID4=0,0,LN_ID11/LN_ID4)</f>
        <v>4.5280235988200586</v>
      </c>
      <c r="E130" s="466">
        <f t="shared" si="12"/>
        <v>-0.41911296505659301</v>
      </c>
      <c r="F130" s="449">
        <f t="shared" si="13"/>
        <v>-8.4718293025687105E-2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20760315</v>
      </c>
      <c r="D133" s="448">
        <v>21840217</v>
      </c>
      <c r="E133" s="448">
        <f t="shared" ref="E133:E141" si="14">D133-C133</f>
        <v>1079902</v>
      </c>
      <c r="F133" s="449">
        <f t="shared" ref="F133:F141" si="15">IF(C133=0,0,E133/C133)</f>
        <v>5.201761148614556E-2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4425841</v>
      </c>
      <c r="D134" s="448">
        <v>4752140</v>
      </c>
      <c r="E134" s="448">
        <f t="shared" si="14"/>
        <v>326299</v>
      </c>
      <c r="F134" s="449">
        <f t="shared" si="15"/>
        <v>7.3725874924110466E-2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0.21318756483222917</v>
      </c>
      <c r="D135" s="453">
        <f>IF(LN_ID14=0,0,LN_ID15/LN_ID14)</f>
        <v>0.21758666592003184</v>
      </c>
      <c r="E135" s="454">
        <f t="shared" si="14"/>
        <v>4.3991010878026704E-3</v>
      </c>
      <c r="F135" s="449">
        <f t="shared" si="15"/>
        <v>2.06348859571833E-2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1.9765431869561554</v>
      </c>
      <c r="D136" s="453">
        <f>IF(LN_ID1=0,0,LN_ID14/LN_ID1)</f>
        <v>2.1386747379292643</v>
      </c>
      <c r="E136" s="454">
        <f t="shared" si="14"/>
        <v>0.16213155097310894</v>
      </c>
      <c r="F136" s="449">
        <f t="shared" si="15"/>
        <v>8.2027831237418553E-2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1346.0259103171418</v>
      </c>
      <c r="D137" s="463">
        <f>LN_ID17*LN_ID4</f>
        <v>1450.0214723160411</v>
      </c>
      <c r="E137" s="463">
        <f t="shared" si="14"/>
        <v>103.99556199889935</v>
      </c>
      <c r="F137" s="449">
        <f t="shared" si="15"/>
        <v>7.7261188809059841E-2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3288.0800927206615</v>
      </c>
      <c r="D138" s="465">
        <f>IF(LN_ID18=0,0,LN_ID15/LN_ID18)</f>
        <v>3277.2893993146618</v>
      </c>
      <c r="E138" s="465">
        <f t="shared" si="14"/>
        <v>-10.790693405999718</v>
      </c>
      <c r="F138" s="449">
        <f t="shared" si="15"/>
        <v>-3.2817611194717452E-3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3947.8123634413582</v>
      </c>
      <c r="D139" s="465">
        <f>LN_IB18-LN_ID19</f>
        <v>5166.8740486418965</v>
      </c>
      <c r="E139" s="465">
        <f t="shared" si="14"/>
        <v>1219.0616852005382</v>
      </c>
      <c r="F139" s="449">
        <f t="shared" si="15"/>
        <v>0.30879423158244196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2876.0250293719769</v>
      </c>
      <c r="D140" s="465">
        <f>LN_IA16-LN_ID19</f>
        <v>2282.4130139393383</v>
      </c>
      <c r="E140" s="465">
        <f t="shared" si="14"/>
        <v>-593.6120154326386</v>
      </c>
      <c r="F140" s="449">
        <f t="shared" si="15"/>
        <v>-0.20640015624699298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3871204.2082552994</v>
      </c>
      <c r="D141" s="441">
        <f>LN_ID21*LN_ID18</f>
        <v>3309547.878905612</v>
      </c>
      <c r="E141" s="441">
        <f t="shared" si="14"/>
        <v>-561656.32934968732</v>
      </c>
      <c r="F141" s="449">
        <f t="shared" si="15"/>
        <v>-0.14508568887995149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31263660</v>
      </c>
      <c r="D144" s="448">
        <f>LN_ID1+LN_ID14</f>
        <v>32052250</v>
      </c>
      <c r="E144" s="448">
        <f>D144-C144</f>
        <v>788590</v>
      </c>
      <c r="F144" s="449">
        <f>IF(C144=0,0,E144/C144)</f>
        <v>2.5223854148874444E-2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9637836</v>
      </c>
      <c r="D145" s="448">
        <f>LN_1D2+LN_ID15</f>
        <v>8694986</v>
      </c>
      <c r="E145" s="448">
        <f>D145-C145</f>
        <v>-942850</v>
      </c>
      <c r="F145" s="449">
        <f>IF(C145=0,0,E145/C145)</f>
        <v>-9.7827977151717455E-2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21625824</v>
      </c>
      <c r="D146" s="448">
        <f>LN_ID23-LN_ID24</f>
        <v>23357264</v>
      </c>
      <c r="E146" s="448">
        <f>D146-C146</f>
        <v>1731440</v>
      </c>
      <c r="F146" s="449">
        <f>IF(C146=0,0,E146/C146)</f>
        <v>8.0063538850589006E-2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3215959.0881844079</v>
      </c>
      <c r="D148" s="448">
        <f>LN_ID10+LN_ID22</f>
        <v>3719282.7173593943</v>
      </c>
      <c r="E148" s="448">
        <f>D148-C148</f>
        <v>503323.62917498639</v>
      </c>
      <c r="F148" s="503">
        <f>IF(C148=0,0,E148/C148)</f>
        <v>0.15650809459119744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8560.9038131172438</v>
      </c>
      <c r="D160" s="465">
        <f>LN_IB7-LN_IE7</f>
        <v>9728.7729024352775</v>
      </c>
      <c r="E160" s="465">
        <f t="shared" si="16"/>
        <v>1167.8690893180337</v>
      </c>
      <c r="F160" s="449">
        <f t="shared" si="17"/>
        <v>0.13641890094928924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7112.311514069178</v>
      </c>
      <c r="D161" s="465">
        <f>LN_IA7-LN_IE7</f>
        <v>6834.8867724930615</v>
      </c>
      <c r="E161" s="465">
        <f t="shared" si="16"/>
        <v>-277.4247415761165</v>
      </c>
      <c r="F161" s="449">
        <f t="shared" si="17"/>
        <v>-3.9006269765789976E-2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7235.8924561620197</v>
      </c>
      <c r="D174" s="465">
        <f>LN_IB18-LN_IE19</f>
        <v>8444.1634479565582</v>
      </c>
      <c r="E174" s="465">
        <f t="shared" si="18"/>
        <v>1208.2709917945385</v>
      </c>
      <c r="F174" s="449">
        <f t="shared" si="19"/>
        <v>0.1669829947189978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6164.1051220926383</v>
      </c>
      <c r="D175" s="465">
        <f>LN_IA16-LN_IE19</f>
        <v>5559.702413254</v>
      </c>
      <c r="E175" s="465">
        <f t="shared" si="18"/>
        <v>-604.40270883863832</v>
      </c>
      <c r="F175" s="449">
        <f t="shared" si="19"/>
        <v>-9.8051979462908806E-2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10503345</v>
      </c>
      <c r="D188" s="448">
        <f>LN_ID1+LN_IE1</f>
        <v>10212033</v>
      </c>
      <c r="E188" s="448">
        <f t="shared" ref="E188:E200" si="20">D188-C188</f>
        <v>-291312</v>
      </c>
      <c r="F188" s="449">
        <f t="shared" ref="F188:F200" si="21">IF(C188=0,0,E188/C188)</f>
        <v>-2.7735164369065285E-2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5211995</v>
      </c>
      <c r="D189" s="448">
        <f>LN_1D2+LN_IE2</f>
        <v>3942846</v>
      </c>
      <c r="E189" s="448">
        <f t="shared" si="20"/>
        <v>-1269149</v>
      </c>
      <c r="F189" s="449">
        <f t="shared" si="21"/>
        <v>-0.24350541395377395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0.49622239391355799</v>
      </c>
      <c r="D190" s="453">
        <f>IF(LN_IF1=0,0,LN_IF2/LN_IF1)</f>
        <v>0.3860980472742303</v>
      </c>
      <c r="E190" s="454">
        <f t="shared" si="20"/>
        <v>-0.11012434663932769</v>
      </c>
      <c r="F190" s="449">
        <f t="shared" si="21"/>
        <v>-0.2219253866614318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681</v>
      </c>
      <c r="D191" s="456">
        <f>LN_ID4+LN_IE4</f>
        <v>678</v>
      </c>
      <c r="E191" s="456">
        <f t="shared" si="20"/>
        <v>-3</v>
      </c>
      <c r="F191" s="449">
        <f t="shared" si="21"/>
        <v>-4.4052863436123352E-3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0.94079999999999997</v>
      </c>
      <c r="D192" s="459">
        <f>IF((LN_ID4+LN_IE4)=0,0,(LN_ID6+LN_IE6)/(LN_ID4+LN_IE4))</f>
        <v>0.93925999999999998</v>
      </c>
      <c r="E192" s="460">
        <f t="shared" si="20"/>
        <v>-1.5399999999999858E-3</v>
      </c>
      <c r="F192" s="449">
        <f t="shared" si="21"/>
        <v>-1.636904761904747E-3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640.6848</v>
      </c>
      <c r="D193" s="463">
        <f>LN_IF4*LN_IF5</f>
        <v>636.81827999999996</v>
      </c>
      <c r="E193" s="463">
        <f t="shared" si="20"/>
        <v>-3.8665200000000368</v>
      </c>
      <c r="F193" s="449">
        <f t="shared" si="21"/>
        <v>-6.0349800713237409E-3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8135.0376971640344</v>
      </c>
      <c r="D194" s="465">
        <f>IF(LN_IF6=0,0,LN_IF2/LN_IF6)</f>
        <v>6191.4774180163304</v>
      </c>
      <c r="E194" s="465">
        <f t="shared" si="20"/>
        <v>-1943.560279147704</v>
      </c>
      <c r="F194" s="449">
        <f t="shared" si="21"/>
        <v>-0.23891226463833731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425.86611595320937</v>
      </c>
      <c r="D195" s="465">
        <f>LN_IB7-LN_IF7</f>
        <v>3537.2954844189471</v>
      </c>
      <c r="E195" s="465">
        <f t="shared" si="20"/>
        <v>3111.4293684657378</v>
      </c>
      <c r="F195" s="449">
        <f t="shared" si="21"/>
        <v>7.3061209894604424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-1022.7261830948564</v>
      </c>
      <c r="D196" s="465">
        <f>LN_IA7-LN_IF7</f>
        <v>643.4093544767311</v>
      </c>
      <c r="E196" s="465">
        <f t="shared" si="20"/>
        <v>1666.1355375715875</v>
      </c>
      <c r="F196" s="449">
        <f t="shared" si="21"/>
        <v>-1.6291120390892113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-655245.12007089145</v>
      </c>
      <c r="D197" s="479">
        <f>LN_IF9*LN_IF6</f>
        <v>409734.8384537822</v>
      </c>
      <c r="E197" s="479">
        <f t="shared" si="20"/>
        <v>1064979.9585246737</v>
      </c>
      <c r="F197" s="449">
        <f t="shared" si="21"/>
        <v>-1.625315360470678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3369</v>
      </c>
      <c r="D198" s="456">
        <f>LN_ID11+LN_IE11</f>
        <v>3070</v>
      </c>
      <c r="E198" s="456">
        <f t="shared" si="20"/>
        <v>-299</v>
      </c>
      <c r="F198" s="449">
        <f t="shared" si="21"/>
        <v>-8.8750371029979222E-2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1547.0451172454734</v>
      </c>
      <c r="D199" s="519">
        <f>IF(LN_IF11=0,0,LN_IF2/LN_IF11)</f>
        <v>1284.3146579804561</v>
      </c>
      <c r="E199" s="519">
        <f t="shared" si="20"/>
        <v>-262.73045926501732</v>
      </c>
      <c r="F199" s="449">
        <f t="shared" si="21"/>
        <v>-0.16982727674601442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4.9471365638766516</v>
      </c>
      <c r="D200" s="466">
        <f>IF(LN_IF4=0,0,LN_IF11/LN_IF4)</f>
        <v>4.5280235988200586</v>
      </c>
      <c r="E200" s="466">
        <f t="shared" si="20"/>
        <v>-0.41911296505659301</v>
      </c>
      <c r="F200" s="449">
        <f t="shared" si="21"/>
        <v>-8.4718293025687105E-2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20760315</v>
      </c>
      <c r="D203" s="448">
        <f>LN_ID14+LN_IE14</f>
        <v>21840217</v>
      </c>
      <c r="E203" s="448">
        <f t="shared" ref="E203:E211" si="22">D203-C203</f>
        <v>1079902</v>
      </c>
      <c r="F203" s="449">
        <f t="shared" ref="F203:F211" si="23">IF(C203=0,0,E203/C203)</f>
        <v>5.201761148614556E-2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4425841</v>
      </c>
      <c r="D204" s="448">
        <f>LN_ID15+LN_IE15</f>
        <v>4752140</v>
      </c>
      <c r="E204" s="448">
        <f t="shared" si="22"/>
        <v>326299</v>
      </c>
      <c r="F204" s="449">
        <f t="shared" si="23"/>
        <v>7.3725874924110466E-2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0.21318756483222917</v>
      </c>
      <c r="D205" s="453">
        <f>IF(LN_IF14=0,0,LN_IF15/LN_IF14)</f>
        <v>0.21758666592003184</v>
      </c>
      <c r="E205" s="454">
        <f t="shared" si="22"/>
        <v>4.3991010878026704E-3</v>
      </c>
      <c r="F205" s="449">
        <f t="shared" si="23"/>
        <v>2.06348859571833E-2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1.9765431869561554</v>
      </c>
      <c r="D206" s="453">
        <f>IF(LN_IF1=0,0,LN_IF14/LN_IF1)</f>
        <v>2.1386747379292643</v>
      </c>
      <c r="E206" s="454">
        <f t="shared" si="22"/>
        <v>0.16213155097310894</v>
      </c>
      <c r="F206" s="449">
        <f t="shared" si="23"/>
        <v>8.2027831237418553E-2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1346.0259103171418</v>
      </c>
      <c r="D207" s="463">
        <f>LN_ID18+LN_IE18</f>
        <v>1450.0214723160411</v>
      </c>
      <c r="E207" s="463">
        <f t="shared" si="22"/>
        <v>103.99556199889935</v>
      </c>
      <c r="F207" s="449">
        <f t="shared" si="23"/>
        <v>7.7261188809059841E-2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3288.0800927206615</v>
      </c>
      <c r="D208" s="465">
        <f>IF(LN_IF18=0,0,LN_IF15/LN_IF18)</f>
        <v>3277.2893993146618</v>
      </c>
      <c r="E208" s="465">
        <f t="shared" si="22"/>
        <v>-10.790693405999718</v>
      </c>
      <c r="F208" s="449">
        <f t="shared" si="23"/>
        <v>-3.2817611194717452E-3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3947.8123634413582</v>
      </c>
      <c r="D209" s="465">
        <f>LN_IB18-LN_IF19</f>
        <v>5166.8740486418965</v>
      </c>
      <c r="E209" s="465">
        <f t="shared" si="22"/>
        <v>1219.0616852005382</v>
      </c>
      <c r="F209" s="449">
        <f t="shared" si="23"/>
        <v>0.30879423158244196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2876.0250293719769</v>
      </c>
      <c r="D210" s="465">
        <f>LN_IA16-LN_IF19</f>
        <v>2282.4130139393383</v>
      </c>
      <c r="E210" s="465">
        <f t="shared" si="22"/>
        <v>-593.6120154326386</v>
      </c>
      <c r="F210" s="449">
        <f t="shared" si="23"/>
        <v>-0.20640015624699298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3871204.2082552994</v>
      </c>
      <c r="D211" s="441">
        <f>LN_IF21*LN_IF18</f>
        <v>3309547.878905612</v>
      </c>
      <c r="E211" s="441">
        <f t="shared" si="22"/>
        <v>-561656.32934968732</v>
      </c>
      <c r="F211" s="449">
        <f t="shared" si="23"/>
        <v>-0.14508568887995149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31263660</v>
      </c>
      <c r="D214" s="448">
        <f>LN_IF1+LN_IF14</f>
        <v>32052250</v>
      </c>
      <c r="E214" s="448">
        <f>D214-C214</f>
        <v>788590</v>
      </c>
      <c r="F214" s="449">
        <f>IF(C214=0,0,E214/C214)</f>
        <v>2.5223854148874444E-2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9637836</v>
      </c>
      <c r="D215" s="448">
        <f>LN_IF2+LN_IF15</f>
        <v>8694986</v>
      </c>
      <c r="E215" s="448">
        <f>D215-C215</f>
        <v>-942850</v>
      </c>
      <c r="F215" s="449">
        <f>IF(C215=0,0,E215/C215)</f>
        <v>-9.7827977151717455E-2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21625824</v>
      </c>
      <c r="D216" s="448">
        <f>LN_IF23-LN_IF24</f>
        <v>23357264</v>
      </c>
      <c r="E216" s="448">
        <f>D216-C216</f>
        <v>1731440</v>
      </c>
      <c r="F216" s="449">
        <f>IF(C216=0,0,E216/C216)</f>
        <v>8.0063538850589006E-2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370688</v>
      </c>
      <c r="D221" s="448">
        <v>741009</v>
      </c>
      <c r="E221" s="448">
        <f t="shared" ref="E221:E230" si="24">D221-C221</f>
        <v>370321</v>
      </c>
      <c r="F221" s="449">
        <f t="shared" ref="F221:F230" si="25">IF(C221=0,0,E221/C221)</f>
        <v>0.99900994906767959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155890</v>
      </c>
      <c r="D222" s="448">
        <v>273260</v>
      </c>
      <c r="E222" s="448">
        <f t="shared" si="24"/>
        <v>117370</v>
      </c>
      <c r="F222" s="449">
        <f t="shared" si="25"/>
        <v>0.75290268779267433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0.42054234288674031</v>
      </c>
      <c r="D223" s="453">
        <f>IF(LN_IG1=0,0,LN_IG2/LN_IG1)</f>
        <v>0.36876745086766827</v>
      </c>
      <c r="E223" s="454">
        <f t="shared" si="24"/>
        <v>-5.1774892019072039E-2</v>
      </c>
      <c r="F223" s="449">
        <f t="shared" si="25"/>
        <v>-0.12311457548762446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24</v>
      </c>
      <c r="D224" s="456">
        <v>50</v>
      </c>
      <c r="E224" s="456">
        <f t="shared" si="24"/>
        <v>26</v>
      </c>
      <c r="F224" s="449">
        <f t="shared" si="25"/>
        <v>1.0833333333333333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0.91200000000000003</v>
      </c>
      <c r="D225" s="459">
        <v>0.97099999999999997</v>
      </c>
      <c r="E225" s="460">
        <f t="shared" si="24"/>
        <v>5.8999999999999941E-2</v>
      </c>
      <c r="F225" s="449">
        <f t="shared" si="25"/>
        <v>6.4692982456140288E-2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21.888000000000002</v>
      </c>
      <c r="D226" s="463">
        <f>LN_IG3*LN_IG4</f>
        <v>48.55</v>
      </c>
      <c r="E226" s="463">
        <f t="shared" si="24"/>
        <v>26.661999999999995</v>
      </c>
      <c r="F226" s="449">
        <f t="shared" si="25"/>
        <v>1.2181103801169588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7122.1673976608181</v>
      </c>
      <c r="D227" s="465">
        <f>IF(LN_IG5=0,0,LN_IG2/LN_IG5)</f>
        <v>5628.4243048403714</v>
      </c>
      <c r="E227" s="465">
        <f t="shared" si="24"/>
        <v>-1493.7430928204467</v>
      </c>
      <c r="F227" s="449">
        <f t="shared" si="25"/>
        <v>-0.20973153387423144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101</v>
      </c>
      <c r="D228" s="456">
        <v>285</v>
      </c>
      <c r="E228" s="456">
        <f t="shared" si="24"/>
        <v>184</v>
      </c>
      <c r="F228" s="449">
        <f t="shared" si="25"/>
        <v>1.8217821782178218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1543.4653465346535</v>
      </c>
      <c r="D229" s="465">
        <f>IF(LN_IG6=0,0,LN_IG2/LN_IG6)</f>
        <v>958.80701754385962</v>
      </c>
      <c r="E229" s="465">
        <f t="shared" si="24"/>
        <v>-584.65832899079385</v>
      </c>
      <c r="F229" s="449">
        <f t="shared" si="25"/>
        <v>-0.3787958895892628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4.208333333333333</v>
      </c>
      <c r="D230" s="466">
        <f>IF(LN_IG3=0,0,LN_IG6/LN_IG3)</f>
        <v>5.7</v>
      </c>
      <c r="E230" s="466">
        <f t="shared" si="24"/>
        <v>1.4916666666666671</v>
      </c>
      <c r="F230" s="449">
        <f t="shared" si="25"/>
        <v>0.3544554455445546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593638</v>
      </c>
      <c r="D233" s="448">
        <v>743123</v>
      </c>
      <c r="E233" s="448">
        <f>D233-C233</f>
        <v>149485</v>
      </c>
      <c r="F233" s="449">
        <f>IF(C233=0,0,E233/C233)</f>
        <v>0.25181171016680198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183266</v>
      </c>
      <c r="D234" s="448">
        <v>257374</v>
      </c>
      <c r="E234" s="448">
        <f>D234-C234</f>
        <v>74108</v>
      </c>
      <c r="F234" s="449">
        <f>IF(C234=0,0,E234/C234)</f>
        <v>0.40437397007628256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964326</v>
      </c>
      <c r="D237" s="448">
        <f>LN_IG1+LN_IG9</f>
        <v>1484132</v>
      </c>
      <c r="E237" s="448">
        <f>D237-C237</f>
        <v>519806</v>
      </c>
      <c r="F237" s="449">
        <f>IF(C237=0,0,E237/C237)</f>
        <v>0.53903555436646944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339156</v>
      </c>
      <c r="D238" s="448">
        <f>LN_IG2+LN_IG10</f>
        <v>530634</v>
      </c>
      <c r="E238" s="448">
        <f>D238-C238</f>
        <v>191478</v>
      </c>
      <c r="F238" s="449">
        <f>IF(C238=0,0,E238/C238)</f>
        <v>0.56457205533736687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625170</v>
      </c>
      <c r="D239" s="448">
        <f>LN_IG13-LN_IG14</f>
        <v>953498</v>
      </c>
      <c r="E239" s="448">
        <f>D239-C239</f>
        <v>328328</v>
      </c>
      <c r="F239" s="449">
        <f>IF(C239=0,0,E239/C239)</f>
        <v>0.52518195050946148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473373</v>
      </c>
      <c r="D243" s="448">
        <v>590810</v>
      </c>
      <c r="E243" s="441">
        <f>D243-C243</f>
        <v>117437</v>
      </c>
      <c r="F243" s="503">
        <f>IF(C243=0,0,E243/C243)</f>
        <v>0.24808554776043415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66456723</v>
      </c>
      <c r="D244" s="448">
        <v>70240063</v>
      </c>
      <c r="E244" s="441">
        <f>D244-C244</f>
        <v>3783340</v>
      </c>
      <c r="F244" s="503">
        <f>IF(C244=0,0,E244/C244)</f>
        <v>5.692937943991009E-2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387404</v>
      </c>
      <c r="D248" s="441">
        <v>221047</v>
      </c>
      <c r="E248" s="441">
        <f>D248-C248</f>
        <v>-166357</v>
      </c>
      <c r="F248" s="449">
        <f>IF(C248=0,0,E248/C248)</f>
        <v>-0.42941477114330262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4119249</v>
      </c>
      <c r="D249" s="441">
        <v>3114000</v>
      </c>
      <c r="E249" s="441">
        <f>D249-C249</f>
        <v>-1005249</v>
      </c>
      <c r="F249" s="449">
        <f>IF(C249=0,0,E249/C249)</f>
        <v>-0.24403695916415832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4506653</v>
      </c>
      <c r="D250" s="441">
        <f>LN_IH4+LN_IH5</f>
        <v>3335047</v>
      </c>
      <c r="E250" s="441">
        <f>D250-C250</f>
        <v>-1171606</v>
      </c>
      <c r="F250" s="449">
        <f>IF(C250=0,0,E250/C250)</f>
        <v>-0.25997253394037662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1641571.375571857</v>
      </c>
      <c r="D251" s="441">
        <f>LN_IH6*LN_III10</f>
        <v>1329378.7874298694</v>
      </c>
      <c r="E251" s="441">
        <f>D251-C251</f>
        <v>-312192.58814198757</v>
      </c>
      <c r="F251" s="449">
        <f>IF(C251=0,0,E251/C251)</f>
        <v>-0.19017911300581269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31263660</v>
      </c>
      <c r="D254" s="441">
        <f>LN_IF23</f>
        <v>32052250</v>
      </c>
      <c r="E254" s="441">
        <f>D254-C254</f>
        <v>788590</v>
      </c>
      <c r="F254" s="449">
        <f>IF(C254=0,0,E254/C254)</f>
        <v>2.5223854148874444E-2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9637836</v>
      </c>
      <c r="D255" s="441">
        <f>LN_IF24</f>
        <v>8694986</v>
      </c>
      <c r="E255" s="441">
        <f>D255-C255</f>
        <v>-942850</v>
      </c>
      <c r="F255" s="449">
        <f>IF(C255=0,0,E255/C255)</f>
        <v>-9.7827977151717455E-2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11387947.852122372</v>
      </c>
      <c r="D256" s="441">
        <f>LN_IH8*LN_III10</f>
        <v>12776306.072867649</v>
      </c>
      <c r="E256" s="441">
        <f>D256-C256</f>
        <v>1388358.2207452767</v>
      </c>
      <c r="F256" s="449">
        <f>IF(C256=0,0,E256/C256)</f>
        <v>0.12191469778170158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1750111.852122372</v>
      </c>
      <c r="D257" s="441">
        <f>LN_IH10-LN_IH9</f>
        <v>4081320.0728676487</v>
      </c>
      <c r="E257" s="441">
        <f>D257-C257</f>
        <v>2331208.2207452767</v>
      </c>
      <c r="F257" s="449">
        <f>IF(C257=0,0,E257/C257)</f>
        <v>1.3320338456757523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61453127</v>
      </c>
      <c r="D261" s="448">
        <f>LN_IA1+LN_IB1+LN_IF1+LN_IG1</f>
        <v>59163980</v>
      </c>
      <c r="E261" s="448">
        <f t="shared" ref="E261:E274" si="26">D261-C261</f>
        <v>-2289147</v>
      </c>
      <c r="F261" s="503">
        <f t="shared" ref="F261:F274" si="27">IF(C261=0,0,E261/C261)</f>
        <v>-3.725029321941583E-2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27371492</v>
      </c>
      <c r="D262" s="448">
        <f>+LN_IA2+LN_IB2+LN_IF2+LN_IG2</f>
        <v>25383004</v>
      </c>
      <c r="E262" s="448">
        <f t="shared" si="26"/>
        <v>-1988488</v>
      </c>
      <c r="F262" s="503">
        <f t="shared" si="27"/>
        <v>-7.2648140627482052E-2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0.44540438113100411</v>
      </c>
      <c r="D263" s="453">
        <f>IF(LN_IIA1=0,0,LN_IIA2/LN_IIA1)</f>
        <v>0.42902799980663908</v>
      </c>
      <c r="E263" s="454">
        <f t="shared" si="26"/>
        <v>-1.637638132436503E-2</v>
      </c>
      <c r="F263" s="458">
        <f t="shared" si="27"/>
        <v>-3.6767445535180632E-2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3191</v>
      </c>
      <c r="D264" s="456">
        <f>LN_IA4+LN_IB4+LN_IF4+LN_IG3</f>
        <v>3036</v>
      </c>
      <c r="E264" s="456">
        <f t="shared" si="26"/>
        <v>-155</v>
      </c>
      <c r="F264" s="503">
        <f t="shared" si="27"/>
        <v>-4.8574114697586962E-2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1.1182115324349735</v>
      </c>
      <c r="D265" s="525">
        <f>IF(LN_IIA4=0,0,LN_IIA6/LN_IIA4)</f>
        <v>1.1270036166007906</v>
      </c>
      <c r="E265" s="525">
        <f t="shared" si="26"/>
        <v>8.7920841658171156E-3</v>
      </c>
      <c r="F265" s="503">
        <f t="shared" si="27"/>
        <v>7.8626305585239482E-3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3568.2130000000002</v>
      </c>
      <c r="D266" s="463">
        <f>LN_IA6+LN_IB6+LN_IF6+LN_IG5</f>
        <v>3421.5829800000001</v>
      </c>
      <c r="E266" s="463">
        <f t="shared" si="26"/>
        <v>-146.63002000000006</v>
      </c>
      <c r="F266" s="503">
        <f t="shared" si="27"/>
        <v>-4.109340445763749E-2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109147635</v>
      </c>
      <c r="D267" s="448">
        <f>LN_IA11+LN_IB13+LN_IF14+LN_IG9</f>
        <v>112155339</v>
      </c>
      <c r="E267" s="448">
        <f t="shared" si="26"/>
        <v>3007704</v>
      </c>
      <c r="F267" s="503">
        <f t="shared" si="27"/>
        <v>2.755629107309563E-2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1.7761119788094755</v>
      </c>
      <c r="D268" s="453">
        <f>IF(LN_IIA1=0,0,LN_IIA7/LN_IIA1)</f>
        <v>1.8956692737709668</v>
      </c>
      <c r="E268" s="454">
        <f t="shared" si="26"/>
        <v>0.11955729496149137</v>
      </c>
      <c r="F268" s="458">
        <f t="shared" si="27"/>
        <v>6.7314052485378986E-2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39277360</v>
      </c>
      <c r="D269" s="448">
        <f>LN_IA12+LN_IB14+LN_IF15+LN_IG10</f>
        <v>40004730</v>
      </c>
      <c r="E269" s="448">
        <f t="shared" si="26"/>
        <v>727370</v>
      </c>
      <c r="F269" s="503">
        <f t="shared" si="27"/>
        <v>1.8518810836573536E-2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0.35985534638473843</v>
      </c>
      <c r="D270" s="453">
        <f>IF(LN_IIA7=0,0,LN_IIA9/LN_IIA7)</f>
        <v>0.35669037565835365</v>
      </c>
      <c r="E270" s="454">
        <f t="shared" si="26"/>
        <v>-3.1649707263847748E-3</v>
      </c>
      <c r="F270" s="458">
        <f t="shared" si="27"/>
        <v>-8.7951193672163881E-3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170600762</v>
      </c>
      <c r="D271" s="441">
        <f>LN_IIA1+LN_IIA7</f>
        <v>171319319</v>
      </c>
      <c r="E271" s="441">
        <f t="shared" si="26"/>
        <v>718557</v>
      </c>
      <c r="F271" s="503">
        <f t="shared" si="27"/>
        <v>4.2119213981002034E-3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66648852</v>
      </c>
      <c r="D272" s="441">
        <f>LN_IIA2+LN_IIA9</f>
        <v>65387734</v>
      </c>
      <c r="E272" s="441">
        <f t="shared" si="26"/>
        <v>-1261118</v>
      </c>
      <c r="F272" s="503">
        <f t="shared" si="27"/>
        <v>-1.8921826290421325E-2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0.39067147894685256</v>
      </c>
      <c r="D273" s="453">
        <f>IF(LN_IIA11=0,0,LN_IIA12/LN_IIA11)</f>
        <v>0.38167168992774247</v>
      </c>
      <c r="E273" s="454">
        <f t="shared" si="26"/>
        <v>-8.9997890191100827E-3</v>
      </c>
      <c r="F273" s="458">
        <f t="shared" si="27"/>
        <v>-2.3036718839499478E-2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16270</v>
      </c>
      <c r="D274" s="508">
        <f>LN_IA8+LN_IB10+LN_IF11+LN_IG6</f>
        <v>15091</v>
      </c>
      <c r="E274" s="528">
        <f t="shared" si="26"/>
        <v>-1179</v>
      </c>
      <c r="F274" s="458">
        <f t="shared" si="27"/>
        <v>-7.2464658881376764E-2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48668802</v>
      </c>
      <c r="D277" s="448">
        <f>LN_IA1+LN_IF1+LN_IG1</f>
        <v>46146753</v>
      </c>
      <c r="E277" s="448">
        <f t="shared" ref="E277:E291" si="28">D277-C277</f>
        <v>-2522049</v>
      </c>
      <c r="F277" s="503">
        <f t="shared" ref="F277:F291" si="29">IF(C277=0,0,E277/C277)</f>
        <v>-5.182065093774036E-2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19465416</v>
      </c>
      <c r="D278" s="448">
        <f>LN_IA2+LN_IF2+LN_IG2</f>
        <v>17095470</v>
      </c>
      <c r="E278" s="448">
        <f t="shared" si="28"/>
        <v>-2369946</v>
      </c>
      <c r="F278" s="503">
        <f t="shared" si="29"/>
        <v>-0.12175162349471494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0.39995675258248603</v>
      </c>
      <c r="D279" s="453">
        <f>IF(D277=0,0,LN_IIB2/D277)</f>
        <v>0.37045878395821263</v>
      </c>
      <c r="E279" s="454">
        <f t="shared" si="28"/>
        <v>-2.9497968624273396E-2</v>
      </c>
      <c r="F279" s="458">
        <f t="shared" si="29"/>
        <v>-7.375289561635745E-2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2276</v>
      </c>
      <c r="D280" s="456">
        <f>LN_IA4+LN_IF4+LN_IG3</f>
        <v>2205</v>
      </c>
      <c r="E280" s="456">
        <f t="shared" si="28"/>
        <v>-71</v>
      </c>
      <c r="F280" s="503">
        <f t="shared" si="29"/>
        <v>-3.1195079086115993E-2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1.1619962653778559</v>
      </c>
      <c r="D281" s="525">
        <f>IF(LN_IIB4=0,0,LN_IIB6/LN_IIB4)</f>
        <v>1.1654081088435375</v>
      </c>
      <c r="E281" s="525">
        <f t="shared" si="28"/>
        <v>3.4118434656815744E-3</v>
      </c>
      <c r="F281" s="503">
        <f t="shared" si="29"/>
        <v>2.9361914210387905E-3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2644.7035000000001</v>
      </c>
      <c r="D282" s="463">
        <f>LN_IA6+LN_IF6+LN_IG5</f>
        <v>2569.7248800000002</v>
      </c>
      <c r="E282" s="463">
        <f t="shared" si="28"/>
        <v>-74.978619999999864</v>
      </c>
      <c r="F282" s="503">
        <f t="shared" si="29"/>
        <v>-2.8350482388668469E-2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62624008</v>
      </c>
      <c r="D283" s="448">
        <f>LN_IA11+LN_IF14+LN_IG9</f>
        <v>66051433</v>
      </c>
      <c r="E283" s="448">
        <f t="shared" si="28"/>
        <v>3427425</v>
      </c>
      <c r="F283" s="503">
        <f t="shared" si="29"/>
        <v>5.4730208261342839E-2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1.2867382270884744</v>
      </c>
      <c r="D284" s="453">
        <f>IF(D277=0,0,LN_IIB7/D277)</f>
        <v>1.4313343562872127</v>
      </c>
      <c r="E284" s="454">
        <f t="shared" si="28"/>
        <v>0.14459612919873832</v>
      </c>
      <c r="F284" s="458">
        <f t="shared" si="29"/>
        <v>0.11237416139094474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15183357</v>
      </c>
      <c r="D285" s="448">
        <f>LN_IA12+LN_IF15+LN_IG10</f>
        <v>15151840</v>
      </c>
      <c r="E285" s="448">
        <f t="shared" si="28"/>
        <v>-31517</v>
      </c>
      <c r="F285" s="503">
        <f t="shared" si="29"/>
        <v>-2.0757596623724251E-3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0.24245265489874107</v>
      </c>
      <c r="D286" s="453">
        <f>IF(LN_IIB7=0,0,LN_IIB9/LN_IIB7)</f>
        <v>0.2293945689263093</v>
      </c>
      <c r="E286" s="454">
        <f t="shared" si="28"/>
        <v>-1.3058085972431771E-2</v>
      </c>
      <c r="F286" s="458">
        <f t="shared" si="29"/>
        <v>-5.3858292365927707E-2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111292810</v>
      </c>
      <c r="D287" s="441">
        <f>D277+LN_IIB7</f>
        <v>112198186</v>
      </c>
      <c r="E287" s="441">
        <f t="shared" si="28"/>
        <v>905376</v>
      </c>
      <c r="F287" s="503">
        <f t="shared" si="29"/>
        <v>8.1350807837451498E-3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34648773</v>
      </c>
      <c r="D288" s="441">
        <f>LN_IIB2+LN_IIB9</f>
        <v>32247310</v>
      </c>
      <c r="E288" s="441">
        <f t="shared" si="28"/>
        <v>-2401463</v>
      </c>
      <c r="F288" s="503">
        <f t="shared" si="29"/>
        <v>-6.9308745795991097E-2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0.31132984242198575</v>
      </c>
      <c r="D289" s="453">
        <f>IF(LN_IIB11=0,0,LN_IIB12/LN_IIB11)</f>
        <v>0.28741382681534622</v>
      </c>
      <c r="E289" s="454">
        <f t="shared" si="28"/>
        <v>-2.3916015606639529E-2</v>
      </c>
      <c r="F289" s="458">
        <f t="shared" si="29"/>
        <v>-7.6818898633633226E-2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12613</v>
      </c>
      <c r="D290" s="508">
        <f>LN_IA8+LN_IF11+LN_IG6</f>
        <v>11631</v>
      </c>
      <c r="E290" s="528">
        <f t="shared" si="28"/>
        <v>-982</v>
      </c>
      <c r="F290" s="458">
        <f t="shared" si="29"/>
        <v>-7.7856180131610248E-2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76644037</v>
      </c>
      <c r="D291" s="516">
        <f>LN_IIB11-LN_IIB12</f>
        <v>79950876</v>
      </c>
      <c r="E291" s="441">
        <f t="shared" si="28"/>
        <v>3306839</v>
      </c>
      <c r="F291" s="503">
        <f t="shared" si="29"/>
        <v>4.3145417822915567E-2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5.819859961807766</v>
      </c>
      <c r="D294" s="466">
        <f>IF(LN_IA4=0,0,LN_IA8/LN_IA4)</f>
        <v>5.6032498307379823</v>
      </c>
      <c r="E294" s="466">
        <f t="shared" ref="E294:E300" si="30">D294-C294</f>
        <v>-0.21661013106978366</v>
      </c>
      <c r="F294" s="503">
        <f t="shared" ref="F294:F300" si="31">IF(C294=0,0,E294/C294)</f>
        <v>-3.7219131128801285E-2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3.9967213114754099</v>
      </c>
      <c r="D295" s="466">
        <f>IF(LN_IB4=0,0,(LN_IB10)/(LN_IB4))</f>
        <v>4.1636582430806257</v>
      </c>
      <c r="E295" s="466">
        <f t="shared" si="30"/>
        <v>0.16693693160521583</v>
      </c>
      <c r="F295" s="503">
        <f t="shared" si="31"/>
        <v>4.1768469351592147E-2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4.0238095238095237</v>
      </c>
      <c r="D296" s="466">
        <f>IF(LN_IC4=0,0,LN_IC11/LN_IC4)</f>
        <v>5.8461538461538458</v>
      </c>
      <c r="E296" s="466">
        <f t="shared" si="30"/>
        <v>1.8223443223443221</v>
      </c>
      <c r="F296" s="503">
        <f t="shared" si="31"/>
        <v>0.45289030496131083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4.9471365638766516</v>
      </c>
      <c r="D297" s="466">
        <f>IF(LN_ID4=0,0,LN_ID11/LN_ID4)</f>
        <v>4.5280235988200586</v>
      </c>
      <c r="E297" s="466">
        <f t="shared" si="30"/>
        <v>-0.41911296505659301</v>
      </c>
      <c r="F297" s="503">
        <f t="shared" si="31"/>
        <v>-8.4718293025687105E-2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4.208333333333333</v>
      </c>
      <c r="D299" s="466">
        <f>IF(LN_IG3=0,0,LN_IG6/LN_IG3)</f>
        <v>5.7</v>
      </c>
      <c r="E299" s="466">
        <f t="shared" si="30"/>
        <v>1.4916666666666671</v>
      </c>
      <c r="F299" s="503">
        <f t="shared" si="31"/>
        <v>0.3544554455445546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5.0987151363209025</v>
      </c>
      <c r="D300" s="466">
        <f>IF(LN_IIA4=0,0,LN_IIA14/LN_IIA4)</f>
        <v>4.9706851119894599</v>
      </c>
      <c r="E300" s="466">
        <f t="shared" si="30"/>
        <v>-0.1280300243314425</v>
      </c>
      <c r="F300" s="503">
        <f t="shared" si="31"/>
        <v>-2.5110252467217764E-2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170600762</v>
      </c>
      <c r="D304" s="441">
        <f>LN_IIA11</f>
        <v>171319319</v>
      </c>
      <c r="E304" s="441">
        <f t="shared" ref="E304:E316" si="32">D304-C304</f>
        <v>718557</v>
      </c>
      <c r="F304" s="449">
        <f>IF(C304=0,0,E304/C304)</f>
        <v>4.2119213981002034E-3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76644037</v>
      </c>
      <c r="D305" s="441">
        <f>LN_IIB14</f>
        <v>79950876</v>
      </c>
      <c r="E305" s="441">
        <f t="shared" si="32"/>
        <v>3306839</v>
      </c>
      <c r="F305" s="449">
        <f>IF(C305=0,0,E305/C305)</f>
        <v>4.3145417822915567E-2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4506653</v>
      </c>
      <c r="D306" s="441">
        <f>LN_IH6</f>
        <v>3335047</v>
      </c>
      <c r="E306" s="441">
        <f t="shared" si="32"/>
        <v>-1171606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27307873</v>
      </c>
      <c r="D307" s="441">
        <f>LN_IB32-LN_IB33</f>
        <v>19744023</v>
      </c>
      <c r="E307" s="441">
        <f t="shared" si="32"/>
        <v>-7563850</v>
      </c>
      <c r="F307" s="449">
        <f t="shared" ref="F307:F316" si="33">IF(C307=0,0,E307/C307)</f>
        <v>-0.27698422356072916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108458563</v>
      </c>
      <c r="D309" s="441">
        <f>LN_III2+LN_III3+LN_III4+LN_III5</f>
        <v>103029946</v>
      </c>
      <c r="E309" s="441">
        <f t="shared" si="32"/>
        <v>-5428617</v>
      </c>
      <c r="F309" s="449">
        <f t="shared" si="33"/>
        <v>-5.0052451828999429E-2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62142199</v>
      </c>
      <c r="D310" s="441">
        <f>LN_III1-LN_III6</f>
        <v>68289373</v>
      </c>
      <c r="E310" s="441">
        <f t="shared" si="32"/>
        <v>6147174</v>
      </c>
      <c r="F310" s="449">
        <f t="shared" si="33"/>
        <v>9.8921089033234891E-2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62142199</v>
      </c>
      <c r="D312" s="441">
        <f>LN_III7+LN_III8</f>
        <v>68289373</v>
      </c>
      <c r="E312" s="441">
        <f t="shared" si="32"/>
        <v>6147174</v>
      </c>
      <c r="F312" s="449">
        <f t="shared" si="33"/>
        <v>9.8921089033234891E-2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0.36425510807507411</v>
      </c>
      <c r="D313" s="532">
        <f>IF(LN_III1=0,0,LN_III9/LN_III1)</f>
        <v>0.39860871149038363</v>
      </c>
      <c r="E313" s="532">
        <f t="shared" si="32"/>
        <v>3.4353603415309519E-2</v>
      </c>
      <c r="F313" s="449">
        <f t="shared" si="33"/>
        <v>9.4311933185653868E-2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1641571.375571857</v>
      </c>
      <c r="D314" s="441">
        <f>D313*LN_III5</f>
        <v>1329378.7874298694</v>
      </c>
      <c r="E314" s="441">
        <f t="shared" si="32"/>
        <v>-312192.58814198757</v>
      </c>
      <c r="F314" s="449">
        <f t="shared" si="33"/>
        <v>-0.19017911300581269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1750111.852122372</v>
      </c>
      <c r="D315" s="441">
        <f>D313*LN_IH8-LN_IH9</f>
        <v>4081320.0728676487</v>
      </c>
      <c r="E315" s="441">
        <f t="shared" si="32"/>
        <v>2331208.2207452767</v>
      </c>
      <c r="F315" s="449">
        <f t="shared" si="33"/>
        <v>1.3320338456757523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3391683.2276942292</v>
      </c>
      <c r="D318" s="441">
        <f>D314+D315+D316</f>
        <v>5410698.8602975179</v>
      </c>
      <c r="E318" s="441">
        <f>D318-C318</f>
        <v>2019015.6326032886</v>
      </c>
      <c r="F318" s="449">
        <f>IF(C318=0,0,E318/C318)</f>
        <v>0.59528425771526949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3871204.2082552994</v>
      </c>
      <c r="D322" s="441">
        <f>LN_ID22</f>
        <v>3309547.878905612</v>
      </c>
      <c r="E322" s="441">
        <f>LN_IV2-C322</f>
        <v>-561656.32934968732</v>
      </c>
      <c r="F322" s="449">
        <f>IF(C322=0,0,E322/C322)</f>
        <v>-0.14508568887995149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942461.702760546</v>
      </c>
      <c r="D324" s="441">
        <f>LN_IC10+LN_IC22</f>
        <v>573615.32518561103</v>
      </c>
      <c r="E324" s="441">
        <f>LN_IV1-C324</f>
        <v>-368846.37757493497</v>
      </c>
      <c r="F324" s="449">
        <f>IF(C324=0,0,E324/C324)</f>
        <v>-0.3913648443162776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4813665.9110158458</v>
      </c>
      <c r="D325" s="516">
        <f>LN_IV1+LN_IV2+LN_IV3</f>
        <v>3883163.204091223</v>
      </c>
      <c r="E325" s="441">
        <f>LN_IV4-C325</f>
        <v>-930502.70692462288</v>
      </c>
      <c r="F325" s="449">
        <f>IF(C325=0,0,E325/C325)</f>
        <v>-0.19330438051282528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0</v>
      </c>
      <c r="D330" s="516">
        <v>0</v>
      </c>
      <c r="E330" s="518">
        <f t="shared" si="34"/>
        <v>0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66648825</v>
      </c>
      <c r="D331" s="516">
        <v>65387734</v>
      </c>
      <c r="E331" s="518">
        <f t="shared" si="34"/>
        <v>-1261091</v>
      </c>
      <c r="F331" s="542">
        <f t="shared" si="35"/>
        <v>-1.8921428847395283E-2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170600764</v>
      </c>
      <c r="D333" s="516">
        <v>171319321</v>
      </c>
      <c r="E333" s="518">
        <f t="shared" si="34"/>
        <v>718557</v>
      </c>
      <c r="F333" s="542">
        <f t="shared" si="35"/>
        <v>4.2119213487226822E-3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4506653</v>
      </c>
      <c r="D335" s="516">
        <v>3335047</v>
      </c>
      <c r="E335" s="516">
        <f t="shared" si="34"/>
        <v>-1171606</v>
      </c>
      <c r="F335" s="542">
        <f t="shared" si="35"/>
        <v>-0.25997253394037662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FILING&amp;RJOHNSON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12784325</v>
      </c>
      <c r="D14" s="589">
        <v>13017227</v>
      </c>
      <c r="E14" s="590">
        <f t="shared" ref="E14:E22" si="0">D14-C14</f>
        <v>232902</v>
      </c>
    </row>
    <row r="15" spans="1:5" s="421" customFormat="1" x14ac:dyDescent="0.2">
      <c r="A15" s="588">
        <v>2</v>
      </c>
      <c r="B15" s="587" t="s">
        <v>637</v>
      </c>
      <c r="C15" s="589">
        <v>37794769</v>
      </c>
      <c r="D15" s="591">
        <v>35193711</v>
      </c>
      <c r="E15" s="590">
        <f t="shared" si="0"/>
        <v>-2601058</v>
      </c>
    </row>
    <row r="16" spans="1:5" s="421" customFormat="1" x14ac:dyDescent="0.2">
      <c r="A16" s="588">
        <v>3</v>
      </c>
      <c r="B16" s="587" t="s">
        <v>779</v>
      </c>
      <c r="C16" s="589">
        <v>10503345</v>
      </c>
      <c r="D16" s="591">
        <v>10212033</v>
      </c>
      <c r="E16" s="590">
        <f t="shared" si="0"/>
        <v>-291312</v>
      </c>
    </row>
    <row r="17" spans="1:5" s="421" customFormat="1" x14ac:dyDescent="0.2">
      <c r="A17" s="588">
        <v>4</v>
      </c>
      <c r="B17" s="587" t="s">
        <v>115</v>
      </c>
      <c r="C17" s="589">
        <v>10503345</v>
      </c>
      <c r="D17" s="591">
        <v>10212033</v>
      </c>
      <c r="E17" s="590">
        <f t="shared" si="0"/>
        <v>-291312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370688</v>
      </c>
      <c r="D19" s="591">
        <v>741009</v>
      </c>
      <c r="E19" s="590">
        <f t="shared" si="0"/>
        <v>370321</v>
      </c>
    </row>
    <row r="20" spans="1:5" s="421" customFormat="1" x14ac:dyDescent="0.2">
      <c r="A20" s="588">
        <v>7</v>
      </c>
      <c r="B20" s="587" t="s">
        <v>760</v>
      </c>
      <c r="C20" s="589">
        <v>546866</v>
      </c>
      <c r="D20" s="591">
        <v>706618</v>
      </c>
      <c r="E20" s="590">
        <f t="shared" si="0"/>
        <v>159752</v>
      </c>
    </row>
    <row r="21" spans="1:5" s="421" customFormat="1" x14ac:dyDescent="0.2">
      <c r="A21" s="588"/>
      <c r="B21" s="592" t="s">
        <v>780</v>
      </c>
      <c r="C21" s="593">
        <f>SUM(C15+C16+C19)</f>
        <v>48668802</v>
      </c>
      <c r="D21" s="593">
        <f>SUM(D15+D16+D19)</f>
        <v>46146753</v>
      </c>
      <c r="E21" s="593">
        <f t="shared" si="0"/>
        <v>-2522049</v>
      </c>
    </row>
    <row r="22" spans="1:5" s="421" customFormat="1" x14ac:dyDescent="0.2">
      <c r="A22" s="588"/>
      <c r="B22" s="592" t="s">
        <v>465</v>
      </c>
      <c r="C22" s="593">
        <f>SUM(C14+C21)</f>
        <v>61453127</v>
      </c>
      <c r="D22" s="593">
        <f>SUM(D14+D21)</f>
        <v>59163980</v>
      </c>
      <c r="E22" s="593">
        <f t="shared" si="0"/>
        <v>-2289147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46523627</v>
      </c>
      <c r="D25" s="589">
        <v>46103906</v>
      </c>
      <c r="E25" s="590">
        <f t="shared" ref="E25:E33" si="1">D25-C25</f>
        <v>-419721</v>
      </c>
    </row>
    <row r="26" spans="1:5" s="421" customFormat="1" x14ac:dyDescent="0.2">
      <c r="A26" s="588">
        <v>2</v>
      </c>
      <c r="B26" s="587" t="s">
        <v>637</v>
      </c>
      <c r="C26" s="589">
        <v>41270055</v>
      </c>
      <c r="D26" s="591">
        <v>43468093</v>
      </c>
      <c r="E26" s="590">
        <f t="shared" si="1"/>
        <v>2198038</v>
      </c>
    </row>
    <row r="27" spans="1:5" s="421" customFormat="1" x14ac:dyDescent="0.2">
      <c r="A27" s="588">
        <v>3</v>
      </c>
      <c r="B27" s="587" t="s">
        <v>779</v>
      </c>
      <c r="C27" s="589">
        <v>20760315</v>
      </c>
      <c r="D27" s="591">
        <v>21840217</v>
      </c>
      <c r="E27" s="590">
        <f t="shared" si="1"/>
        <v>1079902</v>
      </c>
    </row>
    <row r="28" spans="1:5" s="421" customFormat="1" x14ac:dyDescent="0.2">
      <c r="A28" s="588">
        <v>4</v>
      </c>
      <c r="B28" s="587" t="s">
        <v>115</v>
      </c>
      <c r="C28" s="589">
        <v>20760315</v>
      </c>
      <c r="D28" s="591">
        <v>21840217</v>
      </c>
      <c r="E28" s="590">
        <f t="shared" si="1"/>
        <v>1079902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593638</v>
      </c>
      <c r="D30" s="591">
        <v>743123</v>
      </c>
      <c r="E30" s="590">
        <f t="shared" si="1"/>
        <v>149485</v>
      </c>
    </row>
    <row r="31" spans="1:5" s="421" customFormat="1" x14ac:dyDescent="0.2">
      <c r="A31" s="588">
        <v>7</v>
      </c>
      <c r="B31" s="587" t="s">
        <v>760</v>
      </c>
      <c r="C31" s="590">
        <v>1966567</v>
      </c>
      <c r="D31" s="594">
        <v>1457778</v>
      </c>
      <c r="E31" s="590">
        <f t="shared" si="1"/>
        <v>-508789</v>
      </c>
    </row>
    <row r="32" spans="1:5" s="421" customFormat="1" x14ac:dyDescent="0.2">
      <c r="A32" s="588"/>
      <c r="B32" s="592" t="s">
        <v>782</v>
      </c>
      <c r="C32" s="593">
        <f>SUM(C26+C27+C30)</f>
        <v>62624008</v>
      </c>
      <c r="D32" s="593">
        <f>SUM(D26+D27+D30)</f>
        <v>66051433</v>
      </c>
      <c r="E32" s="593">
        <f t="shared" si="1"/>
        <v>3427425</v>
      </c>
    </row>
    <row r="33" spans="1:5" s="421" customFormat="1" x14ac:dyDescent="0.2">
      <c r="A33" s="588"/>
      <c r="B33" s="592" t="s">
        <v>467</v>
      </c>
      <c r="C33" s="593">
        <f>SUM(C25+C32)</f>
        <v>109147635</v>
      </c>
      <c r="D33" s="593">
        <f>SUM(D25+D32)</f>
        <v>112155339</v>
      </c>
      <c r="E33" s="593">
        <f t="shared" si="1"/>
        <v>3007704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59307952</v>
      </c>
      <c r="D36" s="590">
        <f t="shared" si="2"/>
        <v>59121133</v>
      </c>
      <c r="E36" s="590">
        <f t="shared" ref="E36:E44" si="3">D36-C36</f>
        <v>-186819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79064824</v>
      </c>
      <c r="D37" s="590">
        <f t="shared" si="2"/>
        <v>78661804</v>
      </c>
      <c r="E37" s="590">
        <f t="shared" si="3"/>
        <v>-403020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31263660</v>
      </c>
      <c r="D38" s="590">
        <f t="shared" si="2"/>
        <v>32052250</v>
      </c>
      <c r="E38" s="590">
        <f t="shared" si="3"/>
        <v>788590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31263660</v>
      </c>
      <c r="D39" s="590">
        <f t="shared" si="2"/>
        <v>32052250</v>
      </c>
      <c r="E39" s="590">
        <f t="shared" si="3"/>
        <v>788590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964326</v>
      </c>
      <c r="D41" s="590">
        <f t="shared" si="2"/>
        <v>1484132</v>
      </c>
      <c r="E41" s="590">
        <f t="shared" si="3"/>
        <v>519806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2513433</v>
      </c>
      <c r="D42" s="590">
        <f t="shared" si="2"/>
        <v>2164396</v>
      </c>
      <c r="E42" s="590">
        <f t="shared" si="3"/>
        <v>-349037</v>
      </c>
    </row>
    <row r="43" spans="1:5" s="421" customFormat="1" x14ac:dyDescent="0.2">
      <c r="A43" s="588"/>
      <c r="B43" s="592" t="s">
        <v>790</v>
      </c>
      <c r="C43" s="593">
        <f>SUM(C37+C38+C41)</f>
        <v>111292810</v>
      </c>
      <c r="D43" s="593">
        <f>SUM(D37+D38+D41)</f>
        <v>112198186</v>
      </c>
      <c r="E43" s="593">
        <f t="shared" si="3"/>
        <v>905376</v>
      </c>
    </row>
    <row r="44" spans="1:5" s="421" customFormat="1" x14ac:dyDescent="0.2">
      <c r="A44" s="588"/>
      <c r="B44" s="592" t="s">
        <v>727</v>
      </c>
      <c r="C44" s="593">
        <f>SUM(C36+C43)</f>
        <v>170600762</v>
      </c>
      <c r="D44" s="593">
        <f>SUM(D36+D43)</f>
        <v>171319319</v>
      </c>
      <c r="E44" s="593">
        <f t="shared" si="3"/>
        <v>718557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7906076</v>
      </c>
      <c r="D47" s="589">
        <v>8287534</v>
      </c>
      <c r="E47" s="590">
        <f t="shared" ref="E47:E55" si="4">D47-C47</f>
        <v>381458</v>
      </c>
    </row>
    <row r="48" spans="1:5" s="421" customFormat="1" x14ac:dyDescent="0.2">
      <c r="A48" s="588">
        <v>2</v>
      </c>
      <c r="B48" s="587" t="s">
        <v>637</v>
      </c>
      <c r="C48" s="589">
        <v>14097531</v>
      </c>
      <c r="D48" s="591">
        <v>12879364</v>
      </c>
      <c r="E48" s="590">
        <f t="shared" si="4"/>
        <v>-1218167</v>
      </c>
    </row>
    <row r="49" spans="1:5" s="421" customFormat="1" x14ac:dyDescent="0.2">
      <c r="A49" s="588">
        <v>3</v>
      </c>
      <c r="B49" s="587" t="s">
        <v>779</v>
      </c>
      <c r="C49" s="589">
        <v>5211995</v>
      </c>
      <c r="D49" s="591">
        <v>3942846</v>
      </c>
      <c r="E49" s="590">
        <f t="shared" si="4"/>
        <v>-1269149</v>
      </c>
    </row>
    <row r="50" spans="1:5" s="421" customFormat="1" x14ac:dyDescent="0.2">
      <c r="A50" s="588">
        <v>4</v>
      </c>
      <c r="B50" s="587" t="s">
        <v>115</v>
      </c>
      <c r="C50" s="589">
        <v>5211995</v>
      </c>
      <c r="D50" s="591">
        <v>3942846</v>
      </c>
      <c r="E50" s="590">
        <f t="shared" si="4"/>
        <v>-1269149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155890</v>
      </c>
      <c r="D52" s="591">
        <v>273260</v>
      </c>
      <c r="E52" s="590">
        <f t="shared" si="4"/>
        <v>117370</v>
      </c>
    </row>
    <row r="53" spans="1:5" s="421" customFormat="1" x14ac:dyDescent="0.2">
      <c r="A53" s="588">
        <v>7</v>
      </c>
      <c r="B53" s="587" t="s">
        <v>760</v>
      </c>
      <c r="C53" s="589">
        <v>5904</v>
      </c>
      <c r="D53" s="591">
        <v>13345</v>
      </c>
      <c r="E53" s="590">
        <f t="shared" si="4"/>
        <v>7441</v>
      </c>
    </row>
    <row r="54" spans="1:5" s="421" customFormat="1" x14ac:dyDescent="0.2">
      <c r="A54" s="588"/>
      <c r="B54" s="592" t="s">
        <v>792</v>
      </c>
      <c r="C54" s="593">
        <f>SUM(C48+C49+C52)</f>
        <v>19465416</v>
      </c>
      <c r="D54" s="593">
        <f>SUM(D48+D49+D52)</f>
        <v>17095470</v>
      </c>
      <c r="E54" s="593">
        <f t="shared" si="4"/>
        <v>-2369946</v>
      </c>
    </row>
    <row r="55" spans="1:5" s="421" customFormat="1" x14ac:dyDescent="0.2">
      <c r="A55" s="588"/>
      <c r="B55" s="592" t="s">
        <v>466</v>
      </c>
      <c r="C55" s="593">
        <f>SUM(C47+C54)</f>
        <v>27371492</v>
      </c>
      <c r="D55" s="593">
        <f>SUM(D47+D54)</f>
        <v>25383004</v>
      </c>
      <c r="E55" s="593">
        <f t="shared" si="4"/>
        <v>-1988488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24094003</v>
      </c>
      <c r="D58" s="589">
        <v>24852890</v>
      </c>
      <c r="E58" s="590">
        <f t="shared" ref="E58:E66" si="5">D58-C58</f>
        <v>758887</v>
      </c>
    </row>
    <row r="59" spans="1:5" s="421" customFormat="1" x14ac:dyDescent="0.2">
      <c r="A59" s="588">
        <v>2</v>
      </c>
      <c r="B59" s="587" t="s">
        <v>637</v>
      </c>
      <c r="C59" s="589">
        <v>10574250</v>
      </c>
      <c r="D59" s="591">
        <v>10142326</v>
      </c>
      <c r="E59" s="590">
        <f t="shared" si="5"/>
        <v>-431924</v>
      </c>
    </row>
    <row r="60" spans="1:5" s="421" customFormat="1" x14ac:dyDescent="0.2">
      <c r="A60" s="588">
        <v>3</v>
      </c>
      <c r="B60" s="587" t="s">
        <v>779</v>
      </c>
      <c r="C60" s="589">
        <f>C61+C62</f>
        <v>4425841</v>
      </c>
      <c r="D60" s="591">
        <f>D61+D62</f>
        <v>4752140</v>
      </c>
      <c r="E60" s="590">
        <f t="shared" si="5"/>
        <v>326299</v>
      </c>
    </row>
    <row r="61" spans="1:5" s="421" customFormat="1" x14ac:dyDescent="0.2">
      <c r="A61" s="588">
        <v>4</v>
      </c>
      <c r="B61" s="587" t="s">
        <v>115</v>
      </c>
      <c r="C61" s="589">
        <v>4425841</v>
      </c>
      <c r="D61" s="591">
        <v>4752140</v>
      </c>
      <c r="E61" s="590">
        <f t="shared" si="5"/>
        <v>326299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183266</v>
      </c>
      <c r="D63" s="591">
        <v>257374</v>
      </c>
      <c r="E63" s="590">
        <f t="shared" si="5"/>
        <v>74108</v>
      </c>
    </row>
    <row r="64" spans="1:5" s="421" customFormat="1" x14ac:dyDescent="0.2">
      <c r="A64" s="588">
        <v>7</v>
      </c>
      <c r="B64" s="587" t="s">
        <v>760</v>
      </c>
      <c r="C64" s="589">
        <v>284363</v>
      </c>
      <c r="D64" s="591">
        <v>112504</v>
      </c>
      <c r="E64" s="590">
        <f t="shared" si="5"/>
        <v>-171859</v>
      </c>
    </row>
    <row r="65" spans="1:5" s="421" customFormat="1" x14ac:dyDescent="0.2">
      <c r="A65" s="588"/>
      <c r="B65" s="592" t="s">
        <v>794</v>
      </c>
      <c r="C65" s="593">
        <f>SUM(C59+C60+C63)</f>
        <v>15183357</v>
      </c>
      <c r="D65" s="593">
        <f>SUM(D59+D60+D63)</f>
        <v>15151840</v>
      </c>
      <c r="E65" s="593">
        <f t="shared" si="5"/>
        <v>-31517</v>
      </c>
    </row>
    <row r="66" spans="1:5" s="421" customFormat="1" x14ac:dyDescent="0.2">
      <c r="A66" s="588"/>
      <c r="B66" s="592" t="s">
        <v>468</v>
      </c>
      <c r="C66" s="593">
        <f>SUM(C58+C65)</f>
        <v>39277360</v>
      </c>
      <c r="D66" s="593">
        <f>SUM(D58+D65)</f>
        <v>40004730</v>
      </c>
      <c r="E66" s="593">
        <f t="shared" si="5"/>
        <v>727370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32000079</v>
      </c>
      <c r="D69" s="590">
        <f t="shared" si="6"/>
        <v>33140424</v>
      </c>
      <c r="E69" s="590">
        <f t="shared" ref="E69:E77" si="7">D69-C69</f>
        <v>1140345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24671781</v>
      </c>
      <c r="D70" s="590">
        <f t="shared" si="6"/>
        <v>23021690</v>
      </c>
      <c r="E70" s="590">
        <f t="shared" si="7"/>
        <v>-1650091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9637836</v>
      </c>
      <c r="D71" s="590">
        <f t="shared" si="6"/>
        <v>8694986</v>
      </c>
      <c r="E71" s="590">
        <f t="shared" si="7"/>
        <v>-942850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9637836</v>
      </c>
      <c r="D72" s="590">
        <f t="shared" si="6"/>
        <v>8694986</v>
      </c>
      <c r="E72" s="590">
        <f t="shared" si="7"/>
        <v>-942850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339156</v>
      </c>
      <c r="D74" s="590">
        <f t="shared" si="6"/>
        <v>530634</v>
      </c>
      <c r="E74" s="590">
        <f t="shared" si="7"/>
        <v>191478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290267</v>
      </c>
      <c r="D75" s="590">
        <f t="shared" si="6"/>
        <v>125849</v>
      </c>
      <c r="E75" s="590">
        <f t="shared" si="7"/>
        <v>-164418</v>
      </c>
    </row>
    <row r="76" spans="1:5" s="421" customFormat="1" x14ac:dyDescent="0.2">
      <c r="A76" s="588"/>
      <c r="B76" s="592" t="s">
        <v>795</v>
      </c>
      <c r="C76" s="593">
        <f>SUM(C70+C71+C74)</f>
        <v>34648773</v>
      </c>
      <c r="D76" s="593">
        <f>SUM(D70+D71+D74)</f>
        <v>32247310</v>
      </c>
      <c r="E76" s="593">
        <f t="shared" si="7"/>
        <v>-2401463</v>
      </c>
    </row>
    <row r="77" spans="1:5" s="421" customFormat="1" x14ac:dyDescent="0.2">
      <c r="A77" s="588"/>
      <c r="B77" s="592" t="s">
        <v>728</v>
      </c>
      <c r="C77" s="593">
        <f>SUM(C69+C76)</f>
        <v>66648852</v>
      </c>
      <c r="D77" s="593">
        <f>SUM(D69+D76)</f>
        <v>65387734</v>
      </c>
      <c r="E77" s="593">
        <f t="shared" si="7"/>
        <v>-1261118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7.4937092016036835E-2</v>
      </c>
      <c r="D83" s="599">
        <f t="shared" si="8"/>
        <v>7.5982248096608418E-2</v>
      </c>
      <c r="E83" s="599">
        <f t="shared" ref="E83:E91" si="9">D83-C83</f>
        <v>1.0451560805715826E-3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0.22153927425013495</v>
      </c>
      <c r="D84" s="599">
        <f t="shared" si="8"/>
        <v>0.20542756768721454</v>
      </c>
      <c r="E84" s="599">
        <f t="shared" si="9"/>
        <v>-1.6111706562920408E-2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6.1566811759023676E-2</v>
      </c>
      <c r="D85" s="599">
        <f t="shared" si="8"/>
        <v>5.9608181141555902E-2</v>
      </c>
      <c r="E85" s="599">
        <f t="shared" si="9"/>
        <v>-1.9586306174677742E-3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6.1566811759023676E-2</v>
      </c>
      <c r="D86" s="599">
        <f t="shared" si="8"/>
        <v>5.9608181141555902E-2</v>
      </c>
      <c r="E86" s="599">
        <f t="shared" si="9"/>
        <v>-1.9586306174677742E-3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2.172839063872411E-3</v>
      </c>
      <c r="D88" s="599">
        <f t="shared" si="8"/>
        <v>4.3253090446851473E-3</v>
      </c>
      <c r="E88" s="599">
        <f t="shared" si="9"/>
        <v>2.1524699808127363E-3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3.2055308170311691E-3</v>
      </c>
      <c r="D89" s="599">
        <f t="shared" si="8"/>
        <v>4.1245669439066591E-3</v>
      </c>
      <c r="E89" s="599">
        <f t="shared" si="9"/>
        <v>9.1903612687548996E-4</v>
      </c>
    </row>
    <row r="90" spans="1:5" s="421" customFormat="1" x14ac:dyDescent="0.2">
      <c r="A90" s="588"/>
      <c r="B90" s="592" t="s">
        <v>798</v>
      </c>
      <c r="C90" s="600">
        <f>SUM(C84+C85+C88)</f>
        <v>0.28527892507303104</v>
      </c>
      <c r="D90" s="600">
        <f>SUM(D84+D85+D88)</f>
        <v>0.2693610578734556</v>
      </c>
      <c r="E90" s="601">
        <f t="shared" si="9"/>
        <v>-1.5917867199575442E-2</v>
      </c>
    </row>
    <row r="91" spans="1:5" s="421" customFormat="1" x14ac:dyDescent="0.2">
      <c r="A91" s="588"/>
      <c r="B91" s="592" t="s">
        <v>799</v>
      </c>
      <c r="C91" s="600">
        <f>SUM(C83+C90)</f>
        <v>0.36021601708906786</v>
      </c>
      <c r="D91" s="600">
        <f>SUM(D83+D90)</f>
        <v>0.34534330597006402</v>
      </c>
      <c r="E91" s="601">
        <f t="shared" si="9"/>
        <v>-1.4872711119003845E-2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0.27270468463675446</v>
      </c>
      <c r="D95" s="599">
        <f t="shared" si="10"/>
        <v>0.26911095764979082</v>
      </c>
      <c r="E95" s="599">
        <f t="shared" ref="E95:E103" si="11">D95-C95</f>
        <v>-3.5937269869636412E-3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0.24191014457485249</v>
      </c>
      <c r="D96" s="599">
        <f t="shared" si="10"/>
        <v>0.2537255766233813</v>
      </c>
      <c r="E96" s="599">
        <f t="shared" si="11"/>
        <v>1.1815432048528807E-2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0.12168946232491036</v>
      </c>
      <c r="D97" s="599">
        <f t="shared" si="10"/>
        <v>0.1274825111813572</v>
      </c>
      <c r="E97" s="599">
        <f t="shared" si="11"/>
        <v>5.7930488564468391E-3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0.12168946232491036</v>
      </c>
      <c r="D98" s="599">
        <f t="shared" si="10"/>
        <v>0.1274825111813572</v>
      </c>
      <c r="E98" s="599">
        <f t="shared" si="11"/>
        <v>5.7930488564468391E-3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3.4796913744148459E-3</v>
      </c>
      <c r="D100" s="599">
        <f t="shared" si="10"/>
        <v>4.3376485754067235E-3</v>
      </c>
      <c r="E100" s="599">
        <f t="shared" si="11"/>
        <v>8.5795720099187756E-4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1.1527304901486899E-2</v>
      </c>
      <c r="D101" s="599">
        <f t="shared" si="10"/>
        <v>8.5091279168579923E-3</v>
      </c>
      <c r="E101" s="599">
        <f t="shared" si="11"/>
        <v>-3.0181769846289071E-3</v>
      </c>
    </row>
    <row r="102" spans="1:5" s="421" customFormat="1" x14ac:dyDescent="0.2">
      <c r="A102" s="588"/>
      <c r="B102" s="592" t="s">
        <v>801</v>
      </c>
      <c r="C102" s="600">
        <f>SUM(C96+C97+C100)</f>
        <v>0.36707929827417768</v>
      </c>
      <c r="D102" s="600">
        <f>SUM(D96+D97+D100)</f>
        <v>0.38554573638014522</v>
      </c>
      <c r="E102" s="601">
        <f t="shared" si="11"/>
        <v>1.8466438105967542E-2</v>
      </c>
    </row>
    <row r="103" spans="1:5" s="421" customFormat="1" x14ac:dyDescent="0.2">
      <c r="A103" s="588"/>
      <c r="B103" s="592" t="s">
        <v>802</v>
      </c>
      <c r="C103" s="600">
        <f>SUM(C95+C102)</f>
        <v>0.63978398291093219</v>
      </c>
      <c r="D103" s="600">
        <f>SUM(D95+D102)</f>
        <v>0.65465669402993609</v>
      </c>
      <c r="E103" s="601">
        <f t="shared" si="11"/>
        <v>1.4872711119003901E-2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0.11862283839487588</v>
      </c>
      <c r="D109" s="599">
        <f t="shared" si="12"/>
        <v>0.12674447473588854</v>
      </c>
      <c r="E109" s="599">
        <f t="shared" ref="E109:E117" si="13">D109-C109</f>
        <v>8.1216363410126641E-3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0.21151948723737957</v>
      </c>
      <c r="D110" s="599">
        <f t="shared" si="12"/>
        <v>0.19696911350376509</v>
      </c>
      <c r="E110" s="599">
        <f t="shared" si="13"/>
        <v>-1.455037373361448E-2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7.82008218236077E-2</v>
      </c>
      <c r="D111" s="599">
        <f t="shared" si="12"/>
        <v>6.0299474516122553E-2</v>
      </c>
      <c r="E111" s="599">
        <f t="shared" si="13"/>
        <v>-1.7901347307485146E-2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7.82008218236077E-2</v>
      </c>
      <c r="D112" s="599">
        <f t="shared" si="12"/>
        <v>6.0299474516122553E-2</v>
      </c>
      <c r="E112" s="599">
        <f t="shared" si="13"/>
        <v>-1.7901347307485146E-2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2.3389750209050863E-3</v>
      </c>
      <c r="D114" s="599">
        <f t="shared" si="12"/>
        <v>4.1790712612857937E-3</v>
      </c>
      <c r="E114" s="599">
        <f t="shared" si="13"/>
        <v>1.8400962403807074E-3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8.8583671328652447E-5</v>
      </c>
      <c r="D115" s="599">
        <f t="shared" si="12"/>
        <v>2.0409026561464877E-4</v>
      </c>
      <c r="E115" s="599">
        <f t="shared" si="13"/>
        <v>1.1550659428599632E-4</v>
      </c>
    </row>
    <row r="116" spans="1:5" s="421" customFormat="1" x14ac:dyDescent="0.2">
      <c r="A116" s="588"/>
      <c r="B116" s="592" t="s">
        <v>798</v>
      </c>
      <c r="C116" s="600">
        <f>SUM(C110+C111+C114)</f>
        <v>0.29205928408189236</v>
      </c>
      <c r="D116" s="600">
        <f>SUM(D110+D111+D114)</f>
        <v>0.26144765928117342</v>
      </c>
      <c r="E116" s="601">
        <f t="shared" si="13"/>
        <v>-3.061162480071894E-2</v>
      </c>
    </row>
    <row r="117" spans="1:5" s="421" customFormat="1" x14ac:dyDescent="0.2">
      <c r="A117" s="588"/>
      <c r="B117" s="592" t="s">
        <v>799</v>
      </c>
      <c r="C117" s="600">
        <f>SUM(C109+C116)</f>
        <v>0.41068212247676822</v>
      </c>
      <c r="D117" s="600">
        <f>SUM(D109+D116)</f>
        <v>0.38819213401706198</v>
      </c>
      <c r="E117" s="601">
        <f t="shared" si="13"/>
        <v>-2.2489988459706234E-2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0.36150664680615952</v>
      </c>
      <c r="D121" s="599">
        <f t="shared" si="14"/>
        <v>0.3800848948214049</v>
      </c>
      <c r="E121" s="599">
        <f t="shared" ref="E121:E129" si="15">D121-C121</f>
        <v>1.857824801524538E-2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0.15865614609535961</v>
      </c>
      <c r="D122" s="599">
        <f t="shared" si="14"/>
        <v>0.15511052883404708</v>
      </c>
      <c r="E122" s="599">
        <f t="shared" si="15"/>
        <v>-3.5456172613125281E-3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6.6405359840256514E-2</v>
      </c>
      <c r="D123" s="599">
        <f t="shared" si="14"/>
        <v>7.2676321831247434E-2</v>
      </c>
      <c r="E123" s="599">
        <f t="shared" si="15"/>
        <v>6.2709619909909198E-3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6.6405359840256514E-2</v>
      </c>
      <c r="D124" s="599">
        <f t="shared" si="14"/>
        <v>7.2676321831247434E-2</v>
      </c>
      <c r="E124" s="599">
        <f t="shared" si="15"/>
        <v>6.2709619909909198E-3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2.7497247814561006E-3</v>
      </c>
      <c r="D126" s="599">
        <f t="shared" si="14"/>
        <v>3.9361204962386374E-3</v>
      </c>
      <c r="E126" s="599">
        <f t="shared" si="15"/>
        <v>1.1863957147825368E-3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4.2665851168749314E-3</v>
      </c>
      <c r="D127" s="599">
        <f t="shared" si="14"/>
        <v>1.7205673467748555E-3</v>
      </c>
      <c r="E127" s="599">
        <f t="shared" si="15"/>
        <v>-2.546017770100076E-3</v>
      </c>
    </row>
    <row r="128" spans="1:5" s="421" customFormat="1" x14ac:dyDescent="0.2">
      <c r="A128" s="588"/>
      <c r="B128" s="592" t="s">
        <v>801</v>
      </c>
      <c r="C128" s="600">
        <f>SUM(C122+C123+C126)</f>
        <v>0.22781123071707224</v>
      </c>
      <c r="D128" s="600">
        <f>SUM(D122+D123+D126)</f>
        <v>0.23172297116153318</v>
      </c>
      <c r="E128" s="601">
        <f t="shared" si="15"/>
        <v>3.9117404444609372E-3</v>
      </c>
    </row>
    <row r="129" spans="1:5" s="421" customFormat="1" x14ac:dyDescent="0.2">
      <c r="A129" s="588"/>
      <c r="B129" s="592" t="s">
        <v>802</v>
      </c>
      <c r="C129" s="600">
        <f>SUM(C121+C128)</f>
        <v>0.58931787752323173</v>
      </c>
      <c r="D129" s="600">
        <f>SUM(D121+D128)</f>
        <v>0.61180786598293802</v>
      </c>
      <c r="E129" s="601">
        <f t="shared" si="15"/>
        <v>2.2489988459706289E-2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915</v>
      </c>
      <c r="D137" s="606">
        <v>831</v>
      </c>
      <c r="E137" s="607">
        <f t="shared" ref="E137:E145" si="16">D137-C137</f>
        <v>-84</v>
      </c>
    </row>
    <row r="138" spans="1:5" s="421" customFormat="1" x14ac:dyDescent="0.2">
      <c r="A138" s="588">
        <v>2</v>
      </c>
      <c r="B138" s="587" t="s">
        <v>637</v>
      </c>
      <c r="C138" s="606">
        <v>1571</v>
      </c>
      <c r="D138" s="606">
        <v>1477</v>
      </c>
      <c r="E138" s="607">
        <f t="shared" si="16"/>
        <v>-94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681</v>
      </c>
      <c r="D139" s="606">
        <f>D140+D141</f>
        <v>678</v>
      </c>
      <c r="E139" s="607">
        <f t="shared" si="16"/>
        <v>-3</v>
      </c>
    </row>
    <row r="140" spans="1:5" s="421" customFormat="1" x14ac:dyDescent="0.2">
      <c r="A140" s="588">
        <v>4</v>
      </c>
      <c r="B140" s="587" t="s">
        <v>115</v>
      </c>
      <c r="C140" s="606">
        <v>681</v>
      </c>
      <c r="D140" s="606">
        <v>678</v>
      </c>
      <c r="E140" s="607">
        <f t="shared" si="16"/>
        <v>-3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24</v>
      </c>
      <c r="D142" s="606">
        <v>50</v>
      </c>
      <c r="E142" s="607">
        <f t="shared" si="16"/>
        <v>26</v>
      </c>
    </row>
    <row r="143" spans="1:5" s="421" customFormat="1" x14ac:dyDescent="0.2">
      <c r="A143" s="588">
        <v>7</v>
      </c>
      <c r="B143" s="587" t="s">
        <v>760</v>
      </c>
      <c r="C143" s="606">
        <v>42</v>
      </c>
      <c r="D143" s="606">
        <v>39</v>
      </c>
      <c r="E143" s="607">
        <f t="shared" si="16"/>
        <v>-3</v>
      </c>
    </row>
    <row r="144" spans="1:5" s="421" customFormat="1" x14ac:dyDescent="0.2">
      <c r="A144" s="588"/>
      <c r="B144" s="592" t="s">
        <v>809</v>
      </c>
      <c r="C144" s="608">
        <f>SUM(C138+C139+C142)</f>
        <v>2276</v>
      </c>
      <c r="D144" s="608">
        <f>SUM(D138+D139+D142)</f>
        <v>2205</v>
      </c>
      <c r="E144" s="609">
        <f t="shared" si="16"/>
        <v>-71</v>
      </c>
    </row>
    <row r="145" spans="1:5" s="421" customFormat="1" x14ac:dyDescent="0.2">
      <c r="A145" s="588"/>
      <c r="B145" s="592" t="s">
        <v>138</v>
      </c>
      <c r="C145" s="608">
        <f>SUM(C137+C144)</f>
        <v>3191</v>
      </c>
      <c r="D145" s="608">
        <f>SUM(D137+D144)</f>
        <v>3036</v>
      </c>
      <c r="E145" s="609">
        <f t="shared" si="16"/>
        <v>-155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3657</v>
      </c>
      <c r="D149" s="610">
        <v>3460</v>
      </c>
      <c r="E149" s="607">
        <f t="shared" ref="E149:E157" si="17">D149-C149</f>
        <v>-197</v>
      </c>
    </row>
    <row r="150" spans="1:5" s="421" customFormat="1" x14ac:dyDescent="0.2">
      <c r="A150" s="588">
        <v>2</v>
      </c>
      <c r="B150" s="587" t="s">
        <v>637</v>
      </c>
      <c r="C150" s="610">
        <v>9143</v>
      </c>
      <c r="D150" s="610">
        <v>8276</v>
      </c>
      <c r="E150" s="607">
        <f t="shared" si="17"/>
        <v>-867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3369</v>
      </c>
      <c r="D151" s="610">
        <f>D152+D153</f>
        <v>3070</v>
      </c>
      <c r="E151" s="607">
        <f t="shared" si="17"/>
        <v>-299</v>
      </c>
    </row>
    <row r="152" spans="1:5" s="421" customFormat="1" x14ac:dyDescent="0.2">
      <c r="A152" s="588">
        <v>4</v>
      </c>
      <c r="B152" s="587" t="s">
        <v>115</v>
      </c>
      <c r="C152" s="610">
        <v>3369</v>
      </c>
      <c r="D152" s="610">
        <v>3070</v>
      </c>
      <c r="E152" s="607">
        <f t="shared" si="17"/>
        <v>-299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101</v>
      </c>
      <c r="D154" s="610">
        <v>285</v>
      </c>
      <c r="E154" s="607">
        <f t="shared" si="17"/>
        <v>184</v>
      </c>
    </row>
    <row r="155" spans="1:5" s="421" customFormat="1" x14ac:dyDescent="0.2">
      <c r="A155" s="588">
        <v>7</v>
      </c>
      <c r="B155" s="587" t="s">
        <v>760</v>
      </c>
      <c r="C155" s="610">
        <v>169</v>
      </c>
      <c r="D155" s="610">
        <v>228</v>
      </c>
      <c r="E155" s="607">
        <f t="shared" si="17"/>
        <v>59</v>
      </c>
    </row>
    <row r="156" spans="1:5" s="421" customFormat="1" x14ac:dyDescent="0.2">
      <c r="A156" s="588"/>
      <c r="B156" s="592" t="s">
        <v>810</v>
      </c>
      <c r="C156" s="608">
        <f>SUM(C150+C151+C154)</f>
        <v>12613</v>
      </c>
      <c r="D156" s="608">
        <f>SUM(D150+D151+D154)</f>
        <v>11631</v>
      </c>
      <c r="E156" s="609">
        <f t="shared" si="17"/>
        <v>-982</v>
      </c>
    </row>
    <row r="157" spans="1:5" s="421" customFormat="1" x14ac:dyDescent="0.2">
      <c r="A157" s="588"/>
      <c r="B157" s="592" t="s">
        <v>140</v>
      </c>
      <c r="C157" s="608">
        <f>SUM(C149+C156)</f>
        <v>16270</v>
      </c>
      <c r="D157" s="608">
        <f>SUM(D149+D156)</f>
        <v>15091</v>
      </c>
      <c r="E157" s="609">
        <f t="shared" si="17"/>
        <v>-1179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3.9967213114754099</v>
      </c>
      <c r="D161" s="612">
        <f t="shared" si="18"/>
        <v>4.1636582430806257</v>
      </c>
      <c r="E161" s="613">
        <f t="shared" ref="E161:E169" si="19">D161-C161</f>
        <v>0.16693693160521583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5.819859961807766</v>
      </c>
      <c r="D162" s="612">
        <f t="shared" si="18"/>
        <v>5.6032498307379823</v>
      </c>
      <c r="E162" s="613">
        <f t="shared" si="19"/>
        <v>-0.21661013106978366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4.9471365638766516</v>
      </c>
      <c r="D163" s="612">
        <f t="shared" si="18"/>
        <v>4.5280235988200586</v>
      </c>
      <c r="E163" s="613">
        <f t="shared" si="19"/>
        <v>-0.41911296505659301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4.9471365638766516</v>
      </c>
      <c r="D164" s="612">
        <f t="shared" si="18"/>
        <v>4.5280235988200586</v>
      </c>
      <c r="E164" s="613">
        <f t="shared" si="19"/>
        <v>-0.41911296505659301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4.208333333333333</v>
      </c>
      <c r="D166" s="612">
        <f t="shared" si="18"/>
        <v>5.7</v>
      </c>
      <c r="E166" s="613">
        <f t="shared" si="19"/>
        <v>1.4916666666666671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4.0238095238095237</v>
      </c>
      <c r="D167" s="612">
        <f t="shared" si="18"/>
        <v>5.8461538461538458</v>
      </c>
      <c r="E167" s="613">
        <f t="shared" si="19"/>
        <v>1.8223443223443221</v>
      </c>
    </row>
    <row r="168" spans="1:5" s="421" customFormat="1" x14ac:dyDescent="0.2">
      <c r="A168" s="588"/>
      <c r="B168" s="592" t="s">
        <v>812</v>
      </c>
      <c r="C168" s="614">
        <f t="shared" si="18"/>
        <v>5.5417398945518457</v>
      </c>
      <c r="D168" s="614">
        <f t="shared" si="18"/>
        <v>5.2748299319727892</v>
      </c>
      <c r="E168" s="615">
        <f t="shared" si="19"/>
        <v>-0.26690996257905653</v>
      </c>
    </row>
    <row r="169" spans="1:5" s="421" customFormat="1" x14ac:dyDescent="0.2">
      <c r="A169" s="588"/>
      <c r="B169" s="592" t="s">
        <v>746</v>
      </c>
      <c r="C169" s="614">
        <f t="shared" si="18"/>
        <v>5.0987151363209025</v>
      </c>
      <c r="D169" s="614">
        <f t="shared" si="18"/>
        <v>4.9706851119894599</v>
      </c>
      <c r="E169" s="615">
        <f t="shared" si="19"/>
        <v>-0.1280300243314425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1.0093000000000001</v>
      </c>
      <c r="D173" s="617">
        <f t="shared" si="20"/>
        <v>1.0250999999999999</v>
      </c>
      <c r="E173" s="618">
        <f t="shared" ref="E173:E181" si="21">D173-C173</f>
        <v>1.5799999999999814E-2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1.2617</v>
      </c>
      <c r="D174" s="617">
        <f t="shared" si="20"/>
        <v>1.2758</v>
      </c>
      <c r="E174" s="618">
        <f t="shared" si="21"/>
        <v>1.4100000000000001E-2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0.94079999999999997</v>
      </c>
      <c r="D175" s="617">
        <f t="shared" si="20"/>
        <v>0.93925999999999998</v>
      </c>
      <c r="E175" s="618">
        <f t="shared" si="21"/>
        <v>-1.5399999999999858E-3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0.94079999999999997</v>
      </c>
      <c r="D176" s="617">
        <f t="shared" si="20"/>
        <v>0.93925999999999998</v>
      </c>
      <c r="E176" s="618">
        <f t="shared" si="21"/>
        <v>-1.5399999999999858E-3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0.91200000000000003</v>
      </c>
      <c r="D178" s="617">
        <f t="shared" si="20"/>
        <v>0.97099999999999997</v>
      </c>
      <c r="E178" s="618">
        <f t="shared" si="21"/>
        <v>5.8999999999999941E-2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1.0101</v>
      </c>
      <c r="D179" s="617">
        <f t="shared" si="20"/>
        <v>0.94589999999999996</v>
      </c>
      <c r="E179" s="618">
        <f t="shared" si="21"/>
        <v>-6.4200000000000035E-2</v>
      </c>
    </row>
    <row r="180" spans="1:5" s="421" customFormat="1" x14ac:dyDescent="0.2">
      <c r="A180" s="588"/>
      <c r="B180" s="592" t="s">
        <v>814</v>
      </c>
      <c r="C180" s="619">
        <f t="shared" si="20"/>
        <v>1.1619962653778559</v>
      </c>
      <c r="D180" s="619">
        <f t="shared" si="20"/>
        <v>1.1654081088435375</v>
      </c>
      <c r="E180" s="620">
        <f t="shared" si="21"/>
        <v>3.4118434656815744E-3</v>
      </c>
    </row>
    <row r="181" spans="1:5" s="421" customFormat="1" x14ac:dyDescent="0.2">
      <c r="A181" s="588"/>
      <c r="B181" s="592" t="s">
        <v>725</v>
      </c>
      <c r="C181" s="619">
        <f t="shared" si="20"/>
        <v>1.1182115324349735</v>
      </c>
      <c r="D181" s="619">
        <f t="shared" si="20"/>
        <v>1.1270036166007906</v>
      </c>
      <c r="E181" s="620">
        <f t="shared" si="21"/>
        <v>8.7920841658171156E-3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59307952</v>
      </c>
      <c r="D185" s="589">
        <v>54974285</v>
      </c>
      <c r="E185" s="590">
        <f>D185-C185</f>
        <v>-4333667</v>
      </c>
    </row>
    <row r="186" spans="1:5" s="421" customFormat="1" ht="25.5" x14ac:dyDescent="0.2">
      <c r="A186" s="588">
        <v>2</v>
      </c>
      <c r="B186" s="587" t="s">
        <v>817</v>
      </c>
      <c r="C186" s="589">
        <v>32000079</v>
      </c>
      <c r="D186" s="589">
        <v>35230262</v>
      </c>
      <c r="E186" s="590">
        <f>D186-C186</f>
        <v>3230183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27307873</v>
      </c>
      <c r="D188" s="622">
        <f>+D185-D186</f>
        <v>19744023</v>
      </c>
      <c r="E188" s="590">
        <f t="shared" ref="E188:E197" si="22">D188-C188</f>
        <v>-7563850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0.46044201627464726</v>
      </c>
      <c r="D189" s="623">
        <f>IF(D185=0,0,+D188/D185)</f>
        <v>0.35915015538628653</v>
      </c>
      <c r="E189" s="599">
        <f t="shared" si="22"/>
        <v>-0.10129186088836073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387404</v>
      </c>
      <c r="D193" s="589">
        <v>221047</v>
      </c>
      <c r="E193" s="622">
        <f t="shared" si="22"/>
        <v>-166357</v>
      </c>
    </row>
    <row r="194" spans="1:5" s="421" customFormat="1" x14ac:dyDescent="0.2">
      <c r="A194" s="588">
        <v>9</v>
      </c>
      <c r="B194" s="587" t="s">
        <v>820</v>
      </c>
      <c r="C194" s="589">
        <v>4119249</v>
      </c>
      <c r="D194" s="589">
        <v>3114000</v>
      </c>
      <c r="E194" s="622">
        <f t="shared" si="22"/>
        <v>-1005249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4506653</v>
      </c>
      <c r="D195" s="589">
        <f>+D193+D194</f>
        <v>3335047</v>
      </c>
      <c r="E195" s="625">
        <f t="shared" si="22"/>
        <v>-1171606</v>
      </c>
    </row>
    <row r="196" spans="1:5" s="421" customFormat="1" x14ac:dyDescent="0.2">
      <c r="A196" s="588">
        <v>11</v>
      </c>
      <c r="B196" s="587" t="s">
        <v>822</v>
      </c>
      <c r="C196" s="589">
        <v>473373</v>
      </c>
      <c r="D196" s="589">
        <v>590810</v>
      </c>
      <c r="E196" s="622">
        <f t="shared" si="22"/>
        <v>117437</v>
      </c>
    </row>
    <row r="197" spans="1:5" s="421" customFormat="1" x14ac:dyDescent="0.2">
      <c r="A197" s="588">
        <v>12</v>
      </c>
      <c r="B197" s="587" t="s">
        <v>712</v>
      </c>
      <c r="C197" s="589">
        <v>66456723</v>
      </c>
      <c r="D197" s="589">
        <v>70240063</v>
      </c>
      <c r="E197" s="622">
        <f t="shared" si="22"/>
        <v>3783340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923.50950000000012</v>
      </c>
      <c r="D203" s="629">
        <v>851.85809999999992</v>
      </c>
      <c r="E203" s="630">
        <f t="shared" ref="E203:E211" si="23">D203-C203</f>
        <v>-71.651400000000194</v>
      </c>
    </row>
    <row r="204" spans="1:5" s="421" customFormat="1" x14ac:dyDescent="0.2">
      <c r="A204" s="588">
        <v>2</v>
      </c>
      <c r="B204" s="587" t="s">
        <v>637</v>
      </c>
      <c r="C204" s="629">
        <v>1982.1307000000002</v>
      </c>
      <c r="D204" s="629">
        <v>1884.3566000000001</v>
      </c>
      <c r="E204" s="630">
        <f t="shared" si="23"/>
        <v>-97.774100000000089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640.6848</v>
      </c>
      <c r="D205" s="629">
        <f>D206+D207</f>
        <v>636.81827999999996</v>
      </c>
      <c r="E205" s="630">
        <f t="shared" si="23"/>
        <v>-3.8665200000000368</v>
      </c>
    </row>
    <row r="206" spans="1:5" s="421" customFormat="1" x14ac:dyDescent="0.2">
      <c r="A206" s="588">
        <v>4</v>
      </c>
      <c r="B206" s="587" t="s">
        <v>115</v>
      </c>
      <c r="C206" s="629">
        <v>640.6848</v>
      </c>
      <c r="D206" s="629">
        <v>636.81827999999996</v>
      </c>
      <c r="E206" s="630">
        <f t="shared" si="23"/>
        <v>-3.8665200000000368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21.888000000000002</v>
      </c>
      <c r="D208" s="629">
        <v>48.55</v>
      </c>
      <c r="E208" s="630">
        <f t="shared" si="23"/>
        <v>26.661999999999995</v>
      </c>
    </row>
    <row r="209" spans="1:5" s="421" customFormat="1" x14ac:dyDescent="0.2">
      <c r="A209" s="588">
        <v>7</v>
      </c>
      <c r="B209" s="587" t="s">
        <v>760</v>
      </c>
      <c r="C209" s="629">
        <v>42.424199999999999</v>
      </c>
      <c r="D209" s="629">
        <v>36.890099999999997</v>
      </c>
      <c r="E209" s="630">
        <f t="shared" si="23"/>
        <v>-5.5341000000000022</v>
      </c>
    </row>
    <row r="210" spans="1:5" s="421" customFormat="1" x14ac:dyDescent="0.2">
      <c r="A210" s="588"/>
      <c r="B210" s="592" t="s">
        <v>825</v>
      </c>
      <c r="C210" s="631">
        <f>C204+C205+C208</f>
        <v>2644.7035000000001</v>
      </c>
      <c r="D210" s="631">
        <f>D204+D205+D208</f>
        <v>2569.7248800000002</v>
      </c>
      <c r="E210" s="632">
        <f t="shared" si="23"/>
        <v>-74.978619999999864</v>
      </c>
    </row>
    <row r="211" spans="1:5" s="421" customFormat="1" x14ac:dyDescent="0.2">
      <c r="A211" s="588"/>
      <c r="B211" s="592" t="s">
        <v>726</v>
      </c>
      <c r="C211" s="631">
        <f>C210+C203</f>
        <v>3568.2130000000002</v>
      </c>
      <c r="D211" s="631">
        <f>D210+D203</f>
        <v>3421.5829800000001</v>
      </c>
      <c r="E211" s="632">
        <f t="shared" si="23"/>
        <v>-146.63002000000006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3329.7900909903337</v>
      </c>
      <c r="D215" s="633">
        <f>IF(D14*D137=0,0,D25/D14*D137)</f>
        <v>2943.2033324762638</v>
      </c>
      <c r="E215" s="633">
        <f t="shared" ref="E215:E223" si="24">D215-C215</f>
        <v>-386.58675851406997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1715.4558188991707</v>
      </c>
      <c r="D216" s="633">
        <f>IF(D15*D138=0,0,D26/D15*D138)</f>
        <v>1824.2569918528909</v>
      </c>
      <c r="E216" s="633">
        <f t="shared" si="24"/>
        <v>108.8011729537202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1346.0259103171418</v>
      </c>
      <c r="D217" s="633">
        <f>D218+D219</f>
        <v>1450.0214723160411</v>
      </c>
      <c r="E217" s="633">
        <f t="shared" si="24"/>
        <v>103.99556199889935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1346.0259103171418</v>
      </c>
      <c r="D218" s="633">
        <f t="shared" si="25"/>
        <v>1450.0214723160411</v>
      </c>
      <c r="E218" s="633">
        <f t="shared" si="24"/>
        <v>103.99556199889935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38.434780732044203</v>
      </c>
      <c r="D220" s="633">
        <f t="shared" si="25"/>
        <v>50.1426433417138</v>
      </c>
      <c r="E220" s="633">
        <f t="shared" si="24"/>
        <v>11.707862609669597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151.03483120179351</v>
      </c>
      <c r="D221" s="633">
        <f t="shared" si="25"/>
        <v>80.458383454709619</v>
      </c>
      <c r="E221" s="633">
        <f t="shared" si="24"/>
        <v>-70.57644774708389</v>
      </c>
    </row>
    <row r="222" spans="1:5" s="421" customFormat="1" x14ac:dyDescent="0.2">
      <c r="A222" s="588"/>
      <c r="B222" s="592" t="s">
        <v>827</v>
      </c>
      <c r="C222" s="634">
        <f>C216+C218+C219+C220</f>
        <v>3099.9165099483566</v>
      </c>
      <c r="D222" s="634">
        <f>D216+D218+D219+D220</f>
        <v>3324.4211075106459</v>
      </c>
      <c r="E222" s="634">
        <f t="shared" si="24"/>
        <v>224.50459756228929</v>
      </c>
    </row>
    <row r="223" spans="1:5" s="421" customFormat="1" x14ac:dyDescent="0.2">
      <c r="A223" s="588"/>
      <c r="B223" s="592" t="s">
        <v>828</v>
      </c>
      <c r="C223" s="634">
        <f>C215+C222</f>
        <v>6429.7066009386908</v>
      </c>
      <c r="D223" s="634">
        <f>D215+D222</f>
        <v>6267.6244399869101</v>
      </c>
      <c r="E223" s="634">
        <f t="shared" si="24"/>
        <v>-162.08216095178068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8560.9038131172438</v>
      </c>
      <c r="D227" s="636">
        <f t="shared" si="26"/>
        <v>9728.7729024352775</v>
      </c>
      <c r="E227" s="636">
        <f t="shared" ref="E227:E235" si="27">D227-C227</f>
        <v>1167.8690893180337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7112.311514069178</v>
      </c>
      <c r="D228" s="636">
        <f t="shared" si="26"/>
        <v>6834.8867724930615</v>
      </c>
      <c r="E228" s="636">
        <f t="shared" si="27"/>
        <v>-277.4247415761165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8135.0376971640344</v>
      </c>
      <c r="D229" s="636">
        <f t="shared" si="26"/>
        <v>6191.4774180163304</v>
      </c>
      <c r="E229" s="636">
        <f t="shared" si="27"/>
        <v>-1943.560279147704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8135.0376971640344</v>
      </c>
      <c r="D230" s="636">
        <f t="shared" si="26"/>
        <v>6191.4774180163304</v>
      </c>
      <c r="E230" s="636">
        <f t="shared" si="27"/>
        <v>-1943.560279147704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7122.1673976608181</v>
      </c>
      <c r="D232" s="636">
        <f t="shared" si="26"/>
        <v>5628.4243048403714</v>
      </c>
      <c r="E232" s="636">
        <f t="shared" si="27"/>
        <v>-1493.7430928204467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139.16585345156773</v>
      </c>
      <c r="D233" s="636">
        <f t="shared" si="26"/>
        <v>361.75017145521429</v>
      </c>
      <c r="E233" s="636">
        <f t="shared" si="27"/>
        <v>222.58431800364656</v>
      </c>
    </row>
    <row r="234" spans="1:5" x14ac:dyDescent="0.2">
      <c r="A234" s="588"/>
      <c r="B234" s="592" t="s">
        <v>830</v>
      </c>
      <c r="C234" s="637">
        <f t="shared" si="26"/>
        <v>7360.1505802068168</v>
      </c>
      <c r="D234" s="637">
        <f t="shared" si="26"/>
        <v>6652.6460217795757</v>
      </c>
      <c r="E234" s="637">
        <f t="shared" si="27"/>
        <v>-707.50455842724114</v>
      </c>
    </row>
    <row r="235" spans="1:5" s="421" customFormat="1" x14ac:dyDescent="0.2">
      <c r="A235" s="588"/>
      <c r="B235" s="592" t="s">
        <v>831</v>
      </c>
      <c r="C235" s="637">
        <f t="shared" si="26"/>
        <v>7670.9243534508723</v>
      </c>
      <c r="D235" s="637">
        <f t="shared" si="26"/>
        <v>7418.4972711081227</v>
      </c>
      <c r="E235" s="637">
        <f t="shared" si="27"/>
        <v>-252.4270823427496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7235.8924561620197</v>
      </c>
      <c r="D239" s="636">
        <f t="shared" si="28"/>
        <v>8444.1634479565582</v>
      </c>
      <c r="E239" s="638">
        <f t="shared" ref="E239:E247" si="29">D239-C239</f>
        <v>1208.2709917945385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6164.1051220926383</v>
      </c>
      <c r="D240" s="636">
        <f t="shared" si="28"/>
        <v>5559.702413254</v>
      </c>
      <c r="E240" s="638">
        <f t="shared" si="29"/>
        <v>-604.40270883863832</v>
      </c>
    </row>
    <row r="241" spans="1:5" x14ac:dyDescent="0.2">
      <c r="A241" s="588">
        <v>3</v>
      </c>
      <c r="B241" s="587" t="s">
        <v>779</v>
      </c>
      <c r="C241" s="636">
        <f t="shared" si="28"/>
        <v>3288.0800927206615</v>
      </c>
      <c r="D241" s="636">
        <f t="shared" si="28"/>
        <v>3277.2893993146618</v>
      </c>
      <c r="E241" s="638">
        <f t="shared" si="29"/>
        <v>-10.790693405999718</v>
      </c>
    </row>
    <row r="242" spans="1:5" x14ac:dyDescent="0.2">
      <c r="A242" s="588">
        <v>4</v>
      </c>
      <c r="B242" s="587" t="s">
        <v>115</v>
      </c>
      <c r="C242" s="636">
        <f t="shared" si="28"/>
        <v>3288.0800927206615</v>
      </c>
      <c r="D242" s="636">
        <f t="shared" si="28"/>
        <v>3277.2893993146618</v>
      </c>
      <c r="E242" s="638">
        <f t="shared" si="29"/>
        <v>-10.790693405999718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4768.2332644922772</v>
      </c>
      <c r="D244" s="636">
        <f t="shared" si="28"/>
        <v>5132.8367004116408</v>
      </c>
      <c r="E244" s="638">
        <f t="shared" si="29"/>
        <v>364.60343591936362</v>
      </c>
    </row>
    <row r="245" spans="1:5" x14ac:dyDescent="0.2">
      <c r="A245" s="588">
        <v>7</v>
      </c>
      <c r="B245" s="587" t="s">
        <v>760</v>
      </c>
      <c r="C245" s="636">
        <f t="shared" si="28"/>
        <v>1882.7643778412303</v>
      </c>
      <c r="D245" s="636">
        <f t="shared" si="28"/>
        <v>1398.2880983847879</v>
      </c>
      <c r="E245" s="638">
        <f t="shared" si="29"/>
        <v>-484.4762794564424</v>
      </c>
    </row>
    <row r="246" spans="1:5" ht="25.5" x14ac:dyDescent="0.2">
      <c r="A246" s="588"/>
      <c r="B246" s="592" t="s">
        <v>833</v>
      </c>
      <c r="C246" s="637">
        <f t="shared" si="28"/>
        <v>4897.9890107598249</v>
      </c>
      <c r="D246" s="637">
        <f t="shared" si="28"/>
        <v>4557.7378767594892</v>
      </c>
      <c r="E246" s="639">
        <f t="shared" si="29"/>
        <v>-340.2511340003357</v>
      </c>
    </row>
    <row r="247" spans="1:5" x14ac:dyDescent="0.2">
      <c r="A247" s="588"/>
      <c r="B247" s="592" t="s">
        <v>834</v>
      </c>
      <c r="C247" s="637">
        <f t="shared" si="28"/>
        <v>6108.7328610400027</v>
      </c>
      <c r="D247" s="637">
        <f t="shared" si="28"/>
        <v>6382.7579943643768</v>
      </c>
      <c r="E247" s="639">
        <f t="shared" si="29"/>
        <v>274.02513332437411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3871204.2082552994</v>
      </c>
      <c r="D251" s="622">
        <f>((IF((IF(D15=0,0,D26/D15)*D138)=0,0,D59/(IF(D15=0,0,D26/D15)*D138)))-(IF((IF(D17=0,0,D28/D17)*D140)=0,0,D61/(IF(D17=0,0,D28/D17)*D140))))*(IF(D17=0,0,D28/D17)*D140)</f>
        <v>3309547.878905612</v>
      </c>
      <c r="E251" s="622">
        <f>D251-C251</f>
        <v>-561656.32934968732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942461.702760546</v>
      </c>
      <c r="D253" s="622">
        <f>IF(D233=0,0,(D228-D233)*D209+IF(D221=0,0,(D240-D245)*D221))</f>
        <v>573615.32518561103</v>
      </c>
      <c r="E253" s="622">
        <f>D253-C253</f>
        <v>-368846.37757493497</v>
      </c>
    </row>
    <row r="254" spans="1:5" ht="15" customHeight="1" x14ac:dyDescent="0.2">
      <c r="A254" s="588"/>
      <c r="B254" s="592" t="s">
        <v>761</v>
      </c>
      <c r="C254" s="640">
        <f>+C251+C252+C253</f>
        <v>4813665.9110158458</v>
      </c>
      <c r="D254" s="640">
        <f>+D251+D252+D253</f>
        <v>3883163.204091223</v>
      </c>
      <c r="E254" s="640">
        <f>D254-C254</f>
        <v>-930502.70692462288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170600762</v>
      </c>
      <c r="D258" s="625">
        <f>+D44</f>
        <v>171319319</v>
      </c>
      <c r="E258" s="622">
        <f t="shared" ref="E258:E271" si="30">D258-C258</f>
        <v>718557</v>
      </c>
    </row>
    <row r="259" spans="1:5" x14ac:dyDescent="0.2">
      <c r="A259" s="588">
        <v>2</v>
      </c>
      <c r="B259" s="587" t="s">
        <v>744</v>
      </c>
      <c r="C259" s="622">
        <f>+(C43-C76)</f>
        <v>76644037</v>
      </c>
      <c r="D259" s="625">
        <f>+(D43-D76)</f>
        <v>79950876</v>
      </c>
      <c r="E259" s="622">
        <f t="shared" si="30"/>
        <v>3306839</v>
      </c>
    </row>
    <row r="260" spans="1:5" x14ac:dyDescent="0.2">
      <c r="A260" s="588">
        <v>3</v>
      </c>
      <c r="B260" s="587" t="s">
        <v>748</v>
      </c>
      <c r="C260" s="622">
        <f>C195</f>
        <v>4506653</v>
      </c>
      <c r="D260" s="622">
        <f>D195</f>
        <v>3335047</v>
      </c>
      <c r="E260" s="622">
        <f t="shared" si="30"/>
        <v>-1171606</v>
      </c>
    </row>
    <row r="261" spans="1:5" x14ac:dyDescent="0.2">
      <c r="A261" s="588">
        <v>4</v>
      </c>
      <c r="B261" s="587" t="s">
        <v>749</v>
      </c>
      <c r="C261" s="622">
        <f>C188</f>
        <v>27307873</v>
      </c>
      <c r="D261" s="622">
        <f>D188</f>
        <v>19744023</v>
      </c>
      <c r="E261" s="622">
        <f t="shared" si="30"/>
        <v>-7563850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108458563</v>
      </c>
      <c r="D263" s="622">
        <f>+D259+D260+D261+D262</f>
        <v>103029946</v>
      </c>
      <c r="E263" s="622">
        <f t="shared" si="30"/>
        <v>-5428617</v>
      </c>
    </row>
    <row r="264" spans="1:5" x14ac:dyDescent="0.2">
      <c r="A264" s="588">
        <v>7</v>
      </c>
      <c r="B264" s="587" t="s">
        <v>656</v>
      </c>
      <c r="C264" s="622">
        <f>+C258-C263</f>
        <v>62142199</v>
      </c>
      <c r="D264" s="622">
        <f>+D258-D263</f>
        <v>68289373</v>
      </c>
      <c r="E264" s="622">
        <f t="shared" si="30"/>
        <v>6147174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62142199</v>
      </c>
      <c r="D266" s="622">
        <f>+D264+D265</f>
        <v>68289373</v>
      </c>
      <c r="E266" s="641">
        <f t="shared" si="30"/>
        <v>6147174</v>
      </c>
    </row>
    <row r="267" spans="1:5" x14ac:dyDescent="0.2">
      <c r="A267" s="588">
        <v>10</v>
      </c>
      <c r="B267" s="587" t="s">
        <v>839</v>
      </c>
      <c r="C267" s="642">
        <f>IF(C258=0,0,C266/C258)</f>
        <v>0.36425510807507411</v>
      </c>
      <c r="D267" s="642">
        <f>IF(D258=0,0,D266/D258)</f>
        <v>0.39860871149038363</v>
      </c>
      <c r="E267" s="643">
        <f t="shared" si="30"/>
        <v>3.4353603415309519E-2</v>
      </c>
    </row>
    <row r="268" spans="1:5" x14ac:dyDescent="0.2">
      <c r="A268" s="588">
        <v>11</v>
      </c>
      <c r="B268" s="587" t="s">
        <v>718</v>
      </c>
      <c r="C268" s="622">
        <f>+C260*C267</f>
        <v>1641571.375571857</v>
      </c>
      <c r="D268" s="644">
        <f>+D260*D267</f>
        <v>1329378.7874298694</v>
      </c>
      <c r="E268" s="622">
        <f t="shared" si="30"/>
        <v>-312192.58814198757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1750111.852122372</v>
      </c>
      <c r="D269" s="644">
        <f>((D17+D18+D28+D29)*D267)-(D50+D51+D61+D62)</f>
        <v>4081320.0728676487</v>
      </c>
      <c r="E269" s="622">
        <f t="shared" si="30"/>
        <v>2331208.2207452767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3391683.2276942292</v>
      </c>
      <c r="D271" s="622">
        <f>+D268+D269+D270</f>
        <v>5410698.8602975179</v>
      </c>
      <c r="E271" s="625">
        <f t="shared" si="30"/>
        <v>2019015.6326032886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0.61841950982942007</v>
      </c>
      <c r="D276" s="623">
        <f t="shared" si="31"/>
        <v>0.63665894433584047</v>
      </c>
      <c r="E276" s="650">
        <f t="shared" ref="E276:E284" si="32">D276-C276</f>
        <v>1.8239434506420404E-2</v>
      </c>
    </row>
    <row r="277" spans="1:5" x14ac:dyDescent="0.2">
      <c r="A277" s="588">
        <v>2</v>
      </c>
      <c r="B277" s="587" t="s">
        <v>637</v>
      </c>
      <c r="C277" s="623">
        <f t="shared" si="31"/>
        <v>0.37300217392517998</v>
      </c>
      <c r="D277" s="623">
        <f t="shared" si="31"/>
        <v>0.36595640624542264</v>
      </c>
      <c r="E277" s="650">
        <f t="shared" si="32"/>
        <v>-7.0457676797573421E-3</v>
      </c>
    </row>
    <row r="278" spans="1:5" x14ac:dyDescent="0.2">
      <c r="A278" s="588">
        <v>3</v>
      </c>
      <c r="B278" s="587" t="s">
        <v>779</v>
      </c>
      <c r="C278" s="623">
        <f t="shared" si="31"/>
        <v>0.49622239391355799</v>
      </c>
      <c r="D278" s="623">
        <f t="shared" si="31"/>
        <v>0.3860980472742303</v>
      </c>
      <c r="E278" s="650">
        <f t="shared" si="32"/>
        <v>-0.11012434663932769</v>
      </c>
    </row>
    <row r="279" spans="1:5" x14ac:dyDescent="0.2">
      <c r="A279" s="588">
        <v>4</v>
      </c>
      <c r="B279" s="587" t="s">
        <v>115</v>
      </c>
      <c r="C279" s="623">
        <f t="shared" si="31"/>
        <v>0.49622239391355799</v>
      </c>
      <c r="D279" s="623">
        <f t="shared" si="31"/>
        <v>0.3860980472742303</v>
      </c>
      <c r="E279" s="650">
        <f t="shared" si="32"/>
        <v>-0.11012434663932769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0.42054234288674031</v>
      </c>
      <c r="D281" s="623">
        <f t="shared" si="31"/>
        <v>0.36876745086766827</v>
      </c>
      <c r="E281" s="650">
        <f t="shared" si="32"/>
        <v>-5.1774892019072039E-2</v>
      </c>
    </row>
    <row r="282" spans="1:5" x14ac:dyDescent="0.2">
      <c r="A282" s="588">
        <v>7</v>
      </c>
      <c r="B282" s="587" t="s">
        <v>760</v>
      </c>
      <c r="C282" s="623">
        <f t="shared" si="31"/>
        <v>1.0796063386643164E-2</v>
      </c>
      <c r="D282" s="623">
        <f t="shared" si="31"/>
        <v>1.8885734583608118E-2</v>
      </c>
      <c r="E282" s="650">
        <f t="shared" si="32"/>
        <v>8.0896711969649544E-3</v>
      </c>
    </row>
    <row r="283" spans="1:5" ht="29.25" customHeight="1" x14ac:dyDescent="0.2">
      <c r="A283" s="588"/>
      <c r="B283" s="592" t="s">
        <v>846</v>
      </c>
      <c r="C283" s="651">
        <f t="shared" si="31"/>
        <v>0.39995675258248603</v>
      </c>
      <c r="D283" s="651">
        <f t="shared" si="31"/>
        <v>0.37045878395821263</v>
      </c>
      <c r="E283" s="652">
        <f t="shared" si="32"/>
        <v>-2.9497968624273396E-2</v>
      </c>
    </row>
    <row r="284" spans="1:5" x14ac:dyDescent="0.2">
      <c r="A284" s="588"/>
      <c r="B284" s="592" t="s">
        <v>847</v>
      </c>
      <c r="C284" s="651">
        <f t="shared" si="31"/>
        <v>0.44540438113100411</v>
      </c>
      <c r="D284" s="651">
        <f t="shared" si="31"/>
        <v>0.42902799980663908</v>
      </c>
      <c r="E284" s="652">
        <f t="shared" si="32"/>
        <v>-1.637638132436503E-2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0.51788745963421978</v>
      </c>
      <c r="D287" s="623">
        <f t="shared" si="33"/>
        <v>0.53906256879840075</v>
      </c>
      <c r="E287" s="650">
        <f t="shared" ref="E287:E295" si="34">D287-C287</f>
        <v>2.1175109164180972E-2</v>
      </c>
    </row>
    <row r="288" spans="1:5" x14ac:dyDescent="0.2">
      <c r="A288" s="588">
        <v>2</v>
      </c>
      <c r="B288" s="587" t="s">
        <v>637</v>
      </c>
      <c r="C288" s="623">
        <f t="shared" si="33"/>
        <v>0.25622088460991876</v>
      </c>
      <c r="D288" s="623">
        <f t="shared" si="33"/>
        <v>0.23332806433445333</v>
      </c>
      <c r="E288" s="650">
        <f t="shared" si="34"/>
        <v>-2.2892820275465436E-2</v>
      </c>
    </row>
    <row r="289" spans="1:5" x14ac:dyDescent="0.2">
      <c r="A289" s="588">
        <v>3</v>
      </c>
      <c r="B289" s="587" t="s">
        <v>779</v>
      </c>
      <c r="C289" s="623">
        <f t="shared" si="33"/>
        <v>0.21318756483222917</v>
      </c>
      <c r="D289" s="623">
        <f t="shared" si="33"/>
        <v>0.21758666592003184</v>
      </c>
      <c r="E289" s="650">
        <f t="shared" si="34"/>
        <v>4.3991010878026704E-3</v>
      </c>
    </row>
    <row r="290" spans="1:5" x14ac:dyDescent="0.2">
      <c r="A290" s="588">
        <v>4</v>
      </c>
      <c r="B290" s="587" t="s">
        <v>115</v>
      </c>
      <c r="C290" s="623">
        <f t="shared" si="33"/>
        <v>0.21318756483222917</v>
      </c>
      <c r="D290" s="623">
        <f t="shared" si="33"/>
        <v>0.21758666592003184</v>
      </c>
      <c r="E290" s="650">
        <f t="shared" si="34"/>
        <v>4.3991010878026704E-3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0.30871676004568438</v>
      </c>
      <c r="D292" s="623">
        <f t="shared" si="33"/>
        <v>0.3463410498665766</v>
      </c>
      <c r="E292" s="650">
        <f t="shared" si="34"/>
        <v>3.7624289820892221E-2</v>
      </c>
    </row>
    <row r="293" spans="1:5" x14ac:dyDescent="0.2">
      <c r="A293" s="588">
        <v>7</v>
      </c>
      <c r="B293" s="587" t="s">
        <v>760</v>
      </c>
      <c r="C293" s="623">
        <f t="shared" si="33"/>
        <v>0.14459868389940439</v>
      </c>
      <c r="D293" s="623">
        <f t="shared" si="33"/>
        <v>7.7174988235520089E-2</v>
      </c>
      <c r="E293" s="650">
        <f t="shared" si="34"/>
        <v>-6.74236956638843E-2</v>
      </c>
    </row>
    <row r="294" spans="1:5" ht="29.25" customHeight="1" x14ac:dyDescent="0.2">
      <c r="A294" s="588"/>
      <c r="B294" s="592" t="s">
        <v>849</v>
      </c>
      <c r="C294" s="651">
        <f t="shared" si="33"/>
        <v>0.24245265489874107</v>
      </c>
      <c r="D294" s="651">
        <f t="shared" si="33"/>
        <v>0.2293945689263093</v>
      </c>
      <c r="E294" s="652">
        <f t="shared" si="34"/>
        <v>-1.3058085972431771E-2</v>
      </c>
    </row>
    <row r="295" spans="1:5" x14ac:dyDescent="0.2">
      <c r="A295" s="588"/>
      <c r="B295" s="592" t="s">
        <v>850</v>
      </c>
      <c r="C295" s="651">
        <f t="shared" si="33"/>
        <v>0.35985534638473843</v>
      </c>
      <c r="D295" s="651">
        <f t="shared" si="33"/>
        <v>0.35669037565835365</v>
      </c>
      <c r="E295" s="652">
        <f t="shared" si="34"/>
        <v>-3.1649707263847748E-3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66648852</v>
      </c>
      <c r="D301" s="590">
        <f>+D48+D47+D50+D51+D52+D59+D58+D61+D62+D63</f>
        <v>65387734</v>
      </c>
      <c r="E301" s="590">
        <f>D301-C301</f>
        <v>-1261118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66648852</v>
      </c>
      <c r="D303" s="593">
        <f>+D301+D302</f>
        <v>65387734</v>
      </c>
      <c r="E303" s="593">
        <f>D303-C303</f>
        <v>-1261118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0</v>
      </c>
      <c r="D305" s="654">
        <v>0</v>
      </c>
      <c r="E305" s="655">
        <f>D305-C305</f>
        <v>0</v>
      </c>
    </row>
    <row r="306" spans="1:5" x14ac:dyDescent="0.2">
      <c r="A306" s="588">
        <v>4</v>
      </c>
      <c r="B306" s="592" t="s">
        <v>857</v>
      </c>
      <c r="C306" s="593">
        <f>+C303+C305+C194+C190-C191</f>
        <v>70768101</v>
      </c>
      <c r="D306" s="593">
        <f>+D303+D305</f>
        <v>65387734</v>
      </c>
      <c r="E306" s="656">
        <f>D306-C306</f>
        <v>-5380367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66648825</v>
      </c>
      <c r="D308" s="589">
        <v>65387734</v>
      </c>
      <c r="E308" s="590">
        <f>D308-C308</f>
        <v>-1261091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4119276</v>
      </c>
      <c r="D310" s="658">
        <f>D306-D308</f>
        <v>0</v>
      </c>
      <c r="E310" s="656">
        <f>D310-C310</f>
        <v>-4119276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170600762</v>
      </c>
      <c r="D314" s="590">
        <f>+D14+D15+D16+D19+D25+D26+D27+D30</f>
        <v>171319319</v>
      </c>
      <c r="E314" s="590">
        <f>D314-C314</f>
        <v>718557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170600762</v>
      </c>
      <c r="D316" s="657">
        <f>D314+D315</f>
        <v>171319319</v>
      </c>
      <c r="E316" s="593">
        <f>D316-C316</f>
        <v>718557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170600764</v>
      </c>
      <c r="D318" s="589">
        <v>171319321</v>
      </c>
      <c r="E318" s="590">
        <f>D318-C318</f>
        <v>718557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-2</v>
      </c>
      <c r="D320" s="657">
        <f>D316-D318</f>
        <v>-2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4506653</v>
      </c>
      <c r="D324" s="589">
        <f>+D193+D194</f>
        <v>3335047</v>
      </c>
      <c r="E324" s="590">
        <f>D324-C324</f>
        <v>-1171606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4506653</v>
      </c>
      <c r="D326" s="657">
        <f>D324+D325</f>
        <v>3335047</v>
      </c>
      <c r="E326" s="593">
        <f>D326-C326</f>
        <v>-1171606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4506653</v>
      </c>
      <c r="D328" s="589">
        <v>3335047</v>
      </c>
      <c r="E328" s="590">
        <f>D328-C328</f>
        <v>-1171606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FILING&amp;RJOHNSON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13017227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35193711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10212033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10212033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741009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706618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46146753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59163980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46103906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43468093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21840217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21840217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743123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1457778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66051433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112155339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59121133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112198186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171319319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8287534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12879364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3942846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3942846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273260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13345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17095470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25383004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24852890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10142326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4752140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4752140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257374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112504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15151840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40004730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33140424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32247310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65387734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831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1477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678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678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50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39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2205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3036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1.0250999999999999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1.2758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0.93925999999999998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0.93925999999999998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0.97099999999999997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0.94589999999999996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1.1654081088435375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1.1270036166007906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54974285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35230262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19744023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0.35915015538628653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221047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3114000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3335047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590810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70240063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65387734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65387734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65387734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65387734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171319319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171319319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171319321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3335047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3335047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3335047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FILING&amp;RJOHNSON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117</v>
      </c>
      <c r="D12" s="185">
        <v>95</v>
      </c>
      <c r="E12" s="185">
        <f>+D12-C12</f>
        <v>-22</v>
      </c>
      <c r="F12" s="77">
        <f>IF(C12=0,0,+E12/C12)</f>
        <v>-0.18803418803418803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102</v>
      </c>
      <c r="D13" s="185">
        <v>69</v>
      </c>
      <c r="E13" s="185">
        <f>+D13-C13</f>
        <v>-33</v>
      </c>
      <c r="F13" s="77">
        <f>IF(C13=0,0,+E13/C13)</f>
        <v>-0.3235294117647059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387404</v>
      </c>
      <c r="D15" s="76">
        <v>221047</v>
      </c>
      <c r="E15" s="76">
        <f>+D15-C15</f>
        <v>-166357</v>
      </c>
      <c r="F15" s="77">
        <f>IF(C15=0,0,+E15/C15)</f>
        <v>-0.42941477114330262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3798.0784313725489</v>
      </c>
      <c r="D16" s="79">
        <f>IF(D13=0,0,+D15/+D13)</f>
        <v>3203.5797101449275</v>
      </c>
      <c r="E16" s="79">
        <f>+D16-C16</f>
        <v>-594.49872122762144</v>
      </c>
      <c r="F16" s="80">
        <f>IF(C16=0,0,+E16/C16)</f>
        <v>-0.15652618342922991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0.39884199999999997</v>
      </c>
      <c r="D18" s="704">
        <v>0.38846700000000001</v>
      </c>
      <c r="E18" s="704">
        <f>+D18-C18</f>
        <v>-1.0374999999999968E-2</v>
      </c>
      <c r="F18" s="77">
        <f>IF(C18=0,0,+E18/C18)</f>
        <v>-2.6012807076486347E-2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154512.986168</v>
      </c>
      <c r="D19" s="79">
        <f>+D15*D18</f>
        <v>85869.464949000001</v>
      </c>
      <c r="E19" s="79">
        <f>+D19-C19</f>
        <v>-68643.521219000002</v>
      </c>
      <c r="F19" s="80">
        <f>IF(C19=0,0,+E19/C19)</f>
        <v>-0.44425729462224472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1514.8331977254902</v>
      </c>
      <c r="D20" s="79">
        <f>IF(D13=0,0,+D19/D13)</f>
        <v>1244.4849992608695</v>
      </c>
      <c r="E20" s="79">
        <f>+D20-C20</f>
        <v>-270.34819846462074</v>
      </c>
      <c r="F20" s="80">
        <f>IF(C20=0,0,+E20/C20)</f>
        <v>-0.17846730509375314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163321</v>
      </c>
      <c r="D22" s="76">
        <v>124236</v>
      </c>
      <c r="E22" s="76">
        <f>+D22-C22</f>
        <v>-39085</v>
      </c>
      <c r="F22" s="77">
        <f>IF(C22=0,0,+E22/C22)</f>
        <v>-0.23931398901549708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114751</v>
      </c>
      <c r="D23" s="185">
        <v>49957</v>
      </c>
      <c r="E23" s="185">
        <f>+D23-C23</f>
        <v>-64794</v>
      </c>
      <c r="F23" s="77">
        <f>IF(C23=0,0,+E23/C23)</f>
        <v>-0.56464867408562891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109332</v>
      </c>
      <c r="D24" s="185">
        <v>46854</v>
      </c>
      <c r="E24" s="185">
        <f>+D24-C24</f>
        <v>-62478</v>
      </c>
      <c r="F24" s="77">
        <f>IF(C24=0,0,+E24/C24)</f>
        <v>-0.57145209087915705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387404</v>
      </c>
      <c r="D25" s="79">
        <f>+D22+D23+D24</f>
        <v>221047</v>
      </c>
      <c r="E25" s="79">
        <f>+E22+E23+E24</f>
        <v>-166357</v>
      </c>
      <c r="F25" s="80">
        <f>IF(C25=0,0,+E25/C25)</f>
        <v>-0.42941477114330262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34</v>
      </c>
      <c r="D27" s="185">
        <v>27</v>
      </c>
      <c r="E27" s="185">
        <f>+D27-C27</f>
        <v>-7</v>
      </c>
      <c r="F27" s="77">
        <f>IF(C27=0,0,+E27/C27)</f>
        <v>-0.20588235294117646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9</v>
      </c>
      <c r="D28" s="185">
        <v>5</v>
      </c>
      <c r="E28" s="185">
        <f>+D28-C28</f>
        <v>-4</v>
      </c>
      <c r="F28" s="77">
        <f>IF(C28=0,0,+E28/C28)</f>
        <v>-0.44444444444444442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117</v>
      </c>
      <c r="D29" s="185">
        <v>76</v>
      </c>
      <c r="E29" s="185">
        <f>+D29-C29</f>
        <v>-41</v>
      </c>
      <c r="F29" s="77">
        <f>IF(C29=0,0,+E29/C29)</f>
        <v>-0.3504273504273504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178</v>
      </c>
      <c r="D30" s="185">
        <v>195</v>
      </c>
      <c r="E30" s="185">
        <f>+D30-C30</f>
        <v>17</v>
      </c>
      <c r="F30" s="77">
        <f>IF(C30=0,0,+E30/C30)</f>
        <v>9.5505617977528087E-2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1004296</v>
      </c>
      <c r="D33" s="76">
        <v>759505</v>
      </c>
      <c r="E33" s="76">
        <f>+D33-C33</f>
        <v>-244791</v>
      </c>
      <c r="F33" s="77">
        <f>IF(C33=0,0,+E33/C33)</f>
        <v>-0.24374387630738348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863388</v>
      </c>
      <c r="D34" s="185">
        <v>594463</v>
      </c>
      <c r="E34" s="185">
        <f>+D34-C34</f>
        <v>-268925</v>
      </c>
      <c r="F34" s="77">
        <f>IF(C34=0,0,+E34/C34)</f>
        <v>-0.31147641616515404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2251565</v>
      </c>
      <c r="D35" s="185">
        <v>1760032</v>
      </c>
      <c r="E35" s="185">
        <f>+D35-C35</f>
        <v>-491533</v>
      </c>
      <c r="F35" s="77">
        <f>IF(C35=0,0,+E35/C35)</f>
        <v>-0.21830726627923244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4119249</v>
      </c>
      <c r="D36" s="79">
        <f>+D33+D34+D35</f>
        <v>3114000</v>
      </c>
      <c r="E36" s="79">
        <f>+E33+E34+E35</f>
        <v>-1005249</v>
      </c>
      <c r="F36" s="80">
        <f>IF(C36=0,0,+E36/C36)</f>
        <v>-0.24403695916415832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387404</v>
      </c>
      <c r="D39" s="76">
        <f>+D25</f>
        <v>221047</v>
      </c>
      <c r="E39" s="76">
        <f>+D39-C39</f>
        <v>-166357</v>
      </c>
      <c r="F39" s="77">
        <f>IF(C39=0,0,+E39/C39)</f>
        <v>-0.42941477114330262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4119249</v>
      </c>
      <c r="D40" s="185">
        <f>+D36</f>
        <v>3114000</v>
      </c>
      <c r="E40" s="185">
        <f>+D40-C40</f>
        <v>-1005249</v>
      </c>
      <c r="F40" s="77">
        <f>IF(C40=0,0,+E40/C40)</f>
        <v>-0.24403695916415832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4506653</v>
      </c>
      <c r="D41" s="79">
        <f>+D39+D40</f>
        <v>3335047</v>
      </c>
      <c r="E41" s="79">
        <f>+E39+E40</f>
        <v>-1171606</v>
      </c>
      <c r="F41" s="80">
        <f>IF(C41=0,0,+E41/C41)</f>
        <v>-0.25997253394037662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1167617</v>
      </c>
      <c r="D43" s="76">
        <f t="shared" si="0"/>
        <v>883741</v>
      </c>
      <c r="E43" s="76">
        <f>+D43-C43</f>
        <v>-283876</v>
      </c>
      <c r="F43" s="77">
        <f>IF(C43=0,0,+E43/C43)</f>
        <v>-0.2431242436518139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978139</v>
      </c>
      <c r="D44" s="185">
        <f t="shared" si="0"/>
        <v>644420</v>
      </c>
      <c r="E44" s="185">
        <f>+D44-C44</f>
        <v>-333719</v>
      </c>
      <c r="F44" s="77">
        <f>IF(C44=0,0,+E44/C44)</f>
        <v>-0.34117748091017741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2360897</v>
      </c>
      <c r="D45" s="185">
        <f t="shared" si="0"/>
        <v>1806886</v>
      </c>
      <c r="E45" s="185">
        <f>+D45-C45</f>
        <v>-554011</v>
      </c>
      <c r="F45" s="77">
        <f>IF(C45=0,0,+E45/C45)</f>
        <v>-0.23466123257389035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4506653</v>
      </c>
      <c r="D46" s="79">
        <f>+D43+D44+D45</f>
        <v>3335047</v>
      </c>
      <c r="E46" s="79">
        <f>+E43+E44+E45</f>
        <v>-1171606</v>
      </c>
      <c r="F46" s="80">
        <f>IF(C46=0,0,+E46/C46)</f>
        <v>-0.25997253394037662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FILING&amp;RJOHNSON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59307952</v>
      </c>
      <c r="D15" s="76">
        <v>54974285</v>
      </c>
      <c r="E15" s="76">
        <f>+D15-C15</f>
        <v>-4333667</v>
      </c>
      <c r="F15" s="77">
        <f>IF(C15=0,0,E15/C15)</f>
        <v>-7.3070589252517096E-2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27307873</v>
      </c>
      <c r="D17" s="76">
        <v>19744023</v>
      </c>
      <c r="E17" s="76">
        <f>+D17-C17</f>
        <v>-7563850</v>
      </c>
      <c r="F17" s="77">
        <f>IF(C17=0,0,E17/C17)</f>
        <v>-0.27698422356072916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32000079</v>
      </c>
      <c r="D19" s="79">
        <f>+D15-D17</f>
        <v>35230262</v>
      </c>
      <c r="E19" s="79">
        <f>+D19-C19</f>
        <v>3230183</v>
      </c>
      <c r="F19" s="80">
        <f>IF(C19=0,0,E19/C19)</f>
        <v>0.10094296954704393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0.46044201627464726</v>
      </c>
      <c r="D21" s="720">
        <f>IF(D15=0,0,D17/D15)</f>
        <v>0.35915015538628653</v>
      </c>
      <c r="E21" s="720">
        <f>+D21-C21</f>
        <v>-0.10129186088836073</v>
      </c>
      <c r="F21" s="80">
        <f>IF(C21=0,0,E21/C21)</f>
        <v>-0.21998830972875755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FILING&amp;R&amp;12JOHNSON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62288196</v>
      </c>
      <c r="D10" s="744">
        <v>61453127</v>
      </c>
      <c r="E10" s="744">
        <v>59163980</v>
      </c>
    </row>
    <row r="11" spans="1:6" ht="26.1" customHeight="1" x14ac:dyDescent="0.25">
      <c r="A11" s="742">
        <v>2</v>
      </c>
      <c r="B11" s="743" t="s">
        <v>934</v>
      </c>
      <c r="C11" s="744">
        <v>96843117</v>
      </c>
      <c r="D11" s="744">
        <v>109147635</v>
      </c>
      <c r="E11" s="744">
        <v>112155339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159131313</v>
      </c>
      <c r="D12" s="744">
        <f>+D11+D10</f>
        <v>170600762</v>
      </c>
      <c r="E12" s="744">
        <f>+E11+E10</f>
        <v>171319319</v>
      </c>
    </row>
    <row r="13" spans="1:6" ht="26.1" customHeight="1" x14ac:dyDescent="0.25">
      <c r="A13" s="742">
        <v>4</v>
      </c>
      <c r="B13" s="743" t="s">
        <v>507</v>
      </c>
      <c r="C13" s="744">
        <v>59633584</v>
      </c>
      <c r="D13" s="744">
        <v>66648825</v>
      </c>
      <c r="E13" s="744">
        <v>65387734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63578052</v>
      </c>
      <c r="D16" s="744">
        <v>66456723</v>
      </c>
      <c r="E16" s="744">
        <v>70240063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16130</v>
      </c>
      <c r="D19" s="747">
        <v>16270</v>
      </c>
      <c r="E19" s="747">
        <v>15091</v>
      </c>
    </row>
    <row r="20" spans="1:5" ht="26.1" customHeight="1" x14ac:dyDescent="0.25">
      <c r="A20" s="742">
        <v>2</v>
      </c>
      <c r="B20" s="743" t="s">
        <v>381</v>
      </c>
      <c r="C20" s="748">
        <v>3139</v>
      </c>
      <c r="D20" s="748">
        <v>3191</v>
      </c>
      <c r="E20" s="748">
        <v>3036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5.1385791653392801</v>
      </c>
      <c r="D21" s="749">
        <f>IF(D20=0,0,+D19/D20)</f>
        <v>5.0987151363209025</v>
      </c>
      <c r="E21" s="749">
        <f>IF(E20=0,0,+E19/E20)</f>
        <v>4.9706851119894599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41208.258442578757</v>
      </c>
      <c r="D22" s="748">
        <f>IF(D10=0,0,D19*(D12/D10))</f>
        <v>45167.341895230165</v>
      </c>
      <c r="E22" s="748">
        <f>IF(E10=0,0,E19*(E12/E10))</f>
        <v>43698.545010477654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8019.3876783170927</v>
      </c>
      <c r="D23" s="748">
        <f>IF(D10=0,0,D20*(D12/D10))</f>
        <v>8858.5733243810355</v>
      </c>
      <c r="E23" s="748">
        <f>IF(E10=0,0,E20*(E12/E10))</f>
        <v>8791.2519151686538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1.1462646384198789</v>
      </c>
      <c r="D26" s="750">
        <v>1.1182115324349735</v>
      </c>
      <c r="E26" s="750">
        <v>1.1270036166007906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18489.248617712648</v>
      </c>
      <c r="D27" s="748">
        <f>D19*D26</f>
        <v>18193.301632717019</v>
      </c>
      <c r="E27" s="748">
        <f>E19*E26</f>
        <v>17007.611578122531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3598.1246999999998</v>
      </c>
      <c r="D28" s="748">
        <f>D20*D26</f>
        <v>3568.2130000000006</v>
      </c>
      <c r="E28" s="748">
        <f>E20*E26</f>
        <v>3421.5829800000001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47235.569463595464</v>
      </c>
      <c r="D29" s="748">
        <f>D22*D26</f>
        <v>50506.642596679703</v>
      </c>
      <c r="E29" s="748">
        <f>E22*E26</f>
        <v>49248.41826700075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9192.3405174349737</v>
      </c>
      <c r="D30" s="748">
        <f>D23*D26</f>
        <v>9905.7588522436945</v>
      </c>
      <c r="E30" s="748">
        <f>E23*E26</f>
        <v>9907.7727028437002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9865.5494730316186</v>
      </c>
      <c r="D33" s="744">
        <f>IF(D19=0,0,D12/D19)</f>
        <v>10485.60307314075</v>
      </c>
      <c r="E33" s="744">
        <f>IF(E19=0,0,E12/E19)</f>
        <v>11352.416605924062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50694.906976744183</v>
      </c>
      <c r="D34" s="744">
        <f>IF(D20=0,0,D12/D20)</f>
        <v>53463.10310247571</v>
      </c>
      <c r="E34" s="744">
        <f>IF(E20=0,0,E12/E20)</f>
        <v>56429.28820816864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3861.6364538127705</v>
      </c>
      <c r="D35" s="744">
        <f>IF(D22=0,0,D12/D22)</f>
        <v>3777.0821757836507</v>
      </c>
      <c r="E35" s="744">
        <f>IF(E22=0,0,E12/E22)</f>
        <v>3920.481081439269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19843.324625676967</v>
      </c>
      <c r="D36" s="744">
        <f>IF(D23=0,0,D12/D23)</f>
        <v>19258.266060795992</v>
      </c>
      <c r="E36" s="744">
        <f>IF(E23=0,0,E12/E23)</f>
        <v>19487.476943346512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3368.8873619411488</v>
      </c>
      <c r="D37" s="744">
        <f>IF(D29=0,0,D12/D29)</f>
        <v>3377.7886081704282</v>
      </c>
      <c r="E37" s="744">
        <f>IF(E29=0,0,E12/E29)</f>
        <v>3478.6765753813806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17311.294408445599</v>
      </c>
      <c r="D38" s="744">
        <f>IF(D30=0,0,D12/D30)</f>
        <v>17222.381903770878</v>
      </c>
      <c r="E38" s="744">
        <f>IF(E30=0,0,E12/E30)</f>
        <v>17291.40586267471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1511.5464315677129</v>
      </c>
      <c r="D39" s="744">
        <f>IF(D22=0,0,D10/D22)</f>
        <v>1360.5654975788973</v>
      </c>
      <c r="E39" s="744">
        <f>IF(E22=0,0,E10/E22)</f>
        <v>1353.9118976573288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7767.2010006967867</v>
      </c>
      <c r="D40" s="744">
        <f>IF(D23=0,0,D10/D23)</f>
        <v>6937.1358964615038</v>
      </c>
      <c r="E40" s="744">
        <f>IF(E23=0,0,E10/E23)</f>
        <v>6729.8697126306815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3697.0603843769372</v>
      </c>
      <c r="D43" s="744">
        <f>IF(D19=0,0,D13/D19)</f>
        <v>4096.4244007375537</v>
      </c>
      <c r="E43" s="744">
        <f>IF(E19=0,0,E13/E19)</f>
        <v>4332.8960307468024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18997.637464160562</v>
      </c>
      <c r="D44" s="744">
        <f>IF(D20=0,0,D13/D20)</f>
        <v>20886.501096834847</v>
      </c>
      <c r="E44" s="744">
        <f>IF(E20=0,0,E13/E20)</f>
        <v>21537.461791831356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1447.1270141905131</v>
      </c>
      <c r="D45" s="744">
        <f>IF(D22=0,0,D13/D22)</f>
        <v>1475.5976819401533</v>
      </c>
      <c r="E45" s="744">
        <f>IF(E22=0,0,E13/E22)</f>
        <v>1496.3366396826691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7436.1767247190119</v>
      </c>
      <c r="D46" s="744">
        <f>IF(D23=0,0,D13/D23)</f>
        <v>7523.652236028297</v>
      </c>
      <c r="E46" s="744">
        <f>IF(E23=0,0,E13/E23)</f>
        <v>7437.8182573949807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1262.4720031365284</v>
      </c>
      <c r="D47" s="744">
        <f>IF(D29=0,0,D13/D29)</f>
        <v>1319.6051365406238</v>
      </c>
      <c r="E47" s="744">
        <f>IF(E29=0,0,E13/E29)</f>
        <v>1327.7123672378634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6487.3123321415133</v>
      </c>
      <c r="D48" s="744">
        <f>IF(D30=0,0,D13/D30)</f>
        <v>6728.2906836464899</v>
      </c>
      <c r="E48" s="744">
        <f>IF(E30=0,0,E13/E30)</f>
        <v>6599.6400968335292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3941.6027278363299</v>
      </c>
      <c r="D51" s="744">
        <f>IF(D19=0,0,D16/D19)</f>
        <v>4084.6172710510141</v>
      </c>
      <c r="E51" s="744">
        <f>IF(E19=0,0,E16/E19)</f>
        <v>4654.4339672652577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20254.237655304238</v>
      </c>
      <c r="D52" s="744">
        <f>IF(D20=0,0,D16/D20)</f>
        <v>20826.299905985583</v>
      </c>
      <c r="E52" s="744">
        <f>IF(E20=0,0,E16/E20)</f>
        <v>23135.725625823452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1542.8473418402821</v>
      </c>
      <c r="D53" s="744">
        <f>IF(D22=0,0,D16/D22)</f>
        <v>1471.3445647112139</v>
      </c>
      <c r="E53" s="744">
        <f>IF(E22=0,0,E16/E22)</f>
        <v>1607.3776136747449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7928.0432060795647</v>
      </c>
      <c r="D54" s="744">
        <f>IF(D23=0,0,D16/D23)</f>
        <v>7501.9668028365559</v>
      </c>
      <c r="E54" s="744">
        <f>IF(E23=0,0,E16/E23)</f>
        <v>7989.7679736381997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1345.9783108786212</v>
      </c>
      <c r="D55" s="744">
        <f>IF(D29=0,0,D16/D29)</f>
        <v>1315.8016368399203</v>
      </c>
      <c r="E55" s="744">
        <f>IF(E29=0,0,E16/E29)</f>
        <v>1426.2399782911373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6916.4161052794407</v>
      </c>
      <c r="D56" s="744">
        <f>IF(D30=0,0,D16/D30)</f>
        <v>6708.8977221515224</v>
      </c>
      <c r="E56" s="744">
        <f>IF(E30=0,0,E16/E30)</f>
        <v>7089.3898262159264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9201815</v>
      </c>
      <c r="D59" s="752">
        <v>9346702</v>
      </c>
      <c r="E59" s="752">
        <v>8836210</v>
      </c>
    </row>
    <row r="60" spans="1:6" ht="26.1" customHeight="1" x14ac:dyDescent="0.25">
      <c r="A60" s="742">
        <v>2</v>
      </c>
      <c r="B60" s="743" t="s">
        <v>970</v>
      </c>
      <c r="C60" s="752">
        <v>2141165</v>
      </c>
      <c r="D60" s="752">
        <v>2547260</v>
      </c>
      <c r="E60" s="752">
        <v>2174748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11342980</v>
      </c>
      <c r="D61" s="755">
        <f>D59+D60</f>
        <v>11893962</v>
      </c>
      <c r="E61" s="755">
        <f>E59+E60</f>
        <v>11010958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17662595</v>
      </c>
      <c r="D69" s="752">
        <v>15764903</v>
      </c>
      <c r="E69" s="752">
        <v>15997009</v>
      </c>
    </row>
    <row r="70" spans="1:6" ht="26.1" customHeight="1" x14ac:dyDescent="0.25">
      <c r="A70" s="742">
        <v>2</v>
      </c>
      <c r="B70" s="743" t="s">
        <v>978</v>
      </c>
      <c r="C70" s="752">
        <v>4109900</v>
      </c>
      <c r="D70" s="752">
        <v>3900830</v>
      </c>
      <c r="E70" s="752">
        <v>3937147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21772495</v>
      </c>
      <c r="D71" s="755">
        <f>D69+D70</f>
        <v>19665733</v>
      </c>
      <c r="E71" s="755">
        <f>E69+E70</f>
        <v>19934156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26864410</v>
      </c>
      <c r="D75" s="744">
        <f t="shared" si="0"/>
        <v>25111605</v>
      </c>
      <c r="E75" s="744">
        <f t="shared" si="0"/>
        <v>24833219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6251065</v>
      </c>
      <c r="D76" s="744">
        <f t="shared" si="0"/>
        <v>6448090</v>
      </c>
      <c r="E76" s="744">
        <f t="shared" si="0"/>
        <v>6111895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33115475</v>
      </c>
      <c r="D77" s="757">
        <f>D75+D76</f>
        <v>31559695</v>
      </c>
      <c r="E77" s="757">
        <f>E75+E76</f>
        <v>30945114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114.2</v>
      </c>
      <c r="D80" s="749">
        <v>115.5</v>
      </c>
      <c r="E80" s="749">
        <v>113.6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984</v>
      </c>
      <c r="C82" s="749">
        <v>346.1</v>
      </c>
      <c r="D82" s="749">
        <v>331.7</v>
      </c>
      <c r="E82" s="749">
        <v>337.7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460.3</v>
      </c>
      <c r="D83" s="759">
        <f>D80+D81+D82</f>
        <v>447.2</v>
      </c>
      <c r="E83" s="759">
        <f>E80+E81+E82</f>
        <v>451.29999999999995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80576.313485113831</v>
      </c>
      <c r="D86" s="752">
        <f>IF(D80=0,0,D59/D80)</f>
        <v>80923.826839826841</v>
      </c>
      <c r="E86" s="752">
        <f>IF(E80=0,0,E59/E80)</f>
        <v>77783.538732394372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18749.255691768827</v>
      </c>
      <c r="D87" s="752">
        <f>IF(D80=0,0,D60/D80)</f>
        <v>22054.199134199134</v>
      </c>
      <c r="E87" s="752">
        <f>IF(E80=0,0,E60/E80)</f>
        <v>19143.908450704228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99325.569176882651</v>
      </c>
      <c r="D88" s="755">
        <f>+D86+D87</f>
        <v>102978.02597402598</v>
      </c>
      <c r="E88" s="755">
        <f>+E86+E87</f>
        <v>96927.4471830986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51033.212944235769</v>
      </c>
      <c r="D96" s="752">
        <f>IF(D82=0,0,D69/D82)</f>
        <v>47527.594211637021</v>
      </c>
      <c r="E96" s="752">
        <f>IF(E82=0,0,E69/E82)</f>
        <v>47370.473793307669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11874.891649812193</v>
      </c>
      <c r="D97" s="752">
        <f>IF(D82=0,0,D70/D82)</f>
        <v>11760.114561350618</v>
      </c>
      <c r="E97" s="752">
        <f>IF(E82=0,0,E70/E82)</f>
        <v>11658.711874444774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62908.10459404796</v>
      </c>
      <c r="D98" s="757">
        <f>+D96+D97</f>
        <v>59287.708772987637</v>
      </c>
      <c r="E98" s="757">
        <f>+E96+E97</f>
        <v>59029.185667752441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58362.828590049969</v>
      </c>
      <c r="D101" s="744">
        <f>IF(D83=0,0,D75/D83)</f>
        <v>56152.962880143117</v>
      </c>
      <c r="E101" s="744">
        <f>IF(E83=0,0,E75/E83)</f>
        <v>55025.967205849774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13580.414946773843</v>
      </c>
      <c r="D102" s="761">
        <f>IF(D83=0,0,D76/D83)</f>
        <v>14418.805903398927</v>
      </c>
      <c r="E102" s="761">
        <f>IF(E83=0,0,E76/E83)</f>
        <v>13542.865056503437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71943.243536823808</v>
      </c>
      <c r="D103" s="757">
        <f>+D101+D102</f>
        <v>70571.768783542037</v>
      </c>
      <c r="E103" s="757">
        <f>+E101+E102</f>
        <v>68568.832262353215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2053.0362678239308</v>
      </c>
      <c r="D108" s="744">
        <f>IF(D19=0,0,D77/D19)</f>
        <v>1939.7476951444376</v>
      </c>
      <c r="E108" s="744">
        <f>IF(E19=0,0,E77/E19)</f>
        <v>2050.567490557286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10549.689391525964</v>
      </c>
      <c r="D109" s="744">
        <f>IF(D20=0,0,D77/D20)</f>
        <v>9890.2209338765279</v>
      </c>
      <c r="E109" s="744">
        <f>IF(E20=0,0,E77/E20)</f>
        <v>10192.725296442688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803.61258280653703</v>
      </c>
      <c r="D110" s="744">
        <f>IF(D22=0,0,D77/D22)</f>
        <v>698.72818890262874</v>
      </c>
      <c r="E110" s="744">
        <f>IF(E22=0,0,E77/E22)</f>
        <v>708.14975630379115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4129.4268750141582</v>
      </c>
      <c r="D111" s="744">
        <f>IF(D23=0,0,D77/D23)</f>
        <v>3562.6159929319242</v>
      </c>
      <c r="E111" s="744">
        <f>IF(E23=0,0,E77/E23)</f>
        <v>3519.9894507182189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701.07072648975168</v>
      </c>
      <c r="D112" s="744">
        <f>IF(D29=0,0,D77/D29)</f>
        <v>624.86226320802257</v>
      </c>
      <c r="E112" s="744">
        <f>IF(E29=0,0,E77/E29)</f>
        <v>628.34736807648892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3602.5074285695114</v>
      </c>
      <c r="D113" s="744">
        <f>IF(D30=0,0,D77/D30)</f>
        <v>3185.9946795344813</v>
      </c>
      <c r="E113" s="744">
        <f>IF(E30=0,0,E77/E30)</f>
        <v>3123.3169076555646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FILING&amp;R&amp;"Arial,Bold"&amp;12JOHNSON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170600764</v>
      </c>
      <c r="D12" s="76">
        <v>171319321</v>
      </c>
      <c r="E12" s="76">
        <f t="shared" ref="E12:E21" si="0">D12-C12</f>
        <v>718557</v>
      </c>
      <c r="F12" s="77">
        <f t="shared" ref="F12:F21" si="1">IF(C12=0,0,E12/C12)</f>
        <v>4.2119213487226822E-3</v>
      </c>
    </row>
    <row r="13" spans="1:8" ht="23.1" customHeight="1" x14ac:dyDescent="0.2">
      <c r="A13" s="74">
        <v>2</v>
      </c>
      <c r="B13" s="75" t="s">
        <v>72</v>
      </c>
      <c r="C13" s="76">
        <v>99445286</v>
      </c>
      <c r="D13" s="76">
        <v>102596531</v>
      </c>
      <c r="E13" s="76">
        <f t="shared" si="0"/>
        <v>3151245</v>
      </c>
      <c r="F13" s="77">
        <f t="shared" si="1"/>
        <v>3.1688229042852768E-2</v>
      </c>
    </row>
    <row r="14" spans="1:8" ht="23.1" customHeight="1" x14ac:dyDescent="0.2">
      <c r="A14" s="74">
        <v>3</v>
      </c>
      <c r="B14" s="75" t="s">
        <v>73</v>
      </c>
      <c r="C14" s="76">
        <v>387404</v>
      </c>
      <c r="D14" s="76">
        <v>221056</v>
      </c>
      <c r="E14" s="76">
        <f t="shared" si="0"/>
        <v>-166348</v>
      </c>
      <c r="F14" s="77">
        <f t="shared" si="1"/>
        <v>-0.4293915395814189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70768074</v>
      </c>
      <c r="D16" s="79">
        <f>D12-D13-D14-D15</f>
        <v>68501734</v>
      </c>
      <c r="E16" s="79">
        <f t="shared" si="0"/>
        <v>-2266340</v>
      </c>
      <c r="F16" s="80">
        <f t="shared" si="1"/>
        <v>-3.2024893032979812E-2</v>
      </c>
    </row>
    <row r="17" spans="1:7" ht="23.1" customHeight="1" x14ac:dyDescent="0.2">
      <c r="A17" s="74">
        <v>5</v>
      </c>
      <c r="B17" s="75" t="s">
        <v>76</v>
      </c>
      <c r="C17" s="76">
        <v>4119249</v>
      </c>
      <c r="D17" s="76">
        <v>3114000</v>
      </c>
      <c r="E17" s="76">
        <f t="shared" si="0"/>
        <v>-1005249</v>
      </c>
      <c r="F17" s="77">
        <f t="shared" si="1"/>
        <v>-0.24403695916415832</v>
      </c>
      <c r="G17" s="65"/>
    </row>
    <row r="18" spans="1:7" ht="31.5" customHeight="1" x14ac:dyDescent="0.25">
      <c r="A18" s="71"/>
      <c r="B18" s="81" t="s">
        <v>77</v>
      </c>
      <c r="C18" s="79">
        <f>C16-C17</f>
        <v>66648825</v>
      </c>
      <c r="D18" s="79">
        <f>D16-D17</f>
        <v>65387734</v>
      </c>
      <c r="E18" s="79">
        <f t="shared" si="0"/>
        <v>-1261091</v>
      </c>
      <c r="F18" s="80">
        <f t="shared" si="1"/>
        <v>-1.8921428847395283E-2</v>
      </c>
    </row>
    <row r="19" spans="1:7" ht="23.1" customHeight="1" x14ac:dyDescent="0.2">
      <c r="A19" s="74">
        <v>6</v>
      </c>
      <c r="B19" s="75" t="s">
        <v>78</v>
      </c>
      <c r="C19" s="76">
        <v>414887</v>
      </c>
      <c r="D19" s="76">
        <v>590810</v>
      </c>
      <c r="E19" s="76">
        <f t="shared" si="0"/>
        <v>175923</v>
      </c>
      <c r="F19" s="77">
        <f t="shared" si="1"/>
        <v>0.42402630113741813</v>
      </c>
      <c r="G19" s="65"/>
    </row>
    <row r="20" spans="1:7" ht="33" customHeight="1" x14ac:dyDescent="0.2">
      <c r="A20" s="74">
        <v>7</v>
      </c>
      <c r="B20" s="82" t="s">
        <v>79</v>
      </c>
      <c r="C20" s="76">
        <v>235925</v>
      </c>
      <c r="D20" s="76">
        <v>23905</v>
      </c>
      <c r="E20" s="76">
        <f t="shared" si="0"/>
        <v>-212020</v>
      </c>
      <c r="F20" s="77">
        <f t="shared" si="1"/>
        <v>-0.89867542651266297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67299637</v>
      </c>
      <c r="D21" s="79">
        <f>SUM(D18:D20)</f>
        <v>66002449</v>
      </c>
      <c r="E21" s="79">
        <f t="shared" si="0"/>
        <v>-1297188</v>
      </c>
      <c r="F21" s="80">
        <f t="shared" si="1"/>
        <v>-1.9274814216308476E-2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25111605</v>
      </c>
      <c r="D24" s="76">
        <v>24833219</v>
      </c>
      <c r="E24" s="76">
        <f t="shared" ref="E24:E33" si="2">D24-C24</f>
        <v>-278386</v>
      </c>
      <c r="F24" s="77">
        <f t="shared" ref="F24:F33" si="3">IF(C24=0,0,E24/C24)</f>
        <v>-1.108595010155663E-2</v>
      </c>
    </row>
    <row r="25" spans="1:7" ht="23.1" customHeight="1" x14ac:dyDescent="0.2">
      <c r="A25" s="74">
        <v>2</v>
      </c>
      <c r="B25" s="75" t="s">
        <v>83</v>
      </c>
      <c r="C25" s="76">
        <v>6448090</v>
      </c>
      <c r="D25" s="76">
        <v>6111895</v>
      </c>
      <c r="E25" s="76">
        <f t="shared" si="2"/>
        <v>-336195</v>
      </c>
      <c r="F25" s="77">
        <f t="shared" si="3"/>
        <v>-5.2138695334587454E-2</v>
      </c>
    </row>
    <row r="26" spans="1:7" ht="23.1" customHeight="1" x14ac:dyDescent="0.2">
      <c r="A26" s="74">
        <v>3</v>
      </c>
      <c r="B26" s="75" t="s">
        <v>84</v>
      </c>
      <c r="C26" s="76">
        <v>2126346</v>
      </c>
      <c r="D26" s="76">
        <v>4050496</v>
      </c>
      <c r="E26" s="76">
        <f t="shared" si="2"/>
        <v>1924150</v>
      </c>
      <c r="F26" s="77">
        <f t="shared" si="3"/>
        <v>0.90490917282511873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10153960</v>
      </c>
      <c r="D27" s="76">
        <v>10665670</v>
      </c>
      <c r="E27" s="76">
        <f t="shared" si="2"/>
        <v>511710</v>
      </c>
      <c r="F27" s="77">
        <f t="shared" si="3"/>
        <v>5.0395116782023956E-2</v>
      </c>
    </row>
    <row r="28" spans="1:7" ht="23.1" customHeight="1" x14ac:dyDescent="0.2">
      <c r="A28" s="74">
        <v>5</v>
      </c>
      <c r="B28" s="75" t="s">
        <v>86</v>
      </c>
      <c r="C28" s="76">
        <v>2314386</v>
      </c>
      <c r="D28" s="76">
        <v>1804654</v>
      </c>
      <c r="E28" s="76">
        <f t="shared" si="2"/>
        <v>-509732</v>
      </c>
      <c r="F28" s="77">
        <f t="shared" si="3"/>
        <v>-0.22024502395019674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1459503</v>
      </c>
      <c r="D30" s="76">
        <v>975626</v>
      </c>
      <c r="E30" s="76">
        <f t="shared" si="2"/>
        <v>-483877</v>
      </c>
      <c r="F30" s="77">
        <f t="shared" si="3"/>
        <v>-0.33153546104393072</v>
      </c>
    </row>
    <row r="31" spans="1:7" ht="23.1" customHeight="1" x14ac:dyDescent="0.2">
      <c r="A31" s="74">
        <v>8</v>
      </c>
      <c r="B31" s="75" t="s">
        <v>89</v>
      </c>
      <c r="C31" s="76">
        <v>1129342</v>
      </c>
      <c r="D31" s="76">
        <v>1058521</v>
      </c>
      <c r="E31" s="76">
        <f t="shared" si="2"/>
        <v>-70821</v>
      </c>
      <c r="F31" s="77">
        <f t="shared" si="3"/>
        <v>-6.2709967396944413E-2</v>
      </c>
    </row>
    <row r="32" spans="1:7" ht="23.1" customHeight="1" x14ac:dyDescent="0.2">
      <c r="A32" s="74">
        <v>9</v>
      </c>
      <c r="B32" s="75" t="s">
        <v>90</v>
      </c>
      <c r="C32" s="76">
        <v>17713491</v>
      </c>
      <c r="D32" s="76">
        <v>20739982</v>
      </c>
      <c r="E32" s="76">
        <f t="shared" si="2"/>
        <v>3026491</v>
      </c>
      <c r="F32" s="77">
        <f t="shared" si="3"/>
        <v>0.17085796357138183</v>
      </c>
    </row>
    <row r="33" spans="1:6" ht="23.1" customHeight="1" x14ac:dyDescent="0.25">
      <c r="A33" s="71"/>
      <c r="B33" s="78" t="s">
        <v>91</v>
      </c>
      <c r="C33" s="79">
        <f>SUM(C24:C32)</f>
        <v>66456723</v>
      </c>
      <c r="D33" s="79">
        <f>SUM(D24:D32)</f>
        <v>70240063</v>
      </c>
      <c r="E33" s="79">
        <f t="shared" si="2"/>
        <v>3783340</v>
      </c>
      <c r="F33" s="80">
        <f t="shared" si="3"/>
        <v>5.692937943991009E-2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842914</v>
      </c>
      <c r="D35" s="79">
        <f>+D21-D33</f>
        <v>-4237614</v>
      </c>
      <c r="E35" s="79">
        <f>D35-C35</f>
        <v>-5080528</v>
      </c>
      <c r="F35" s="80">
        <f>IF(C35=0,0,E35/C35)</f>
        <v>-6.0273384947930628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357200</v>
      </c>
      <c r="D38" s="76">
        <v>228556</v>
      </c>
      <c r="E38" s="76">
        <f>D38-C38</f>
        <v>-128644</v>
      </c>
      <c r="F38" s="77">
        <f>IF(C38=0,0,E38/C38)</f>
        <v>-0.36014557670772679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4203</v>
      </c>
      <c r="D40" s="76">
        <v>0</v>
      </c>
      <c r="E40" s="76">
        <f>D40-C40</f>
        <v>-4203</v>
      </c>
      <c r="F40" s="77">
        <f>IF(C40=0,0,E40/C40)</f>
        <v>-1</v>
      </c>
    </row>
    <row r="41" spans="1:6" ht="23.1" customHeight="1" x14ac:dyDescent="0.25">
      <c r="A41" s="83"/>
      <c r="B41" s="78" t="s">
        <v>97</v>
      </c>
      <c r="C41" s="79">
        <f>SUM(C38:C40)</f>
        <v>361403</v>
      </c>
      <c r="D41" s="79">
        <f>SUM(D38:D40)</f>
        <v>228556</v>
      </c>
      <c r="E41" s="79">
        <f>D41-C41</f>
        <v>-132847</v>
      </c>
      <c r="F41" s="80">
        <f>IF(C41=0,0,E41/C41)</f>
        <v>-0.36758687669997203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1204317</v>
      </c>
      <c r="D43" s="79">
        <f>D35+D41</f>
        <v>-4009058</v>
      </c>
      <c r="E43" s="79">
        <f>D43-C43</f>
        <v>-5213375</v>
      </c>
      <c r="F43" s="80">
        <f>IF(C43=0,0,E43/C43)</f>
        <v>-4.328905927592154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1204317</v>
      </c>
      <c r="D50" s="79">
        <f>D43+D48</f>
        <v>-4009058</v>
      </c>
      <c r="E50" s="79">
        <f>D50-C50</f>
        <v>-5213375</v>
      </c>
      <c r="F50" s="80">
        <f>IF(C50=0,0,E50/C50)</f>
        <v>-4.328905927592154</v>
      </c>
    </row>
    <row r="51" spans="1:6" ht="23.1" customHeight="1" x14ac:dyDescent="0.2">
      <c r="A51" s="85"/>
      <c r="B51" s="75" t="s">
        <v>104</v>
      </c>
      <c r="C51" s="76">
        <v>106608</v>
      </c>
      <c r="D51" s="76">
        <v>184222</v>
      </c>
      <c r="E51" s="76">
        <f>D51-C51</f>
        <v>77614</v>
      </c>
      <c r="F51" s="77">
        <f>IF(C51=0,0,E51/C51)</f>
        <v>0.72803166741707936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orientation="portrait" horizontalDpi="1200" verticalDpi="1200" r:id="rId1"/>
  <headerFooter>
    <oddHeader>&amp;LOFFICE OF HEALTH CARE ACCESS&amp;CTWELVE MONTHS ACTUAL FILING&amp;RJOHNSON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28946962</v>
      </c>
      <c r="D14" s="113">
        <v>26176710</v>
      </c>
      <c r="E14" s="113">
        <f t="shared" ref="E14:E25" si="0">D14-C14</f>
        <v>-2770252</v>
      </c>
      <c r="F14" s="114">
        <f t="shared" ref="F14:F25" si="1">IF(C14=0,0,E14/C14)</f>
        <v>-9.5700958186907492E-2</v>
      </c>
    </row>
    <row r="15" spans="1:6" x14ac:dyDescent="0.2">
      <c r="A15" s="115">
        <v>2</v>
      </c>
      <c r="B15" s="116" t="s">
        <v>114</v>
      </c>
      <c r="C15" s="113">
        <v>8847807</v>
      </c>
      <c r="D15" s="113">
        <v>9017001</v>
      </c>
      <c r="E15" s="113">
        <f t="shared" si="0"/>
        <v>169194</v>
      </c>
      <c r="F15" s="114">
        <f t="shared" si="1"/>
        <v>1.9122704643082744E-2</v>
      </c>
    </row>
    <row r="16" spans="1:6" x14ac:dyDescent="0.2">
      <c r="A16" s="115">
        <v>3</v>
      </c>
      <c r="B16" s="116" t="s">
        <v>115</v>
      </c>
      <c r="C16" s="113">
        <v>10503345</v>
      </c>
      <c r="D16" s="113">
        <v>10212033</v>
      </c>
      <c r="E16" s="113">
        <f t="shared" si="0"/>
        <v>-291312</v>
      </c>
      <c r="F16" s="114">
        <f t="shared" si="1"/>
        <v>-2.7735164369065285E-2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370688</v>
      </c>
      <c r="D18" s="113">
        <v>741009</v>
      </c>
      <c r="E18" s="113">
        <f t="shared" si="0"/>
        <v>370321</v>
      </c>
      <c r="F18" s="114">
        <f t="shared" si="1"/>
        <v>0.99900994906767959</v>
      </c>
    </row>
    <row r="19" spans="1:6" x14ac:dyDescent="0.2">
      <c r="A19" s="115">
        <v>6</v>
      </c>
      <c r="B19" s="116" t="s">
        <v>118</v>
      </c>
      <c r="C19" s="113">
        <v>618868</v>
      </c>
      <c r="D19" s="113">
        <v>715246</v>
      </c>
      <c r="E19" s="113">
        <f t="shared" si="0"/>
        <v>96378</v>
      </c>
      <c r="F19" s="114">
        <f t="shared" si="1"/>
        <v>0.1557327249106433</v>
      </c>
    </row>
    <row r="20" spans="1:6" x14ac:dyDescent="0.2">
      <c r="A20" s="115">
        <v>7</v>
      </c>
      <c r="B20" s="116" t="s">
        <v>119</v>
      </c>
      <c r="C20" s="113">
        <v>11553882</v>
      </c>
      <c r="D20" s="113">
        <v>11458464</v>
      </c>
      <c r="E20" s="113">
        <f t="shared" si="0"/>
        <v>-95418</v>
      </c>
      <c r="F20" s="114">
        <f t="shared" si="1"/>
        <v>-8.2585229795492116E-3</v>
      </c>
    </row>
    <row r="21" spans="1:6" x14ac:dyDescent="0.2">
      <c r="A21" s="115">
        <v>8</v>
      </c>
      <c r="B21" s="116" t="s">
        <v>120</v>
      </c>
      <c r="C21" s="113">
        <v>64709</v>
      </c>
      <c r="D21" s="113">
        <v>136899</v>
      </c>
      <c r="E21" s="113">
        <f t="shared" si="0"/>
        <v>72190</v>
      </c>
      <c r="F21" s="114">
        <f t="shared" si="1"/>
        <v>1.1156098842510316</v>
      </c>
    </row>
    <row r="22" spans="1:6" x14ac:dyDescent="0.2">
      <c r="A22" s="115">
        <v>9</v>
      </c>
      <c r="B22" s="116" t="s">
        <v>121</v>
      </c>
      <c r="C22" s="113">
        <v>546866</v>
      </c>
      <c r="D22" s="113">
        <v>706618</v>
      </c>
      <c r="E22" s="113">
        <f t="shared" si="0"/>
        <v>159752</v>
      </c>
      <c r="F22" s="114">
        <f t="shared" si="1"/>
        <v>0.29212275036297741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61453127</v>
      </c>
      <c r="D25" s="119">
        <f>SUM(D14:D24)</f>
        <v>59163980</v>
      </c>
      <c r="E25" s="119">
        <f t="shared" si="0"/>
        <v>-2289147</v>
      </c>
      <c r="F25" s="120">
        <f t="shared" si="1"/>
        <v>-3.725029321941583E-2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29272118</v>
      </c>
      <c r="D27" s="113">
        <v>29476708</v>
      </c>
      <c r="E27" s="113">
        <f t="shared" ref="E27:E38" si="2">D27-C27</f>
        <v>204590</v>
      </c>
      <c r="F27" s="114">
        <f t="shared" ref="F27:F38" si="3">IF(C27=0,0,E27/C27)</f>
        <v>6.989244850680091E-3</v>
      </c>
    </row>
    <row r="28" spans="1:6" x14ac:dyDescent="0.2">
      <c r="A28" s="115">
        <v>2</v>
      </c>
      <c r="B28" s="116" t="s">
        <v>114</v>
      </c>
      <c r="C28" s="113">
        <v>11997937</v>
      </c>
      <c r="D28" s="113">
        <v>13991385</v>
      </c>
      <c r="E28" s="113">
        <f t="shared" si="2"/>
        <v>1993448</v>
      </c>
      <c r="F28" s="114">
        <f t="shared" si="3"/>
        <v>0.16614923048854149</v>
      </c>
    </row>
    <row r="29" spans="1:6" x14ac:dyDescent="0.2">
      <c r="A29" s="115">
        <v>3</v>
      </c>
      <c r="B29" s="116" t="s">
        <v>115</v>
      </c>
      <c r="C29" s="113">
        <v>20760315</v>
      </c>
      <c r="D29" s="113">
        <v>21840217</v>
      </c>
      <c r="E29" s="113">
        <f t="shared" si="2"/>
        <v>1079902</v>
      </c>
      <c r="F29" s="114">
        <f t="shared" si="3"/>
        <v>5.201761148614556E-2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593638</v>
      </c>
      <c r="D31" s="113">
        <v>743123</v>
      </c>
      <c r="E31" s="113">
        <f t="shared" si="2"/>
        <v>149485</v>
      </c>
      <c r="F31" s="114">
        <f t="shared" si="3"/>
        <v>0.25181171016680198</v>
      </c>
    </row>
    <row r="32" spans="1:6" x14ac:dyDescent="0.2">
      <c r="A32" s="115">
        <v>6</v>
      </c>
      <c r="B32" s="116" t="s">
        <v>118</v>
      </c>
      <c r="C32" s="113">
        <v>986652</v>
      </c>
      <c r="D32" s="113">
        <v>1275247</v>
      </c>
      <c r="E32" s="113">
        <f t="shared" si="2"/>
        <v>288595</v>
      </c>
      <c r="F32" s="114">
        <f t="shared" si="3"/>
        <v>0.29249928039470857</v>
      </c>
    </row>
    <row r="33" spans="1:6" x14ac:dyDescent="0.2">
      <c r="A33" s="115">
        <v>7</v>
      </c>
      <c r="B33" s="116" t="s">
        <v>119</v>
      </c>
      <c r="C33" s="113">
        <v>41670356</v>
      </c>
      <c r="D33" s="113">
        <v>41336844</v>
      </c>
      <c r="E33" s="113">
        <f t="shared" si="2"/>
        <v>-333512</v>
      </c>
      <c r="F33" s="114">
        <f t="shared" si="3"/>
        <v>-8.0035793310717102E-3</v>
      </c>
    </row>
    <row r="34" spans="1:6" x14ac:dyDescent="0.2">
      <c r="A34" s="115">
        <v>8</v>
      </c>
      <c r="B34" s="116" t="s">
        <v>120</v>
      </c>
      <c r="C34" s="113">
        <v>1900052</v>
      </c>
      <c r="D34" s="113">
        <v>2034037</v>
      </c>
      <c r="E34" s="113">
        <f t="shared" si="2"/>
        <v>133985</v>
      </c>
      <c r="F34" s="114">
        <f t="shared" si="3"/>
        <v>7.0516491127611242E-2</v>
      </c>
    </row>
    <row r="35" spans="1:6" x14ac:dyDescent="0.2">
      <c r="A35" s="115">
        <v>9</v>
      </c>
      <c r="B35" s="116" t="s">
        <v>121</v>
      </c>
      <c r="C35" s="113">
        <v>1966567</v>
      </c>
      <c r="D35" s="113">
        <v>1457778</v>
      </c>
      <c r="E35" s="113">
        <f t="shared" si="2"/>
        <v>-508789</v>
      </c>
      <c r="F35" s="114">
        <f t="shared" si="3"/>
        <v>-0.25871938255853982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109147635</v>
      </c>
      <c r="D38" s="119">
        <f>SUM(D27:D37)</f>
        <v>112155339</v>
      </c>
      <c r="E38" s="119">
        <f t="shared" si="2"/>
        <v>3007704</v>
      </c>
      <c r="F38" s="120">
        <f t="shared" si="3"/>
        <v>2.755629107309563E-2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58219080</v>
      </c>
      <c r="D41" s="119">
        <f t="shared" si="4"/>
        <v>55653418</v>
      </c>
      <c r="E41" s="123">
        <f t="shared" ref="E41:E52" si="5">D41-C41</f>
        <v>-2565662</v>
      </c>
      <c r="F41" s="124">
        <f t="shared" ref="F41:F52" si="6">IF(C41=0,0,E41/C41)</f>
        <v>-4.4069092125811678E-2</v>
      </c>
    </row>
    <row r="42" spans="1:6" ht="15.75" x14ac:dyDescent="0.25">
      <c r="A42" s="121">
        <v>2</v>
      </c>
      <c r="B42" s="122" t="s">
        <v>114</v>
      </c>
      <c r="C42" s="119">
        <f t="shared" si="4"/>
        <v>20845744</v>
      </c>
      <c r="D42" s="119">
        <f t="shared" si="4"/>
        <v>23008386</v>
      </c>
      <c r="E42" s="123">
        <f t="shared" si="5"/>
        <v>2162642</v>
      </c>
      <c r="F42" s="124">
        <f t="shared" si="6"/>
        <v>0.10374501385030921</v>
      </c>
    </row>
    <row r="43" spans="1:6" ht="15.75" x14ac:dyDescent="0.25">
      <c r="A43" s="121">
        <v>3</v>
      </c>
      <c r="B43" s="122" t="s">
        <v>115</v>
      </c>
      <c r="C43" s="119">
        <f t="shared" si="4"/>
        <v>31263660</v>
      </c>
      <c r="D43" s="119">
        <f t="shared" si="4"/>
        <v>32052250</v>
      </c>
      <c r="E43" s="123">
        <f t="shared" si="5"/>
        <v>788590</v>
      </c>
      <c r="F43" s="124">
        <f t="shared" si="6"/>
        <v>2.5223854148874444E-2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964326</v>
      </c>
      <c r="D45" s="119">
        <f t="shared" si="4"/>
        <v>1484132</v>
      </c>
      <c r="E45" s="123">
        <f t="shared" si="5"/>
        <v>519806</v>
      </c>
      <c r="F45" s="124">
        <f t="shared" si="6"/>
        <v>0.53903555436646944</v>
      </c>
    </row>
    <row r="46" spans="1:6" ht="15.75" x14ac:dyDescent="0.25">
      <c r="A46" s="121">
        <v>6</v>
      </c>
      <c r="B46" s="122" t="s">
        <v>118</v>
      </c>
      <c r="C46" s="119">
        <f t="shared" si="4"/>
        <v>1605520</v>
      </c>
      <c r="D46" s="119">
        <f t="shared" si="4"/>
        <v>1990493</v>
      </c>
      <c r="E46" s="123">
        <f t="shared" si="5"/>
        <v>384973</v>
      </c>
      <c r="F46" s="124">
        <f t="shared" si="6"/>
        <v>0.23978088096068564</v>
      </c>
    </row>
    <row r="47" spans="1:6" ht="15.75" x14ac:dyDescent="0.25">
      <c r="A47" s="121">
        <v>7</v>
      </c>
      <c r="B47" s="122" t="s">
        <v>119</v>
      </c>
      <c r="C47" s="119">
        <f t="shared" si="4"/>
        <v>53224238</v>
      </c>
      <c r="D47" s="119">
        <f t="shared" si="4"/>
        <v>52795308</v>
      </c>
      <c r="E47" s="123">
        <f t="shared" si="5"/>
        <v>-428930</v>
      </c>
      <c r="F47" s="124">
        <f t="shared" si="6"/>
        <v>-8.0589223278311663E-3</v>
      </c>
    </row>
    <row r="48" spans="1:6" ht="15.75" x14ac:dyDescent="0.25">
      <c r="A48" s="121">
        <v>8</v>
      </c>
      <c r="B48" s="122" t="s">
        <v>120</v>
      </c>
      <c r="C48" s="119">
        <f t="shared" si="4"/>
        <v>1964761</v>
      </c>
      <c r="D48" s="119">
        <f t="shared" si="4"/>
        <v>2170936</v>
      </c>
      <c r="E48" s="123">
        <f t="shared" si="5"/>
        <v>206175</v>
      </c>
      <c r="F48" s="124">
        <f t="shared" si="6"/>
        <v>0.10493642738226176</v>
      </c>
    </row>
    <row r="49" spans="1:6" ht="15.75" x14ac:dyDescent="0.25">
      <c r="A49" s="121">
        <v>9</v>
      </c>
      <c r="B49" s="122" t="s">
        <v>121</v>
      </c>
      <c r="C49" s="119">
        <f t="shared" si="4"/>
        <v>2513433</v>
      </c>
      <c r="D49" s="119">
        <f t="shared" si="4"/>
        <v>2164396</v>
      </c>
      <c r="E49" s="123">
        <f t="shared" si="5"/>
        <v>-349037</v>
      </c>
      <c r="F49" s="124">
        <f t="shared" si="6"/>
        <v>-0.13886863107152647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170600762</v>
      </c>
      <c r="D52" s="128">
        <f>SUM(D41:D51)</f>
        <v>171319319</v>
      </c>
      <c r="E52" s="127">
        <f t="shared" si="5"/>
        <v>718557</v>
      </c>
      <c r="F52" s="129">
        <f t="shared" si="6"/>
        <v>4.2119213981002034E-3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10978208</v>
      </c>
      <c r="D57" s="113">
        <v>9839566</v>
      </c>
      <c r="E57" s="113">
        <f t="shared" ref="E57:E68" si="7">D57-C57</f>
        <v>-1138642</v>
      </c>
      <c r="F57" s="114">
        <f t="shared" ref="F57:F68" si="8">IF(C57=0,0,E57/C57)</f>
        <v>-0.10371838463982465</v>
      </c>
    </row>
    <row r="58" spans="1:6" x14ac:dyDescent="0.2">
      <c r="A58" s="115">
        <v>2</v>
      </c>
      <c r="B58" s="116" t="s">
        <v>114</v>
      </c>
      <c r="C58" s="113">
        <v>3119323</v>
      </c>
      <c r="D58" s="113">
        <v>3039798</v>
      </c>
      <c r="E58" s="113">
        <f t="shared" si="7"/>
        <v>-79525</v>
      </c>
      <c r="F58" s="114">
        <f t="shared" si="8"/>
        <v>-2.5494313990567827E-2</v>
      </c>
    </row>
    <row r="59" spans="1:6" x14ac:dyDescent="0.2">
      <c r="A59" s="115">
        <v>3</v>
      </c>
      <c r="B59" s="116" t="s">
        <v>115</v>
      </c>
      <c r="C59" s="113">
        <v>5211995</v>
      </c>
      <c r="D59" s="113">
        <v>3942846</v>
      </c>
      <c r="E59" s="113">
        <f t="shared" si="7"/>
        <v>-1269149</v>
      </c>
      <c r="F59" s="114">
        <f t="shared" si="8"/>
        <v>-0.24350541395377395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155890</v>
      </c>
      <c r="D61" s="113">
        <v>273260</v>
      </c>
      <c r="E61" s="113">
        <f t="shared" si="7"/>
        <v>117370</v>
      </c>
      <c r="F61" s="114">
        <f t="shared" si="8"/>
        <v>0.75290268779267433</v>
      </c>
    </row>
    <row r="62" spans="1:6" x14ac:dyDescent="0.2">
      <c r="A62" s="115">
        <v>6</v>
      </c>
      <c r="B62" s="116" t="s">
        <v>118</v>
      </c>
      <c r="C62" s="113">
        <v>518527</v>
      </c>
      <c r="D62" s="113">
        <v>539280</v>
      </c>
      <c r="E62" s="113">
        <f t="shared" si="7"/>
        <v>20753</v>
      </c>
      <c r="F62" s="114">
        <f t="shared" si="8"/>
        <v>4.0022988195407373E-2</v>
      </c>
    </row>
    <row r="63" spans="1:6" x14ac:dyDescent="0.2">
      <c r="A63" s="115">
        <v>7</v>
      </c>
      <c r="B63" s="116" t="s">
        <v>119</v>
      </c>
      <c r="C63" s="113">
        <v>7332745</v>
      </c>
      <c r="D63" s="113">
        <v>7625014</v>
      </c>
      <c r="E63" s="113">
        <f t="shared" si="7"/>
        <v>292269</v>
      </c>
      <c r="F63" s="114">
        <f t="shared" si="8"/>
        <v>3.9858061339921133E-2</v>
      </c>
    </row>
    <row r="64" spans="1:6" x14ac:dyDescent="0.2">
      <c r="A64" s="115">
        <v>8</v>
      </c>
      <c r="B64" s="116" t="s">
        <v>120</v>
      </c>
      <c r="C64" s="113">
        <v>48900</v>
      </c>
      <c r="D64" s="113">
        <v>109895</v>
      </c>
      <c r="E64" s="113">
        <f t="shared" si="7"/>
        <v>60995</v>
      </c>
      <c r="F64" s="114">
        <f t="shared" si="8"/>
        <v>1.2473415132924335</v>
      </c>
    </row>
    <row r="65" spans="1:6" x14ac:dyDescent="0.2">
      <c r="A65" s="115">
        <v>9</v>
      </c>
      <c r="B65" s="116" t="s">
        <v>121</v>
      </c>
      <c r="C65" s="113">
        <v>5904</v>
      </c>
      <c r="D65" s="113">
        <v>13345</v>
      </c>
      <c r="E65" s="113">
        <f t="shared" si="7"/>
        <v>7441</v>
      </c>
      <c r="F65" s="114">
        <f t="shared" si="8"/>
        <v>1.2603319783197833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27371492</v>
      </c>
      <c r="D68" s="119">
        <f>SUM(D57:D67)</f>
        <v>25383004</v>
      </c>
      <c r="E68" s="119">
        <f t="shared" si="7"/>
        <v>-1988488</v>
      </c>
      <c r="F68" s="120">
        <f t="shared" si="8"/>
        <v>-7.2648140627482052E-2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7510348</v>
      </c>
      <c r="D70" s="113">
        <v>6870264</v>
      </c>
      <c r="E70" s="113">
        <f t="shared" ref="E70:E81" si="9">D70-C70</f>
        <v>-640084</v>
      </c>
      <c r="F70" s="114">
        <f t="shared" ref="F70:F81" si="10">IF(C70=0,0,E70/C70)</f>
        <v>-8.5226942879344611E-2</v>
      </c>
    </row>
    <row r="71" spans="1:6" x14ac:dyDescent="0.2">
      <c r="A71" s="115">
        <v>2</v>
      </c>
      <c r="B71" s="116" t="s">
        <v>114</v>
      </c>
      <c r="C71" s="113">
        <v>3063902</v>
      </c>
      <c r="D71" s="113">
        <v>3272062</v>
      </c>
      <c r="E71" s="113">
        <f t="shared" si="9"/>
        <v>208160</v>
      </c>
      <c r="F71" s="114">
        <f t="shared" si="10"/>
        <v>6.7939509814608959E-2</v>
      </c>
    </row>
    <row r="72" spans="1:6" x14ac:dyDescent="0.2">
      <c r="A72" s="115">
        <v>3</v>
      </c>
      <c r="B72" s="116" t="s">
        <v>115</v>
      </c>
      <c r="C72" s="113">
        <v>4425841</v>
      </c>
      <c r="D72" s="113">
        <v>4752140</v>
      </c>
      <c r="E72" s="113">
        <f t="shared" si="9"/>
        <v>326299</v>
      </c>
      <c r="F72" s="114">
        <f t="shared" si="10"/>
        <v>7.3725874924110466E-2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183266</v>
      </c>
      <c r="D74" s="113">
        <v>257374</v>
      </c>
      <c r="E74" s="113">
        <f t="shared" si="9"/>
        <v>74108</v>
      </c>
      <c r="F74" s="114">
        <f t="shared" si="10"/>
        <v>0.40437397007628256</v>
      </c>
    </row>
    <row r="75" spans="1:6" x14ac:dyDescent="0.2">
      <c r="A75" s="115">
        <v>6</v>
      </c>
      <c r="B75" s="116" t="s">
        <v>118</v>
      </c>
      <c r="C75" s="113">
        <v>459289</v>
      </c>
      <c r="D75" s="113">
        <v>817554</v>
      </c>
      <c r="E75" s="113">
        <f t="shared" si="9"/>
        <v>358265</v>
      </c>
      <c r="F75" s="114">
        <f t="shared" si="10"/>
        <v>0.78004263111025951</v>
      </c>
    </row>
    <row r="76" spans="1:6" x14ac:dyDescent="0.2">
      <c r="A76" s="115">
        <v>7</v>
      </c>
      <c r="B76" s="116" t="s">
        <v>119</v>
      </c>
      <c r="C76" s="113">
        <v>22138310</v>
      </c>
      <c r="D76" s="113">
        <v>22881508</v>
      </c>
      <c r="E76" s="113">
        <f t="shared" si="9"/>
        <v>743198</v>
      </c>
      <c r="F76" s="114">
        <f t="shared" si="10"/>
        <v>3.3570674545617983E-2</v>
      </c>
    </row>
    <row r="77" spans="1:6" x14ac:dyDescent="0.2">
      <c r="A77" s="115">
        <v>8</v>
      </c>
      <c r="B77" s="116" t="s">
        <v>120</v>
      </c>
      <c r="C77" s="113">
        <v>1212041</v>
      </c>
      <c r="D77" s="113">
        <v>1041324</v>
      </c>
      <c r="E77" s="113">
        <f t="shared" si="9"/>
        <v>-170717</v>
      </c>
      <c r="F77" s="114">
        <f t="shared" si="10"/>
        <v>-0.14085084580472113</v>
      </c>
    </row>
    <row r="78" spans="1:6" x14ac:dyDescent="0.2">
      <c r="A78" s="115">
        <v>9</v>
      </c>
      <c r="B78" s="116" t="s">
        <v>121</v>
      </c>
      <c r="C78" s="113">
        <v>284363</v>
      </c>
      <c r="D78" s="113">
        <v>112504</v>
      </c>
      <c r="E78" s="113">
        <f t="shared" si="9"/>
        <v>-171859</v>
      </c>
      <c r="F78" s="114">
        <f t="shared" si="10"/>
        <v>-0.60436484352746311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39277360</v>
      </c>
      <c r="D81" s="119">
        <f>SUM(D70:D80)</f>
        <v>40004730</v>
      </c>
      <c r="E81" s="119">
        <f t="shared" si="9"/>
        <v>727370</v>
      </c>
      <c r="F81" s="120">
        <f t="shared" si="10"/>
        <v>1.8518810836573536E-2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18488556</v>
      </c>
      <c r="D84" s="119">
        <f t="shared" si="11"/>
        <v>16709830</v>
      </c>
      <c r="E84" s="119">
        <f t="shared" ref="E84:E95" si="12">D84-C84</f>
        <v>-1778726</v>
      </c>
      <c r="F84" s="120">
        <f t="shared" ref="F84:F95" si="13">IF(C84=0,0,E84/C84)</f>
        <v>-9.6206864397630626E-2</v>
      </c>
    </row>
    <row r="85" spans="1:6" ht="15.75" x14ac:dyDescent="0.25">
      <c r="A85" s="130">
        <v>2</v>
      </c>
      <c r="B85" s="122" t="s">
        <v>114</v>
      </c>
      <c r="C85" s="119">
        <f t="shared" si="11"/>
        <v>6183225</v>
      </c>
      <c r="D85" s="119">
        <f t="shared" si="11"/>
        <v>6311860</v>
      </c>
      <c r="E85" s="119">
        <f t="shared" si="12"/>
        <v>128635</v>
      </c>
      <c r="F85" s="120">
        <f t="shared" si="13"/>
        <v>2.0803868531389363E-2</v>
      </c>
    </row>
    <row r="86" spans="1:6" ht="15.75" x14ac:dyDescent="0.25">
      <c r="A86" s="130">
        <v>3</v>
      </c>
      <c r="B86" s="122" t="s">
        <v>115</v>
      </c>
      <c r="C86" s="119">
        <f t="shared" si="11"/>
        <v>9637836</v>
      </c>
      <c r="D86" s="119">
        <f t="shared" si="11"/>
        <v>8694986</v>
      </c>
      <c r="E86" s="119">
        <f t="shared" si="12"/>
        <v>-942850</v>
      </c>
      <c r="F86" s="120">
        <f t="shared" si="13"/>
        <v>-9.7827977151717455E-2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339156</v>
      </c>
      <c r="D88" s="119">
        <f t="shared" si="11"/>
        <v>530634</v>
      </c>
      <c r="E88" s="119">
        <f t="shared" si="12"/>
        <v>191478</v>
      </c>
      <c r="F88" s="120">
        <f t="shared" si="13"/>
        <v>0.56457205533736687</v>
      </c>
    </row>
    <row r="89" spans="1:6" ht="15.75" x14ac:dyDescent="0.25">
      <c r="A89" s="130">
        <v>6</v>
      </c>
      <c r="B89" s="122" t="s">
        <v>118</v>
      </c>
      <c r="C89" s="119">
        <f t="shared" si="11"/>
        <v>977816</v>
      </c>
      <c r="D89" s="119">
        <f t="shared" si="11"/>
        <v>1356834</v>
      </c>
      <c r="E89" s="119">
        <f t="shared" si="12"/>
        <v>379018</v>
      </c>
      <c r="F89" s="120">
        <f t="shared" si="13"/>
        <v>0.38761689315781295</v>
      </c>
    </row>
    <row r="90" spans="1:6" ht="15.75" x14ac:dyDescent="0.25">
      <c r="A90" s="130">
        <v>7</v>
      </c>
      <c r="B90" s="122" t="s">
        <v>119</v>
      </c>
      <c r="C90" s="119">
        <f t="shared" si="11"/>
        <v>29471055</v>
      </c>
      <c r="D90" s="119">
        <f t="shared" si="11"/>
        <v>30506522</v>
      </c>
      <c r="E90" s="119">
        <f t="shared" si="12"/>
        <v>1035467</v>
      </c>
      <c r="F90" s="120">
        <f t="shared" si="13"/>
        <v>3.5135050306139365E-2</v>
      </c>
    </row>
    <row r="91" spans="1:6" ht="15.75" x14ac:dyDescent="0.25">
      <c r="A91" s="130">
        <v>8</v>
      </c>
      <c r="B91" s="122" t="s">
        <v>120</v>
      </c>
      <c r="C91" s="119">
        <f t="shared" si="11"/>
        <v>1260941</v>
      </c>
      <c r="D91" s="119">
        <f t="shared" si="11"/>
        <v>1151219</v>
      </c>
      <c r="E91" s="119">
        <f t="shared" si="12"/>
        <v>-109722</v>
      </c>
      <c r="F91" s="120">
        <f t="shared" si="13"/>
        <v>-8.7015966647130988E-2</v>
      </c>
    </row>
    <row r="92" spans="1:6" ht="15.75" x14ac:dyDescent="0.25">
      <c r="A92" s="130">
        <v>9</v>
      </c>
      <c r="B92" s="122" t="s">
        <v>121</v>
      </c>
      <c r="C92" s="119">
        <f t="shared" si="11"/>
        <v>290267</v>
      </c>
      <c r="D92" s="119">
        <f t="shared" si="11"/>
        <v>125849</v>
      </c>
      <c r="E92" s="119">
        <f t="shared" si="12"/>
        <v>-164418</v>
      </c>
      <c r="F92" s="120">
        <f t="shared" si="13"/>
        <v>-0.56643710790410207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66648852</v>
      </c>
      <c r="D95" s="128">
        <f>SUM(D84:D94)</f>
        <v>65387734</v>
      </c>
      <c r="E95" s="128">
        <f t="shared" si="12"/>
        <v>-1261118</v>
      </c>
      <c r="F95" s="129">
        <f t="shared" si="13"/>
        <v>-1.8921826290421325E-2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1195</v>
      </c>
      <c r="D100" s="133">
        <v>1104</v>
      </c>
      <c r="E100" s="133">
        <f t="shared" ref="E100:E111" si="14">D100-C100</f>
        <v>-91</v>
      </c>
      <c r="F100" s="114">
        <f t="shared" ref="F100:F111" si="15">IF(C100=0,0,E100/C100)</f>
        <v>-7.6150627615062763E-2</v>
      </c>
    </row>
    <row r="101" spans="1:6" x14ac:dyDescent="0.2">
      <c r="A101" s="115">
        <v>2</v>
      </c>
      <c r="B101" s="116" t="s">
        <v>114</v>
      </c>
      <c r="C101" s="133">
        <v>376</v>
      </c>
      <c r="D101" s="133">
        <v>373</v>
      </c>
      <c r="E101" s="133">
        <f t="shared" si="14"/>
        <v>-3</v>
      </c>
      <c r="F101" s="114">
        <f t="shared" si="15"/>
        <v>-7.9787234042553185E-3</v>
      </c>
    </row>
    <row r="102" spans="1:6" x14ac:dyDescent="0.2">
      <c r="A102" s="115">
        <v>3</v>
      </c>
      <c r="B102" s="116" t="s">
        <v>115</v>
      </c>
      <c r="C102" s="133">
        <v>681</v>
      </c>
      <c r="D102" s="133">
        <v>678</v>
      </c>
      <c r="E102" s="133">
        <f t="shared" si="14"/>
        <v>-3</v>
      </c>
      <c r="F102" s="114">
        <f t="shared" si="15"/>
        <v>-4.4052863436123352E-3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24</v>
      </c>
      <c r="D104" s="133">
        <v>50</v>
      </c>
      <c r="E104" s="133">
        <f t="shared" si="14"/>
        <v>26</v>
      </c>
      <c r="F104" s="114">
        <f t="shared" si="15"/>
        <v>1.0833333333333333</v>
      </c>
    </row>
    <row r="105" spans="1:6" x14ac:dyDescent="0.2">
      <c r="A105" s="115">
        <v>6</v>
      </c>
      <c r="B105" s="116" t="s">
        <v>118</v>
      </c>
      <c r="C105" s="133">
        <v>53</v>
      </c>
      <c r="D105" s="133">
        <v>46</v>
      </c>
      <c r="E105" s="133">
        <f t="shared" si="14"/>
        <v>-7</v>
      </c>
      <c r="F105" s="114">
        <f t="shared" si="15"/>
        <v>-0.13207547169811321</v>
      </c>
    </row>
    <row r="106" spans="1:6" x14ac:dyDescent="0.2">
      <c r="A106" s="115">
        <v>7</v>
      </c>
      <c r="B106" s="116" t="s">
        <v>119</v>
      </c>
      <c r="C106" s="133">
        <v>817</v>
      </c>
      <c r="D106" s="133">
        <v>743</v>
      </c>
      <c r="E106" s="133">
        <f t="shared" si="14"/>
        <v>-74</v>
      </c>
      <c r="F106" s="114">
        <f t="shared" si="15"/>
        <v>-9.057527539779682E-2</v>
      </c>
    </row>
    <row r="107" spans="1:6" x14ac:dyDescent="0.2">
      <c r="A107" s="115">
        <v>8</v>
      </c>
      <c r="B107" s="116" t="s">
        <v>120</v>
      </c>
      <c r="C107" s="133">
        <v>3</v>
      </c>
      <c r="D107" s="133">
        <v>3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42</v>
      </c>
      <c r="D108" s="133">
        <v>39</v>
      </c>
      <c r="E108" s="133">
        <f t="shared" si="14"/>
        <v>-3</v>
      </c>
      <c r="F108" s="114">
        <f t="shared" si="15"/>
        <v>-7.1428571428571425E-2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3191</v>
      </c>
      <c r="D111" s="134">
        <f>SUM(D100:D110)</f>
        <v>3036</v>
      </c>
      <c r="E111" s="134">
        <f t="shared" si="14"/>
        <v>-155</v>
      </c>
      <c r="F111" s="120">
        <f t="shared" si="15"/>
        <v>-4.8574114697586962E-2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7199</v>
      </c>
      <c r="D113" s="133">
        <v>6307</v>
      </c>
      <c r="E113" s="133">
        <f t="shared" ref="E113:E124" si="16">D113-C113</f>
        <v>-892</v>
      </c>
      <c r="F113" s="114">
        <f t="shared" ref="F113:F124" si="17">IF(C113=0,0,E113/C113)</f>
        <v>-0.12390609806917627</v>
      </c>
    </row>
    <row r="114" spans="1:6" x14ac:dyDescent="0.2">
      <c r="A114" s="115">
        <v>2</v>
      </c>
      <c r="B114" s="116" t="s">
        <v>114</v>
      </c>
      <c r="C114" s="133">
        <v>1944</v>
      </c>
      <c r="D114" s="133">
        <v>1969</v>
      </c>
      <c r="E114" s="133">
        <f t="shared" si="16"/>
        <v>25</v>
      </c>
      <c r="F114" s="114">
        <f t="shared" si="17"/>
        <v>1.2860082304526749E-2</v>
      </c>
    </row>
    <row r="115" spans="1:6" x14ac:dyDescent="0.2">
      <c r="A115" s="115">
        <v>3</v>
      </c>
      <c r="B115" s="116" t="s">
        <v>115</v>
      </c>
      <c r="C115" s="133">
        <v>3369</v>
      </c>
      <c r="D115" s="133">
        <v>3070</v>
      </c>
      <c r="E115" s="133">
        <f t="shared" si="16"/>
        <v>-299</v>
      </c>
      <c r="F115" s="114">
        <f t="shared" si="17"/>
        <v>-8.8750371029979222E-2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101</v>
      </c>
      <c r="D117" s="133">
        <v>285</v>
      </c>
      <c r="E117" s="133">
        <f t="shared" si="16"/>
        <v>184</v>
      </c>
      <c r="F117" s="114">
        <f t="shared" si="17"/>
        <v>1.8217821782178218</v>
      </c>
    </row>
    <row r="118" spans="1:6" x14ac:dyDescent="0.2">
      <c r="A118" s="115">
        <v>6</v>
      </c>
      <c r="B118" s="116" t="s">
        <v>118</v>
      </c>
      <c r="C118" s="133">
        <v>198</v>
      </c>
      <c r="D118" s="133">
        <v>233</v>
      </c>
      <c r="E118" s="133">
        <f t="shared" si="16"/>
        <v>35</v>
      </c>
      <c r="F118" s="114">
        <f t="shared" si="17"/>
        <v>0.17676767676767677</v>
      </c>
    </row>
    <row r="119" spans="1:6" x14ac:dyDescent="0.2">
      <c r="A119" s="115">
        <v>7</v>
      </c>
      <c r="B119" s="116" t="s">
        <v>119</v>
      </c>
      <c r="C119" s="133">
        <v>3278</v>
      </c>
      <c r="D119" s="133">
        <v>2988</v>
      </c>
      <c r="E119" s="133">
        <f t="shared" si="16"/>
        <v>-290</v>
      </c>
      <c r="F119" s="114">
        <f t="shared" si="17"/>
        <v>-8.8468578401464312E-2</v>
      </c>
    </row>
    <row r="120" spans="1:6" x14ac:dyDescent="0.2">
      <c r="A120" s="115">
        <v>8</v>
      </c>
      <c r="B120" s="116" t="s">
        <v>120</v>
      </c>
      <c r="C120" s="133">
        <v>12</v>
      </c>
      <c r="D120" s="133">
        <v>11</v>
      </c>
      <c r="E120" s="133">
        <f t="shared" si="16"/>
        <v>-1</v>
      </c>
      <c r="F120" s="114">
        <f t="shared" si="17"/>
        <v>-8.3333333333333329E-2</v>
      </c>
    </row>
    <row r="121" spans="1:6" x14ac:dyDescent="0.2">
      <c r="A121" s="115">
        <v>9</v>
      </c>
      <c r="B121" s="116" t="s">
        <v>121</v>
      </c>
      <c r="C121" s="133">
        <v>169</v>
      </c>
      <c r="D121" s="133">
        <v>228</v>
      </c>
      <c r="E121" s="133">
        <f t="shared" si="16"/>
        <v>59</v>
      </c>
      <c r="F121" s="114">
        <f t="shared" si="17"/>
        <v>0.34911242603550297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16270</v>
      </c>
      <c r="D124" s="134">
        <f>SUM(D113:D123)</f>
        <v>15091</v>
      </c>
      <c r="E124" s="134">
        <f t="shared" si="16"/>
        <v>-1179</v>
      </c>
      <c r="F124" s="120">
        <f t="shared" si="17"/>
        <v>-7.2464658881376764E-2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23855</v>
      </c>
      <c r="D126" s="133">
        <v>23693</v>
      </c>
      <c r="E126" s="133">
        <f t="shared" ref="E126:E137" si="18">D126-C126</f>
        <v>-162</v>
      </c>
      <c r="F126" s="114">
        <f t="shared" ref="F126:F137" si="19">IF(C126=0,0,E126/C126)</f>
        <v>-6.7910291343533848E-3</v>
      </c>
    </row>
    <row r="127" spans="1:6" x14ac:dyDescent="0.2">
      <c r="A127" s="115">
        <v>2</v>
      </c>
      <c r="B127" s="116" t="s">
        <v>114</v>
      </c>
      <c r="C127" s="133">
        <v>10123</v>
      </c>
      <c r="D127" s="133">
        <v>10968</v>
      </c>
      <c r="E127" s="133">
        <f t="shared" si="18"/>
        <v>845</v>
      </c>
      <c r="F127" s="114">
        <f t="shared" si="19"/>
        <v>8.3473278672330342E-2</v>
      </c>
    </row>
    <row r="128" spans="1:6" x14ac:dyDescent="0.2">
      <c r="A128" s="115">
        <v>3</v>
      </c>
      <c r="B128" s="116" t="s">
        <v>115</v>
      </c>
      <c r="C128" s="133">
        <v>12344</v>
      </c>
      <c r="D128" s="133">
        <v>13058</v>
      </c>
      <c r="E128" s="133">
        <f t="shared" si="18"/>
        <v>714</v>
      </c>
      <c r="F128" s="114">
        <f t="shared" si="19"/>
        <v>5.784186649384316E-2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470</v>
      </c>
      <c r="D130" s="133">
        <v>458</v>
      </c>
      <c r="E130" s="133">
        <f t="shared" si="18"/>
        <v>-12</v>
      </c>
      <c r="F130" s="114">
        <f t="shared" si="19"/>
        <v>-2.553191489361702E-2</v>
      </c>
    </row>
    <row r="131" spans="1:6" x14ac:dyDescent="0.2">
      <c r="A131" s="115">
        <v>6</v>
      </c>
      <c r="B131" s="116" t="s">
        <v>118</v>
      </c>
      <c r="C131" s="133">
        <v>593</v>
      </c>
      <c r="D131" s="133">
        <v>931</v>
      </c>
      <c r="E131" s="133">
        <f t="shared" si="18"/>
        <v>338</v>
      </c>
      <c r="F131" s="114">
        <f t="shared" si="19"/>
        <v>0.5699831365935919</v>
      </c>
    </row>
    <row r="132" spans="1:6" x14ac:dyDescent="0.2">
      <c r="A132" s="115">
        <v>7</v>
      </c>
      <c r="B132" s="116" t="s">
        <v>119</v>
      </c>
      <c r="C132" s="133">
        <v>31562</v>
      </c>
      <c r="D132" s="133">
        <v>28699</v>
      </c>
      <c r="E132" s="133">
        <f t="shared" si="18"/>
        <v>-2863</v>
      </c>
      <c r="F132" s="114">
        <f t="shared" si="19"/>
        <v>-9.0710347886699197E-2</v>
      </c>
    </row>
    <row r="133" spans="1:6" x14ac:dyDescent="0.2">
      <c r="A133" s="115">
        <v>8</v>
      </c>
      <c r="B133" s="116" t="s">
        <v>120</v>
      </c>
      <c r="C133" s="133">
        <v>1138</v>
      </c>
      <c r="D133" s="133">
        <v>1259</v>
      </c>
      <c r="E133" s="133">
        <f t="shared" si="18"/>
        <v>121</v>
      </c>
      <c r="F133" s="114">
        <f t="shared" si="19"/>
        <v>0.10632688927943761</v>
      </c>
    </row>
    <row r="134" spans="1:6" x14ac:dyDescent="0.2">
      <c r="A134" s="115">
        <v>9</v>
      </c>
      <c r="B134" s="116" t="s">
        <v>121</v>
      </c>
      <c r="C134" s="133">
        <v>1612</v>
      </c>
      <c r="D134" s="133">
        <v>1758</v>
      </c>
      <c r="E134" s="133">
        <f t="shared" si="18"/>
        <v>146</v>
      </c>
      <c r="F134" s="114">
        <f t="shared" si="19"/>
        <v>9.0570719602977662E-2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81697</v>
      </c>
      <c r="D137" s="134">
        <f>SUM(D126:D136)</f>
        <v>80824</v>
      </c>
      <c r="E137" s="134">
        <f t="shared" si="18"/>
        <v>-873</v>
      </c>
      <c r="F137" s="120">
        <f t="shared" si="19"/>
        <v>-1.068582689694848E-2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5507678</v>
      </c>
      <c r="D142" s="113">
        <v>5940127</v>
      </c>
      <c r="E142" s="113">
        <f t="shared" ref="E142:E153" si="20">D142-C142</f>
        <v>432449</v>
      </c>
      <c r="F142" s="114">
        <f t="shared" ref="F142:F153" si="21">IF(C142=0,0,E142/C142)</f>
        <v>7.851748050630411E-2</v>
      </c>
    </row>
    <row r="143" spans="1:6" x14ac:dyDescent="0.2">
      <c r="A143" s="115">
        <v>2</v>
      </c>
      <c r="B143" s="116" t="s">
        <v>114</v>
      </c>
      <c r="C143" s="113">
        <v>2054735</v>
      </c>
      <c r="D143" s="113">
        <v>2182741</v>
      </c>
      <c r="E143" s="113">
        <f t="shared" si="20"/>
        <v>128006</v>
      </c>
      <c r="F143" s="114">
        <f t="shared" si="21"/>
        <v>6.2298057900410514E-2</v>
      </c>
    </row>
    <row r="144" spans="1:6" x14ac:dyDescent="0.2">
      <c r="A144" s="115">
        <v>3</v>
      </c>
      <c r="B144" s="116" t="s">
        <v>115</v>
      </c>
      <c r="C144" s="113">
        <v>11390959</v>
      </c>
      <c r="D144" s="113">
        <v>11499785</v>
      </c>
      <c r="E144" s="113">
        <f t="shared" si="20"/>
        <v>108826</v>
      </c>
      <c r="F144" s="114">
        <f t="shared" si="21"/>
        <v>9.5537171189888394E-3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341552</v>
      </c>
      <c r="D146" s="113">
        <v>315271</v>
      </c>
      <c r="E146" s="113">
        <f t="shared" si="20"/>
        <v>-26281</v>
      </c>
      <c r="F146" s="114">
        <f t="shared" si="21"/>
        <v>-7.6945823769147895E-2</v>
      </c>
    </row>
    <row r="147" spans="1:6" x14ac:dyDescent="0.2">
      <c r="A147" s="115">
        <v>6</v>
      </c>
      <c r="B147" s="116" t="s">
        <v>118</v>
      </c>
      <c r="C147" s="113">
        <v>380328</v>
      </c>
      <c r="D147" s="113">
        <v>724048</v>
      </c>
      <c r="E147" s="113">
        <f t="shared" si="20"/>
        <v>343720</v>
      </c>
      <c r="F147" s="114">
        <f t="shared" si="21"/>
        <v>0.90374624008750337</v>
      </c>
    </row>
    <row r="148" spans="1:6" x14ac:dyDescent="0.2">
      <c r="A148" s="115">
        <v>7</v>
      </c>
      <c r="B148" s="116" t="s">
        <v>119</v>
      </c>
      <c r="C148" s="113">
        <v>10927453</v>
      </c>
      <c r="D148" s="113">
        <v>10354744</v>
      </c>
      <c r="E148" s="113">
        <f t="shared" si="20"/>
        <v>-572709</v>
      </c>
      <c r="F148" s="114">
        <f t="shared" si="21"/>
        <v>-5.2410108741716852E-2</v>
      </c>
    </row>
    <row r="149" spans="1:6" x14ac:dyDescent="0.2">
      <c r="A149" s="115">
        <v>8</v>
      </c>
      <c r="B149" s="116" t="s">
        <v>120</v>
      </c>
      <c r="C149" s="113">
        <v>642644</v>
      </c>
      <c r="D149" s="113">
        <v>726635</v>
      </c>
      <c r="E149" s="113">
        <f t="shared" si="20"/>
        <v>83991</v>
      </c>
      <c r="F149" s="114">
        <f t="shared" si="21"/>
        <v>0.13069599965143999</v>
      </c>
    </row>
    <row r="150" spans="1:6" x14ac:dyDescent="0.2">
      <c r="A150" s="115">
        <v>9</v>
      </c>
      <c r="B150" s="116" t="s">
        <v>121</v>
      </c>
      <c r="C150" s="113">
        <v>1449644</v>
      </c>
      <c r="D150" s="113">
        <v>1091962</v>
      </c>
      <c r="E150" s="113">
        <f t="shared" si="20"/>
        <v>-357682</v>
      </c>
      <c r="F150" s="114">
        <f t="shared" si="21"/>
        <v>-0.24673781976816378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32694993</v>
      </c>
      <c r="D153" s="119">
        <f>SUM(D142:D152)</f>
        <v>32835313</v>
      </c>
      <c r="E153" s="119">
        <f t="shared" si="20"/>
        <v>140320</v>
      </c>
      <c r="F153" s="120">
        <f t="shared" si="21"/>
        <v>4.2917886539997115E-3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1424368</v>
      </c>
      <c r="D155" s="113">
        <v>1448125</v>
      </c>
      <c r="E155" s="113">
        <f t="shared" ref="E155:E166" si="22">D155-C155</f>
        <v>23757</v>
      </c>
      <c r="F155" s="114">
        <f t="shared" ref="F155:F166" si="23">IF(C155=0,0,E155/C155)</f>
        <v>1.6678976219628636E-2</v>
      </c>
    </row>
    <row r="156" spans="1:6" x14ac:dyDescent="0.2">
      <c r="A156" s="115">
        <v>2</v>
      </c>
      <c r="B156" s="116" t="s">
        <v>114</v>
      </c>
      <c r="C156" s="113">
        <v>509689</v>
      </c>
      <c r="D156" s="113">
        <v>507840</v>
      </c>
      <c r="E156" s="113">
        <f t="shared" si="22"/>
        <v>-1849</v>
      </c>
      <c r="F156" s="114">
        <f t="shared" si="23"/>
        <v>-3.6277023832180016E-3</v>
      </c>
    </row>
    <row r="157" spans="1:6" x14ac:dyDescent="0.2">
      <c r="A157" s="115">
        <v>3</v>
      </c>
      <c r="B157" s="116" t="s">
        <v>115</v>
      </c>
      <c r="C157" s="113">
        <v>2000080</v>
      </c>
      <c r="D157" s="113">
        <v>1906892</v>
      </c>
      <c r="E157" s="113">
        <f t="shared" si="22"/>
        <v>-93188</v>
      </c>
      <c r="F157" s="114">
        <f t="shared" si="23"/>
        <v>-4.6592136314547415E-2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79926</v>
      </c>
      <c r="D159" s="113">
        <v>65666</v>
      </c>
      <c r="E159" s="113">
        <f t="shared" si="22"/>
        <v>-14260</v>
      </c>
      <c r="F159" s="114">
        <f t="shared" si="23"/>
        <v>-0.17841503390636337</v>
      </c>
    </row>
    <row r="160" spans="1:6" x14ac:dyDescent="0.2">
      <c r="A160" s="115">
        <v>6</v>
      </c>
      <c r="B160" s="116" t="s">
        <v>118</v>
      </c>
      <c r="C160" s="113">
        <v>164308</v>
      </c>
      <c r="D160" s="113">
        <v>326974</v>
      </c>
      <c r="E160" s="113">
        <f t="shared" si="22"/>
        <v>162666</v>
      </c>
      <c r="F160" s="114">
        <f t="shared" si="23"/>
        <v>0.99000657302139883</v>
      </c>
    </row>
    <row r="161" spans="1:6" x14ac:dyDescent="0.2">
      <c r="A161" s="115">
        <v>7</v>
      </c>
      <c r="B161" s="116" t="s">
        <v>119</v>
      </c>
      <c r="C161" s="113">
        <v>5422015</v>
      </c>
      <c r="D161" s="113">
        <v>5060023</v>
      </c>
      <c r="E161" s="113">
        <f t="shared" si="22"/>
        <v>-361992</v>
      </c>
      <c r="F161" s="114">
        <f t="shared" si="23"/>
        <v>-6.676337118211588E-2</v>
      </c>
    </row>
    <row r="162" spans="1:6" x14ac:dyDescent="0.2">
      <c r="A162" s="115">
        <v>8</v>
      </c>
      <c r="B162" s="116" t="s">
        <v>120</v>
      </c>
      <c r="C162" s="113">
        <v>482455</v>
      </c>
      <c r="D162" s="113">
        <v>435951</v>
      </c>
      <c r="E162" s="113">
        <f t="shared" si="22"/>
        <v>-46504</v>
      </c>
      <c r="F162" s="114">
        <f t="shared" si="23"/>
        <v>-9.6390336922614547E-2</v>
      </c>
    </row>
    <row r="163" spans="1:6" x14ac:dyDescent="0.2">
      <c r="A163" s="115">
        <v>9</v>
      </c>
      <c r="B163" s="116" t="s">
        <v>121</v>
      </c>
      <c r="C163" s="113">
        <v>41848</v>
      </c>
      <c r="D163" s="113">
        <v>39347</v>
      </c>
      <c r="E163" s="113">
        <f t="shared" si="22"/>
        <v>-2501</v>
      </c>
      <c r="F163" s="114">
        <f t="shared" si="23"/>
        <v>-5.9763907474670232E-2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10124689</v>
      </c>
      <c r="D166" s="119">
        <f>SUM(D155:D165)</f>
        <v>9790818</v>
      </c>
      <c r="E166" s="119">
        <f t="shared" si="22"/>
        <v>-333871</v>
      </c>
      <c r="F166" s="120">
        <f t="shared" si="23"/>
        <v>-3.297592647043282E-2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2612</v>
      </c>
      <c r="D168" s="133">
        <v>2770</v>
      </c>
      <c r="E168" s="133">
        <f t="shared" ref="E168:E179" si="24">D168-C168</f>
        <v>158</v>
      </c>
      <c r="F168" s="114">
        <f t="shared" ref="F168:F179" si="25">IF(C168=0,0,E168/C168)</f>
        <v>6.0490045941807041E-2</v>
      </c>
    </row>
    <row r="169" spans="1:6" x14ac:dyDescent="0.2">
      <c r="A169" s="115">
        <v>2</v>
      </c>
      <c r="B169" s="116" t="s">
        <v>114</v>
      </c>
      <c r="C169" s="133">
        <v>933</v>
      </c>
      <c r="D169" s="133">
        <v>1011</v>
      </c>
      <c r="E169" s="133">
        <f t="shared" si="24"/>
        <v>78</v>
      </c>
      <c r="F169" s="114">
        <f t="shared" si="25"/>
        <v>8.3601286173633438E-2</v>
      </c>
    </row>
    <row r="170" spans="1:6" x14ac:dyDescent="0.2">
      <c r="A170" s="115">
        <v>3</v>
      </c>
      <c r="B170" s="116" t="s">
        <v>115</v>
      </c>
      <c r="C170" s="133">
        <v>5553</v>
      </c>
      <c r="D170" s="133">
        <v>5522</v>
      </c>
      <c r="E170" s="133">
        <f t="shared" si="24"/>
        <v>-31</v>
      </c>
      <c r="F170" s="114">
        <f t="shared" si="25"/>
        <v>-5.5825679812713845E-3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189</v>
      </c>
      <c r="D172" s="133">
        <v>184</v>
      </c>
      <c r="E172" s="133">
        <f t="shared" si="24"/>
        <v>-5</v>
      </c>
      <c r="F172" s="114">
        <f t="shared" si="25"/>
        <v>-2.6455026455026454E-2</v>
      </c>
    </row>
    <row r="173" spans="1:6" x14ac:dyDescent="0.2">
      <c r="A173" s="115">
        <v>6</v>
      </c>
      <c r="B173" s="116" t="s">
        <v>118</v>
      </c>
      <c r="C173" s="133">
        <v>196</v>
      </c>
      <c r="D173" s="133">
        <v>371</v>
      </c>
      <c r="E173" s="133">
        <f t="shared" si="24"/>
        <v>175</v>
      </c>
      <c r="F173" s="114">
        <f t="shared" si="25"/>
        <v>0.8928571428571429</v>
      </c>
    </row>
    <row r="174" spans="1:6" x14ac:dyDescent="0.2">
      <c r="A174" s="115">
        <v>7</v>
      </c>
      <c r="B174" s="116" t="s">
        <v>119</v>
      </c>
      <c r="C174" s="133">
        <v>5955</v>
      </c>
      <c r="D174" s="133">
        <v>5617</v>
      </c>
      <c r="E174" s="133">
        <f t="shared" si="24"/>
        <v>-338</v>
      </c>
      <c r="F174" s="114">
        <f t="shared" si="25"/>
        <v>-5.6759026028547439E-2</v>
      </c>
    </row>
    <row r="175" spans="1:6" x14ac:dyDescent="0.2">
      <c r="A175" s="115">
        <v>8</v>
      </c>
      <c r="B175" s="116" t="s">
        <v>120</v>
      </c>
      <c r="C175" s="133">
        <v>477</v>
      </c>
      <c r="D175" s="133">
        <v>500</v>
      </c>
      <c r="E175" s="133">
        <f t="shared" si="24"/>
        <v>23</v>
      </c>
      <c r="F175" s="114">
        <f t="shared" si="25"/>
        <v>4.8218029350104823E-2</v>
      </c>
    </row>
    <row r="176" spans="1:6" x14ac:dyDescent="0.2">
      <c r="A176" s="115">
        <v>9</v>
      </c>
      <c r="B176" s="116" t="s">
        <v>121</v>
      </c>
      <c r="C176" s="133">
        <v>865</v>
      </c>
      <c r="D176" s="133">
        <v>654</v>
      </c>
      <c r="E176" s="133">
        <f t="shared" si="24"/>
        <v>-211</v>
      </c>
      <c r="F176" s="114">
        <f t="shared" si="25"/>
        <v>-0.24393063583815028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16780</v>
      </c>
      <c r="D179" s="134">
        <f>SUM(D168:D178)</f>
        <v>16629</v>
      </c>
      <c r="E179" s="134">
        <f t="shared" si="24"/>
        <v>-151</v>
      </c>
      <c r="F179" s="120">
        <f t="shared" si="25"/>
        <v>-8.9988081048867699E-3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9346702</v>
      </c>
      <c r="D15" s="157">
        <v>8836210</v>
      </c>
      <c r="E15" s="157">
        <f>+D15-C15</f>
        <v>-510492</v>
      </c>
      <c r="F15" s="161">
        <f>IF(C15=0,0,E15/C15)</f>
        <v>-5.4617339891653759E-2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15764903</v>
      </c>
      <c r="D17" s="157">
        <v>15997009</v>
      </c>
      <c r="E17" s="157">
        <f>+D17-C17</f>
        <v>232106</v>
      </c>
      <c r="F17" s="161">
        <f>IF(C17=0,0,E17/C17)</f>
        <v>1.4722957699137127E-2</v>
      </c>
    </row>
    <row r="18" spans="1:6" ht="15.75" customHeight="1" x14ac:dyDescent="0.25">
      <c r="A18" s="147"/>
      <c r="B18" s="162" t="s">
        <v>159</v>
      </c>
      <c r="C18" s="158">
        <f>SUM(C15:C17)</f>
        <v>25111605</v>
      </c>
      <c r="D18" s="158">
        <f>SUM(D15:D17)</f>
        <v>24833219</v>
      </c>
      <c r="E18" s="158">
        <f>+D18-C18</f>
        <v>-278386</v>
      </c>
      <c r="F18" s="159">
        <f>IF(C18=0,0,E18/C18)</f>
        <v>-1.108595010155663E-2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2547260</v>
      </c>
      <c r="D21" s="157">
        <v>2174748</v>
      </c>
      <c r="E21" s="157">
        <f>+D21-C21</f>
        <v>-372512</v>
      </c>
      <c r="F21" s="161">
        <f>IF(C21=0,0,E21/C21)</f>
        <v>-0.14624027386289581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3900830</v>
      </c>
      <c r="D23" s="157">
        <v>3937147</v>
      </c>
      <c r="E23" s="157">
        <f>+D23-C23</f>
        <v>36317</v>
      </c>
      <c r="F23" s="161">
        <f>IF(C23=0,0,E23/C23)</f>
        <v>9.3100699081990236E-3</v>
      </c>
    </row>
    <row r="24" spans="1:6" ht="15.75" customHeight="1" x14ac:dyDescent="0.25">
      <c r="A24" s="147"/>
      <c r="B24" s="162" t="s">
        <v>164</v>
      </c>
      <c r="C24" s="158">
        <f>SUM(C21:C23)</f>
        <v>6448090</v>
      </c>
      <c r="D24" s="158">
        <f>SUM(D21:D23)</f>
        <v>6111895</v>
      </c>
      <c r="E24" s="158">
        <f>+D24-C24</f>
        <v>-336195</v>
      </c>
      <c r="F24" s="159">
        <f>IF(C24=0,0,E24/C24)</f>
        <v>-5.2138695334587454E-2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84628</v>
      </c>
      <c r="D27" s="157">
        <v>669863</v>
      </c>
      <c r="E27" s="157">
        <f>+D27-C27</f>
        <v>585235</v>
      </c>
      <c r="F27" s="161">
        <f>IF(C27=0,0,E27/C27)</f>
        <v>6.9153826156827529</v>
      </c>
    </row>
    <row r="28" spans="1:6" ht="15" customHeight="1" x14ac:dyDescent="0.2">
      <c r="A28" s="147">
        <v>2</v>
      </c>
      <c r="B28" s="160" t="s">
        <v>167</v>
      </c>
      <c r="C28" s="157">
        <v>2126346</v>
      </c>
      <c r="D28" s="157">
        <v>4050496</v>
      </c>
      <c r="E28" s="157">
        <f>+D28-C28</f>
        <v>1924150</v>
      </c>
      <c r="F28" s="161">
        <f>IF(C28=0,0,E28/C28)</f>
        <v>0.90490917282511873</v>
      </c>
    </row>
    <row r="29" spans="1:6" ht="15" customHeight="1" x14ac:dyDescent="0.2">
      <c r="A29" s="147">
        <v>3</v>
      </c>
      <c r="B29" s="160" t="s">
        <v>168</v>
      </c>
      <c r="C29" s="157">
        <v>1205201</v>
      </c>
      <c r="D29" s="157">
        <v>937174</v>
      </c>
      <c r="E29" s="157">
        <f>+D29-C29</f>
        <v>-268027</v>
      </c>
      <c r="F29" s="161">
        <f>IF(C29=0,0,E29/C29)</f>
        <v>-0.22239194955862135</v>
      </c>
    </row>
    <row r="30" spans="1:6" ht="15.75" customHeight="1" x14ac:dyDescent="0.25">
      <c r="A30" s="147"/>
      <c r="B30" s="162" t="s">
        <v>169</v>
      </c>
      <c r="C30" s="158">
        <f>SUM(C27:C29)</f>
        <v>3416175</v>
      </c>
      <c r="D30" s="158">
        <f>SUM(D27:D29)</f>
        <v>5657533</v>
      </c>
      <c r="E30" s="158">
        <f>+D30-C30</f>
        <v>2241358</v>
      </c>
      <c r="F30" s="159">
        <f>IF(C30=0,0,E30/C30)</f>
        <v>0.65610163413759537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4025110</v>
      </c>
      <c r="D33" s="157">
        <v>4253115</v>
      </c>
      <c r="E33" s="157">
        <f>+D33-C33</f>
        <v>228005</v>
      </c>
      <c r="F33" s="161">
        <f>IF(C33=0,0,E33/C33)</f>
        <v>5.6645656888880055E-2</v>
      </c>
    </row>
    <row r="34" spans="1:6" ht="15" customHeight="1" x14ac:dyDescent="0.2">
      <c r="A34" s="147">
        <v>2</v>
      </c>
      <c r="B34" s="160" t="s">
        <v>173</v>
      </c>
      <c r="C34" s="157">
        <v>6128850</v>
      </c>
      <c r="D34" s="157">
        <v>6412555</v>
      </c>
      <c r="E34" s="157">
        <f>+D34-C34</f>
        <v>283705</v>
      </c>
      <c r="F34" s="161">
        <f>IF(C34=0,0,E34/C34)</f>
        <v>4.6290087047325353E-2</v>
      </c>
    </row>
    <row r="35" spans="1:6" ht="15.75" customHeight="1" x14ac:dyDescent="0.25">
      <c r="A35" s="147"/>
      <c r="B35" s="162" t="s">
        <v>174</v>
      </c>
      <c r="C35" s="158">
        <f>SUM(C33:C34)</f>
        <v>10153960</v>
      </c>
      <c r="D35" s="158">
        <f>SUM(D33:D34)</f>
        <v>10665670</v>
      </c>
      <c r="E35" s="158">
        <f>+D35-C35</f>
        <v>511710</v>
      </c>
      <c r="F35" s="159">
        <f>IF(C35=0,0,E35/C35)</f>
        <v>5.0395116782023956E-2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1053419</v>
      </c>
      <c r="D38" s="157">
        <v>978079</v>
      </c>
      <c r="E38" s="157">
        <f>+D38-C38</f>
        <v>-75340</v>
      </c>
      <c r="F38" s="161">
        <f>IF(C38=0,0,E38/C38)</f>
        <v>-7.1519499838146081E-2</v>
      </c>
    </row>
    <row r="39" spans="1:6" ht="15" customHeight="1" x14ac:dyDescent="0.2">
      <c r="A39" s="147">
        <v>2</v>
      </c>
      <c r="B39" s="160" t="s">
        <v>178</v>
      </c>
      <c r="C39" s="157">
        <v>1247018</v>
      </c>
      <c r="D39" s="157">
        <v>774017</v>
      </c>
      <c r="E39" s="157">
        <f>+D39-C39</f>
        <v>-473001</v>
      </c>
      <c r="F39" s="161">
        <f>IF(C39=0,0,E39/C39)</f>
        <v>-0.3793056716101933</v>
      </c>
    </row>
    <row r="40" spans="1:6" ht="15" customHeight="1" x14ac:dyDescent="0.2">
      <c r="A40" s="147">
        <v>3</v>
      </c>
      <c r="B40" s="160" t="s">
        <v>179</v>
      </c>
      <c r="C40" s="157">
        <v>13949</v>
      </c>
      <c r="D40" s="157">
        <v>52558</v>
      </c>
      <c r="E40" s="157">
        <f>+D40-C40</f>
        <v>38609</v>
      </c>
      <c r="F40" s="161">
        <f>IF(C40=0,0,E40/C40)</f>
        <v>2.7678686644203885</v>
      </c>
    </row>
    <row r="41" spans="1:6" ht="15.75" customHeight="1" x14ac:dyDescent="0.25">
      <c r="A41" s="147"/>
      <c r="B41" s="162" t="s">
        <v>180</v>
      </c>
      <c r="C41" s="158">
        <f>SUM(C38:C40)</f>
        <v>2314386</v>
      </c>
      <c r="D41" s="158">
        <f>SUM(D38:D40)</f>
        <v>1804654</v>
      </c>
      <c r="E41" s="158">
        <f>+D41-C41</f>
        <v>-509732</v>
      </c>
      <c r="F41" s="159">
        <f>IF(C41=0,0,E41/C41)</f>
        <v>-0.22024502395019674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1459503</v>
      </c>
      <c r="D47" s="157">
        <v>975626</v>
      </c>
      <c r="E47" s="157">
        <f>+D47-C47</f>
        <v>-483877</v>
      </c>
      <c r="F47" s="161">
        <f>IF(C47=0,0,E47/C47)</f>
        <v>-0.33153546104393072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1129342</v>
      </c>
      <c r="D50" s="157">
        <v>1058521</v>
      </c>
      <c r="E50" s="157">
        <f>+D50-C50</f>
        <v>-70821</v>
      </c>
      <c r="F50" s="161">
        <f>IF(C50=0,0,E50/C50)</f>
        <v>-6.2709967396944413E-2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29402</v>
      </c>
      <c r="D53" s="157">
        <v>35952</v>
      </c>
      <c r="E53" s="157">
        <f t="shared" ref="E53:E59" si="0">+D53-C53</f>
        <v>6550</v>
      </c>
      <c r="F53" s="161">
        <f t="shared" ref="F53:F59" si="1">IF(C53=0,0,E53/C53)</f>
        <v>0.22277396095503707</v>
      </c>
    </row>
    <row r="54" spans="1:6" ht="15" customHeight="1" x14ac:dyDescent="0.2">
      <c r="A54" s="147">
        <v>2</v>
      </c>
      <c r="B54" s="160" t="s">
        <v>189</v>
      </c>
      <c r="C54" s="157">
        <v>29953</v>
      </c>
      <c r="D54" s="157">
        <v>36036</v>
      </c>
      <c r="E54" s="157">
        <f t="shared" si="0"/>
        <v>6083</v>
      </c>
      <c r="F54" s="161">
        <f t="shared" si="1"/>
        <v>0.20308483290488433</v>
      </c>
    </row>
    <row r="55" spans="1:6" ht="15" customHeight="1" x14ac:dyDescent="0.2">
      <c r="A55" s="147">
        <v>3</v>
      </c>
      <c r="B55" s="160" t="s">
        <v>190</v>
      </c>
      <c r="C55" s="157">
        <v>726777</v>
      </c>
      <c r="D55" s="157">
        <v>609556</v>
      </c>
      <c r="E55" s="157">
        <f t="shared" si="0"/>
        <v>-117221</v>
      </c>
      <c r="F55" s="161">
        <f t="shared" si="1"/>
        <v>-0.16128881348749341</v>
      </c>
    </row>
    <row r="56" spans="1:6" ht="15" customHeight="1" x14ac:dyDescent="0.2">
      <c r="A56" s="147">
        <v>4</v>
      </c>
      <c r="B56" s="160" t="s">
        <v>191</v>
      </c>
      <c r="C56" s="157">
        <v>779438</v>
      </c>
      <c r="D56" s="157">
        <v>749113</v>
      </c>
      <c r="E56" s="157">
        <f t="shared" si="0"/>
        <v>-30325</v>
      </c>
      <c r="F56" s="161">
        <f t="shared" si="1"/>
        <v>-3.8906237571173077E-2</v>
      </c>
    </row>
    <row r="57" spans="1:6" ht="15" customHeight="1" x14ac:dyDescent="0.2">
      <c r="A57" s="147">
        <v>5</v>
      </c>
      <c r="B57" s="160" t="s">
        <v>192</v>
      </c>
      <c r="C57" s="157">
        <v>198688</v>
      </c>
      <c r="D57" s="157">
        <v>170367</v>
      </c>
      <c r="E57" s="157">
        <f t="shared" si="0"/>
        <v>-28321</v>
      </c>
      <c r="F57" s="161">
        <f t="shared" si="1"/>
        <v>-0.14254006281204704</v>
      </c>
    </row>
    <row r="58" spans="1:6" ht="15" customHeight="1" x14ac:dyDescent="0.2">
      <c r="A58" s="147">
        <v>6</v>
      </c>
      <c r="B58" s="160" t="s">
        <v>193</v>
      </c>
      <c r="C58" s="157">
        <v>84681</v>
      </c>
      <c r="D58" s="157">
        <v>77710</v>
      </c>
      <c r="E58" s="157">
        <f t="shared" si="0"/>
        <v>-6971</v>
      </c>
      <c r="F58" s="161">
        <f t="shared" si="1"/>
        <v>-8.2320709486189345E-2</v>
      </c>
    </row>
    <row r="59" spans="1:6" ht="15.75" customHeight="1" x14ac:dyDescent="0.25">
      <c r="A59" s="147"/>
      <c r="B59" s="162" t="s">
        <v>194</v>
      </c>
      <c r="C59" s="158">
        <f>SUM(C53:C58)</f>
        <v>1848939</v>
      </c>
      <c r="D59" s="158">
        <f>SUM(D53:D58)</f>
        <v>1678734</v>
      </c>
      <c r="E59" s="158">
        <f t="shared" si="0"/>
        <v>-170205</v>
      </c>
      <c r="F59" s="159">
        <f t="shared" si="1"/>
        <v>-9.205549777466969E-2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90565</v>
      </c>
      <c r="D62" s="157">
        <v>97600</v>
      </c>
      <c r="E62" s="157">
        <f t="shared" ref="E62:E90" si="2">+D62-C62</f>
        <v>7035</v>
      </c>
      <c r="F62" s="161">
        <f t="shared" ref="F62:F90" si="3">IF(C62=0,0,E62/C62)</f>
        <v>7.7679015072047705E-2</v>
      </c>
    </row>
    <row r="63" spans="1:6" ht="15" customHeight="1" x14ac:dyDescent="0.2">
      <c r="A63" s="147">
        <v>2</v>
      </c>
      <c r="B63" s="160" t="s">
        <v>198</v>
      </c>
      <c r="C63" s="157">
        <v>1014187</v>
      </c>
      <c r="D63" s="157">
        <v>1849015</v>
      </c>
      <c r="E63" s="157">
        <f t="shared" si="2"/>
        <v>834828</v>
      </c>
      <c r="F63" s="161">
        <f t="shared" si="3"/>
        <v>0.82314997135636725</v>
      </c>
    </row>
    <row r="64" spans="1:6" ht="15" customHeight="1" x14ac:dyDescent="0.2">
      <c r="A64" s="147">
        <v>3</v>
      </c>
      <c r="B64" s="160" t="s">
        <v>199</v>
      </c>
      <c r="C64" s="157">
        <v>938003</v>
      </c>
      <c r="D64" s="157">
        <v>1982669</v>
      </c>
      <c r="E64" s="157">
        <f t="shared" si="2"/>
        <v>1044666</v>
      </c>
      <c r="F64" s="161">
        <f t="shared" si="3"/>
        <v>1.1137128559290321</v>
      </c>
    </row>
    <row r="65" spans="1:6" ht="15" customHeight="1" x14ac:dyDescent="0.2">
      <c r="A65" s="147">
        <v>4</v>
      </c>
      <c r="B65" s="160" t="s">
        <v>200</v>
      </c>
      <c r="C65" s="157">
        <v>195642</v>
      </c>
      <c r="D65" s="157">
        <v>223876</v>
      </c>
      <c r="E65" s="157">
        <f t="shared" si="2"/>
        <v>28234</v>
      </c>
      <c r="F65" s="161">
        <f t="shared" si="3"/>
        <v>0.1443146154711156</v>
      </c>
    </row>
    <row r="66" spans="1:6" ht="15" customHeight="1" x14ac:dyDescent="0.2">
      <c r="A66" s="147">
        <v>5</v>
      </c>
      <c r="B66" s="160" t="s">
        <v>201</v>
      </c>
      <c r="C66" s="157">
        <v>689217</v>
      </c>
      <c r="D66" s="157">
        <v>427556</v>
      </c>
      <c r="E66" s="157">
        <f t="shared" si="2"/>
        <v>-261661</v>
      </c>
      <c r="F66" s="161">
        <f t="shared" si="3"/>
        <v>-0.37964966041174258</v>
      </c>
    </row>
    <row r="67" spans="1:6" ht="15" customHeight="1" x14ac:dyDescent="0.2">
      <c r="A67" s="147">
        <v>6</v>
      </c>
      <c r="B67" s="160" t="s">
        <v>202</v>
      </c>
      <c r="C67" s="157">
        <v>783147</v>
      </c>
      <c r="D67" s="157">
        <v>945902</v>
      </c>
      <c r="E67" s="157">
        <f t="shared" si="2"/>
        <v>162755</v>
      </c>
      <c r="F67" s="161">
        <f t="shared" si="3"/>
        <v>0.20782177547765618</v>
      </c>
    </row>
    <row r="68" spans="1:6" ht="15" customHeight="1" x14ac:dyDescent="0.2">
      <c r="A68" s="147">
        <v>7</v>
      </c>
      <c r="B68" s="160" t="s">
        <v>203</v>
      </c>
      <c r="C68" s="157">
        <v>406186</v>
      </c>
      <c r="D68" s="157">
        <v>496838</v>
      </c>
      <c r="E68" s="157">
        <f t="shared" si="2"/>
        <v>90652</v>
      </c>
      <c r="F68" s="161">
        <f t="shared" si="3"/>
        <v>0.22317854381982638</v>
      </c>
    </row>
    <row r="69" spans="1:6" ht="15" customHeight="1" x14ac:dyDescent="0.2">
      <c r="A69" s="147">
        <v>8</v>
      </c>
      <c r="B69" s="160" t="s">
        <v>204</v>
      </c>
      <c r="C69" s="157">
        <v>156315</v>
      </c>
      <c r="D69" s="157">
        <v>175514</v>
      </c>
      <c r="E69" s="157">
        <f t="shared" si="2"/>
        <v>19199</v>
      </c>
      <c r="F69" s="161">
        <f t="shared" si="3"/>
        <v>0.12282250583757157</v>
      </c>
    </row>
    <row r="70" spans="1:6" ht="15" customHeight="1" x14ac:dyDescent="0.2">
      <c r="A70" s="147">
        <v>9</v>
      </c>
      <c r="B70" s="160" t="s">
        <v>205</v>
      </c>
      <c r="C70" s="157">
        <v>3774</v>
      </c>
      <c r="D70" s="157">
        <v>26680</v>
      </c>
      <c r="E70" s="157">
        <f t="shared" si="2"/>
        <v>22906</v>
      </c>
      <c r="F70" s="161">
        <f t="shared" si="3"/>
        <v>6.0694223635400109</v>
      </c>
    </row>
    <row r="71" spans="1:6" ht="15" customHeight="1" x14ac:dyDescent="0.2">
      <c r="A71" s="147">
        <v>10</v>
      </c>
      <c r="B71" s="160" t="s">
        <v>206</v>
      </c>
      <c r="C71" s="157">
        <v>6053</v>
      </c>
      <c r="D71" s="157">
        <v>2261</v>
      </c>
      <c r="E71" s="157">
        <f t="shared" si="2"/>
        <v>-3792</v>
      </c>
      <c r="F71" s="161">
        <f t="shared" si="3"/>
        <v>-0.62646621509995049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325343</v>
      </c>
      <c r="D73" s="157">
        <v>445464</v>
      </c>
      <c r="E73" s="157">
        <f t="shared" si="2"/>
        <v>120121</v>
      </c>
      <c r="F73" s="161">
        <f t="shared" si="3"/>
        <v>0.36921341476533998</v>
      </c>
    </row>
    <row r="74" spans="1:6" ht="15" customHeight="1" x14ac:dyDescent="0.2">
      <c r="A74" s="147">
        <v>13</v>
      </c>
      <c r="B74" s="160" t="s">
        <v>209</v>
      </c>
      <c r="C74" s="157">
        <v>19491</v>
      </c>
      <c r="D74" s="157">
        <v>34738</v>
      </c>
      <c r="E74" s="157">
        <f t="shared" si="2"/>
        <v>15247</v>
      </c>
      <c r="F74" s="161">
        <f t="shared" si="3"/>
        <v>0.78225847827202299</v>
      </c>
    </row>
    <row r="75" spans="1:6" ht="15" customHeight="1" x14ac:dyDescent="0.2">
      <c r="A75" s="147">
        <v>14</v>
      </c>
      <c r="B75" s="160" t="s">
        <v>210</v>
      </c>
      <c r="C75" s="157">
        <v>92575</v>
      </c>
      <c r="D75" s="157">
        <v>107486</v>
      </c>
      <c r="E75" s="157">
        <f t="shared" si="2"/>
        <v>14911</v>
      </c>
      <c r="F75" s="161">
        <f t="shared" si="3"/>
        <v>0.16106940318660545</v>
      </c>
    </row>
    <row r="76" spans="1:6" ht="15" customHeight="1" x14ac:dyDescent="0.2">
      <c r="A76" s="147">
        <v>15</v>
      </c>
      <c r="B76" s="160" t="s">
        <v>211</v>
      </c>
      <c r="C76" s="157">
        <v>102909</v>
      </c>
      <c r="D76" s="157">
        <v>109814</v>
      </c>
      <c r="E76" s="157">
        <f t="shared" si="2"/>
        <v>6905</v>
      </c>
      <c r="F76" s="161">
        <f t="shared" si="3"/>
        <v>6.7098115811056375E-2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932258</v>
      </c>
      <c r="D78" s="157">
        <v>670856</v>
      </c>
      <c r="E78" s="157">
        <f t="shared" si="2"/>
        <v>-261402</v>
      </c>
      <c r="F78" s="161">
        <f t="shared" si="3"/>
        <v>-0.28039662840115076</v>
      </c>
    </row>
    <row r="79" spans="1:6" ht="15" customHeight="1" x14ac:dyDescent="0.2">
      <c r="A79" s="147">
        <v>18</v>
      </c>
      <c r="B79" s="160" t="s">
        <v>214</v>
      </c>
      <c r="C79" s="157">
        <v>92324</v>
      </c>
      <c r="D79" s="157">
        <v>86730</v>
      </c>
      <c r="E79" s="157">
        <f t="shared" si="2"/>
        <v>-5594</v>
      </c>
      <c r="F79" s="161">
        <f t="shared" si="3"/>
        <v>-6.0590962263333478E-2</v>
      </c>
    </row>
    <row r="80" spans="1:6" ht="15" customHeight="1" x14ac:dyDescent="0.2">
      <c r="A80" s="147">
        <v>19</v>
      </c>
      <c r="B80" s="160" t="s">
        <v>215</v>
      </c>
      <c r="C80" s="157">
        <v>292206</v>
      </c>
      <c r="D80" s="157">
        <v>237249</v>
      </c>
      <c r="E80" s="157">
        <f t="shared" si="2"/>
        <v>-54957</v>
      </c>
      <c r="F80" s="161">
        <f t="shared" si="3"/>
        <v>-0.18807622020081724</v>
      </c>
    </row>
    <row r="81" spans="1:6" ht="15" customHeight="1" x14ac:dyDescent="0.2">
      <c r="A81" s="147">
        <v>20</v>
      </c>
      <c r="B81" s="160" t="s">
        <v>216</v>
      </c>
      <c r="C81" s="157">
        <v>820907</v>
      </c>
      <c r="D81" s="157">
        <v>478483</v>
      </c>
      <c r="E81" s="157">
        <f t="shared" si="2"/>
        <v>-342424</v>
      </c>
      <c r="F81" s="161">
        <f t="shared" si="3"/>
        <v>-0.41712885868923033</v>
      </c>
    </row>
    <row r="82" spans="1:6" ht="15" customHeight="1" x14ac:dyDescent="0.2">
      <c r="A82" s="147">
        <v>21</v>
      </c>
      <c r="B82" s="160" t="s">
        <v>217</v>
      </c>
      <c r="C82" s="157">
        <v>665971</v>
      </c>
      <c r="D82" s="157">
        <v>682014</v>
      </c>
      <c r="E82" s="157">
        <f t="shared" si="2"/>
        <v>16043</v>
      </c>
      <c r="F82" s="161">
        <f t="shared" si="3"/>
        <v>2.4089637536769619E-2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189479</v>
      </c>
      <c r="D84" s="157">
        <v>174093</v>
      </c>
      <c r="E84" s="157">
        <f t="shared" si="2"/>
        <v>-15386</v>
      </c>
      <c r="F84" s="161">
        <f t="shared" si="3"/>
        <v>-8.1201610732587776E-2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185239</v>
      </c>
      <c r="D86" s="157">
        <v>200106</v>
      </c>
      <c r="E86" s="157">
        <f t="shared" si="2"/>
        <v>14867</v>
      </c>
      <c r="F86" s="161">
        <f t="shared" si="3"/>
        <v>8.0258476886616748E-2</v>
      </c>
    </row>
    <row r="87" spans="1:6" ht="15" customHeight="1" x14ac:dyDescent="0.2">
      <c r="A87" s="147">
        <v>26</v>
      </c>
      <c r="B87" s="160" t="s">
        <v>222</v>
      </c>
      <c r="C87" s="157">
        <v>738126</v>
      </c>
      <c r="D87" s="157">
        <v>727770</v>
      </c>
      <c r="E87" s="157">
        <f t="shared" si="2"/>
        <v>-10356</v>
      </c>
      <c r="F87" s="161">
        <f t="shared" si="3"/>
        <v>-1.4030124938018713E-2</v>
      </c>
    </row>
    <row r="88" spans="1:6" ht="15" customHeight="1" x14ac:dyDescent="0.2">
      <c r="A88" s="147">
        <v>27</v>
      </c>
      <c r="B88" s="160" t="s">
        <v>223</v>
      </c>
      <c r="C88" s="157">
        <v>644535</v>
      </c>
      <c r="D88" s="157">
        <v>2160261</v>
      </c>
      <c r="E88" s="157">
        <f t="shared" si="2"/>
        <v>1515726</v>
      </c>
      <c r="F88" s="161">
        <f t="shared" si="3"/>
        <v>2.3516581721706347</v>
      </c>
    </row>
    <row r="89" spans="1:6" ht="15" customHeight="1" x14ac:dyDescent="0.2">
      <c r="A89" s="147">
        <v>28</v>
      </c>
      <c r="B89" s="160" t="s">
        <v>224</v>
      </c>
      <c r="C89" s="157">
        <v>4890829</v>
      </c>
      <c r="D89" s="157">
        <v>5111236</v>
      </c>
      <c r="E89" s="157">
        <f t="shared" si="2"/>
        <v>220407</v>
      </c>
      <c r="F89" s="161">
        <f t="shared" si="3"/>
        <v>4.5065366219101094E-2</v>
      </c>
    </row>
    <row r="90" spans="1:6" ht="15.75" customHeight="1" x14ac:dyDescent="0.25">
      <c r="A90" s="147"/>
      <c r="B90" s="162" t="s">
        <v>225</v>
      </c>
      <c r="C90" s="158">
        <f>SUM(C62:C89)</f>
        <v>14275281</v>
      </c>
      <c r="D90" s="158">
        <f>SUM(D62:D89)</f>
        <v>17454211</v>
      </c>
      <c r="E90" s="158">
        <f t="shared" si="2"/>
        <v>3178930</v>
      </c>
      <c r="F90" s="159">
        <f t="shared" si="3"/>
        <v>0.22268773553389246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299442</v>
      </c>
      <c r="D93" s="157">
        <v>0</v>
      </c>
      <c r="E93" s="157">
        <f>+D93-C93</f>
        <v>-299442</v>
      </c>
      <c r="F93" s="161">
        <f>IF(C93=0,0,E93/C93)</f>
        <v>-1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66456723</v>
      </c>
      <c r="D95" s="158">
        <f>+D93+D90+D59+D50+D47+D44+D41+D35+D30+D24+D18</f>
        <v>70240063</v>
      </c>
      <c r="E95" s="158">
        <f>+D95-C95</f>
        <v>3783340</v>
      </c>
      <c r="F95" s="159">
        <f>IF(C95=0,0,E95/C95)</f>
        <v>5.692937943991009E-2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7766174</v>
      </c>
      <c r="D103" s="157">
        <v>10363995</v>
      </c>
      <c r="E103" s="157">
        <f t="shared" ref="E103:E121" si="4">D103-C103</f>
        <v>2597821</v>
      </c>
      <c r="F103" s="161">
        <f t="shared" ref="F103:F121" si="5">IF(C103=0,0,E103/C103)</f>
        <v>0.33450460934818099</v>
      </c>
    </row>
    <row r="104" spans="1:6" ht="15" customHeight="1" x14ac:dyDescent="0.2">
      <c r="A104" s="147">
        <v>2</v>
      </c>
      <c r="B104" s="169" t="s">
        <v>234</v>
      </c>
      <c r="C104" s="157">
        <v>601621</v>
      </c>
      <c r="D104" s="157">
        <v>628869</v>
      </c>
      <c r="E104" s="157">
        <f t="shared" si="4"/>
        <v>27248</v>
      </c>
      <c r="F104" s="161">
        <f t="shared" si="5"/>
        <v>4.5290972223376511E-2</v>
      </c>
    </row>
    <row r="105" spans="1:6" ht="15" customHeight="1" x14ac:dyDescent="0.2">
      <c r="A105" s="147">
        <v>3</v>
      </c>
      <c r="B105" s="169" t="s">
        <v>235</v>
      </c>
      <c r="C105" s="157">
        <v>1169076</v>
      </c>
      <c r="D105" s="157">
        <v>1024262</v>
      </c>
      <c r="E105" s="157">
        <f t="shared" si="4"/>
        <v>-144814</v>
      </c>
      <c r="F105" s="161">
        <f t="shared" si="5"/>
        <v>-0.12387047548662362</v>
      </c>
    </row>
    <row r="106" spans="1:6" ht="15" customHeight="1" x14ac:dyDescent="0.2">
      <c r="A106" s="147">
        <v>4</v>
      </c>
      <c r="B106" s="169" t="s">
        <v>236</v>
      </c>
      <c r="C106" s="157">
        <v>813653</v>
      </c>
      <c r="D106" s="157">
        <v>802905</v>
      </c>
      <c r="E106" s="157">
        <f t="shared" si="4"/>
        <v>-10748</v>
      </c>
      <c r="F106" s="161">
        <f t="shared" si="5"/>
        <v>-1.3209562307273494E-2</v>
      </c>
    </row>
    <row r="107" spans="1:6" ht="15" customHeight="1" x14ac:dyDescent="0.2">
      <c r="A107" s="147">
        <v>5</v>
      </c>
      <c r="B107" s="169" t="s">
        <v>237</v>
      </c>
      <c r="C107" s="157">
        <v>1515757</v>
      </c>
      <c r="D107" s="157">
        <v>1652458</v>
      </c>
      <c r="E107" s="157">
        <f t="shared" si="4"/>
        <v>136701</v>
      </c>
      <c r="F107" s="161">
        <f t="shared" si="5"/>
        <v>9.0186619623066233E-2</v>
      </c>
    </row>
    <row r="108" spans="1:6" ht="15" customHeight="1" x14ac:dyDescent="0.2">
      <c r="A108" s="147">
        <v>6</v>
      </c>
      <c r="B108" s="169" t="s">
        <v>238</v>
      </c>
      <c r="C108" s="157">
        <v>151091</v>
      </c>
      <c r="D108" s="157">
        <v>120058</v>
      </c>
      <c r="E108" s="157">
        <f t="shared" si="4"/>
        <v>-31033</v>
      </c>
      <c r="F108" s="161">
        <f t="shared" si="5"/>
        <v>-0.20539277653864227</v>
      </c>
    </row>
    <row r="109" spans="1:6" ht="15" customHeight="1" x14ac:dyDescent="0.2">
      <c r="A109" s="147">
        <v>7</v>
      </c>
      <c r="B109" s="169" t="s">
        <v>239</v>
      </c>
      <c r="C109" s="157">
        <v>6353574</v>
      </c>
      <c r="D109" s="157">
        <v>6358239</v>
      </c>
      <c r="E109" s="157">
        <f t="shared" si="4"/>
        <v>4665</v>
      </c>
      <c r="F109" s="161">
        <f t="shared" si="5"/>
        <v>7.3423241784859982E-4</v>
      </c>
    </row>
    <row r="110" spans="1:6" ht="15" customHeight="1" x14ac:dyDescent="0.2">
      <c r="A110" s="147">
        <v>8</v>
      </c>
      <c r="B110" s="169" t="s">
        <v>240</v>
      </c>
      <c r="C110" s="157">
        <v>45100</v>
      </c>
      <c r="D110" s="157">
        <v>65396</v>
      </c>
      <c r="E110" s="157">
        <f t="shared" si="4"/>
        <v>20296</v>
      </c>
      <c r="F110" s="161">
        <f t="shared" si="5"/>
        <v>0.45002217294900221</v>
      </c>
    </row>
    <row r="111" spans="1:6" ht="15" customHeight="1" x14ac:dyDescent="0.2">
      <c r="A111" s="147">
        <v>9</v>
      </c>
      <c r="B111" s="169" t="s">
        <v>241</v>
      </c>
      <c r="C111" s="157">
        <v>311169</v>
      </c>
      <c r="D111" s="157">
        <v>304713</v>
      </c>
      <c r="E111" s="157">
        <f t="shared" si="4"/>
        <v>-6456</v>
      </c>
      <c r="F111" s="161">
        <f t="shared" si="5"/>
        <v>-2.0747568041803652E-2</v>
      </c>
    </row>
    <row r="112" spans="1:6" ht="15" customHeight="1" x14ac:dyDescent="0.2">
      <c r="A112" s="147">
        <v>10</v>
      </c>
      <c r="B112" s="169" t="s">
        <v>242</v>
      </c>
      <c r="C112" s="157">
        <v>982371</v>
      </c>
      <c r="D112" s="157">
        <v>998552</v>
      </c>
      <c r="E112" s="157">
        <f t="shared" si="4"/>
        <v>16181</v>
      </c>
      <c r="F112" s="161">
        <f t="shared" si="5"/>
        <v>1.64713738495945E-2</v>
      </c>
    </row>
    <row r="113" spans="1:6" ht="15" customHeight="1" x14ac:dyDescent="0.2">
      <c r="A113" s="147">
        <v>11</v>
      </c>
      <c r="B113" s="169" t="s">
        <v>243</v>
      </c>
      <c r="C113" s="157">
        <v>728985</v>
      </c>
      <c r="D113" s="157">
        <v>764911</v>
      </c>
      <c r="E113" s="157">
        <f t="shared" si="4"/>
        <v>35926</v>
      </c>
      <c r="F113" s="161">
        <f t="shared" si="5"/>
        <v>4.9282221170531632E-2</v>
      </c>
    </row>
    <row r="114" spans="1:6" ht="15" customHeight="1" x14ac:dyDescent="0.2">
      <c r="A114" s="147">
        <v>12</v>
      </c>
      <c r="B114" s="169" t="s">
        <v>244</v>
      </c>
      <c r="C114" s="157">
        <v>190892</v>
      </c>
      <c r="D114" s="157">
        <v>176177</v>
      </c>
      <c r="E114" s="157">
        <f t="shared" si="4"/>
        <v>-14715</v>
      </c>
      <c r="F114" s="161">
        <f t="shared" si="5"/>
        <v>-7.7085472413720851E-2</v>
      </c>
    </row>
    <row r="115" spans="1:6" ht="15" customHeight="1" x14ac:dyDescent="0.2">
      <c r="A115" s="147">
        <v>13</v>
      </c>
      <c r="B115" s="169" t="s">
        <v>245</v>
      </c>
      <c r="C115" s="157">
        <v>1787786</v>
      </c>
      <c r="D115" s="157">
        <v>1736946</v>
      </c>
      <c r="E115" s="157">
        <f t="shared" si="4"/>
        <v>-50840</v>
      </c>
      <c r="F115" s="161">
        <f t="shared" si="5"/>
        <v>-2.8437408056668976E-2</v>
      </c>
    </row>
    <row r="116" spans="1:6" ht="15" customHeight="1" x14ac:dyDescent="0.2">
      <c r="A116" s="147">
        <v>14</v>
      </c>
      <c r="B116" s="169" t="s">
        <v>246</v>
      </c>
      <c r="C116" s="157">
        <v>185337</v>
      </c>
      <c r="D116" s="157">
        <v>207118</v>
      </c>
      <c r="E116" s="157">
        <f t="shared" si="4"/>
        <v>21781</v>
      </c>
      <c r="F116" s="161">
        <f t="shared" si="5"/>
        <v>0.11752105623809601</v>
      </c>
    </row>
    <row r="117" spans="1:6" ht="15" customHeight="1" x14ac:dyDescent="0.2">
      <c r="A117" s="147">
        <v>15</v>
      </c>
      <c r="B117" s="169" t="s">
        <v>203</v>
      </c>
      <c r="C117" s="157">
        <v>1130752</v>
      </c>
      <c r="D117" s="157">
        <v>1253439</v>
      </c>
      <c r="E117" s="157">
        <f t="shared" si="4"/>
        <v>122687</v>
      </c>
      <c r="F117" s="161">
        <f t="shared" si="5"/>
        <v>0.10850036082182477</v>
      </c>
    </row>
    <row r="118" spans="1:6" ht="15" customHeight="1" x14ac:dyDescent="0.2">
      <c r="A118" s="147">
        <v>16</v>
      </c>
      <c r="B118" s="169" t="s">
        <v>247</v>
      </c>
      <c r="C118" s="157">
        <v>157045</v>
      </c>
      <c r="D118" s="157">
        <v>208842</v>
      </c>
      <c r="E118" s="157">
        <f t="shared" si="4"/>
        <v>51797</v>
      </c>
      <c r="F118" s="161">
        <f t="shared" si="5"/>
        <v>0.32982266229424689</v>
      </c>
    </row>
    <row r="119" spans="1:6" ht="15" customHeight="1" x14ac:dyDescent="0.2">
      <c r="A119" s="147">
        <v>17</v>
      </c>
      <c r="B119" s="169" t="s">
        <v>248</v>
      </c>
      <c r="C119" s="157">
        <v>6825308</v>
      </c>
      <c r="D119" s="157">
        <v>7546779</v>
      </c>
      <c r="E119" s="157">
        <f t="shared" si="4"/>
        <v>721471</v>
      </c>
      <c r="F119" s="161">
        <f t="shared" si="5"/>
        <v>0.10570526634109406</v>
      </c>
    </row>
    <row r="120" spans="1:6" ht="15" customHeight="1" x14ac:dyDescent="0.2">
      <c r="A120" s="147">
        <v>18</v>
      </c>
      <c r="B120" s="169" t="s">
        <v>249</v>
      </c>
      <c r="C120" s="157">
        <v>4566727</v>
      </c>
      <c r="D120" s="157">
        <v>3843312</v>
      </c>
      <c r="E120" s="157">
        <f t="shared" si="4"/>
        <v>-723415</v>
      </c>
      <c r="F120" s="161">
        <f t="shared" si="5"/>
        <v>-0.15840995093422489</v>
      </c>
    </row>
    <row r="121" spans="1:6" ht="15.75" customHeight="1" x14ac:dyDescent="0.25">
      <c r="A121" s="147"/>
      <c r="B121" s="165" t="s">
        <v>250</v>
      </c>
      <c r="C121" s="158">
        <f>SUM(C103:C120)</f>
        <v>35282418</v>
      </c>
      <c r="D121" s="158">
        <f>SUM(D103:D120)</f>
        <v>38056971</v>
      </c>
      <c r="E121" s="158">
        <f t="shared" si="4"/>
        <v>2774553</v>
      </c>
      <c r="F121" s="159">
        <f t="shared" si="5"/>
        <v>7.8638402844158808E-2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1105201</v>
      </c>
      <c r="D124" s="157">
        <v>1292204</v>
      </c>
      <c r="E124" s="157">
        <f t="shared" ref="E124:E130" si="6">D124-C124</f>
        <v>187003</v>
      </c>
      <c r="F124" s="161">
        <f t="shared" ref="F124:F130" si="7">IF(C124=0,0,E124/C124)</f>
        <v>0.16920270611409147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584096</v>
      </c>
      <c r="D126" s="157">
        <v>750074</v>
      </c>
      <c r="E126" s="157">
        <f t="shared" si="6"/>
        <v>165978</v>
      </c>
      <c r="F126" s="161">
        <f t="shared" si="7"/>
        <v>0.28416219251629871</v>
      </c>
    </row>
    <row r="127" spans="1:6" ht="15" customHeight="1" x14ac:dyDescent="0.2">
      <c r="A127" s="147">
        <v>4</v>
      </c>
      <c r="B127" s="169" t="s">
        <v>255</v>
      </c>
      <c r="C127" s="157">
        <v>830555</v>
      </c>
      <c r="D127" s="157">
        <v>928439</v>
      </c>
      <c r="E127" s="157">
        <f t="shared" si="6"/>
        <v>97884</v>
      </c>
      <c r="F127" s="161">
        <f t="shared" si="7"/>
        <v>0.11785372431687245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2519852</v>
      </c>
      <c r="D130" s="158">
        <f>SUM(D124:D129)</f>
        <v>2970717</v>
      </c>
      <c r="E130" s="158">
        <f t="shared" si="6"/>
        <v>450865</v>
      </c>
      <c r="F130" s="159">
        <f t="shared" si="7"/>
        <v>0.17892519084454167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1593283</v>
      </c>
      <c r="D133" s="157">
        <v>1980520</v>
      </c>
      <c r="E133" s="157">
        <f t="shared" ref="E133:E167" si="8">D133-C133</f>
        <v>387237</v>
      </c>
      <c r="F133" s="161">
        <f t="shared" ref="F133:F167" si="9">IF(C133=0,0,E133/C133)</f>
        <v>0.2430434517910503</v>
      </c>
    </row>
    <row r="134" spans="1:6" ht="15" customHeight="1" x14ac:dyDescent="0.2">
      <c r="A134" s="147">
        <v>2</v>
      </c>
      <c r="B134" s="169" t="s">
        <v>261</v>
      </c>
      <c r="C134" s="157">
        <v>292338</v>
      </c>
      <c r="D134" s="157">
        <v>289245</v>
      </c>
      <c r="E134" s="157">
        <f t="shared" si="8"/>
        <v>-3093</v>
      </c>
      <c r="F134" s="161">
        <f t="shared" si="9"/>
        <v>-1.0580218787841471E-2</v>
      </c>
    </row>
    <row r="135" spans="1:6" ht="15" customHeight="1" x14ac:dyDescent="0.2">
      <c r="A135" s="147">
        <v>3</v>
      </c>
      <c r="B135" s="169" t="s">
        <v>262</v>
      </c>
      <c r="C135" s="157">
        <v>627802</v>
      </c>
      <c r="D135" s="157">
        <v>544823</v>
      </c>
      <c r="E135" s="157">
        <f t="shared" si="8"/>
        <v>-82979</v>
      </c>
      <c r="F135" s="161">
        <f t="shared" si="9"/>
        <v>-0.13217383824836493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1856787</v>
      </c>
      <c r="D137" s="157">
        <v>1804224</v>
      </c>
      <c r="E137" s="157">
        <f t="shared" si="8"/>
        <v>-52563</v>
      </c>
      <c r="F137" s="161">
        <f t="shared" si="9"/>
        <v>-2.8308578205254561E-2</v>
      </c>
    </row>
    <row r="138" spans="1:6" ht="15" customHeight="1" x14ac:dyDescent="0.2">
      <c r="A138" s="147">
        <v>6</v>
      </c>
      <c r="B138" s="169" t="s">
        <v>265</v>
      </c>
      <c r="C138" s="157">
        <v>292916</v>
      </c>
      <c r="D138" s="157">
        <v>298225</v>
      </c>
      <c r="E138" s="157">
        <f t="shared" si="8"/>
        <v>5309</v>
      </c>
      <c r="F138" s="161">
        <f t="shared" si="9"/>
        <v>1.812465007032733E-2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378264</v>
      </c>
      <c r="D140" s="157">
        <v>395264</v>
      </c>
      <c r="E140" s="157">
        <f t="shared" si="8"/>
        <v>17000</v>
      </c>
      <c r="F140" s="161">
        <f t="shared" si="9"/>
        <v>4.4942156800541422E-2</v>
      </c>
    </row>
    <row r="141" spans="1:6" ht="15" customHeight="1" x14ac:dyDescent="0.2">
      <c r="A141" s="147">
        <v>9</v>
      </c>
      <c r="B141" s="169" t="s">
        <v>268</v>
      </c>
      <c r="C141" s="157">
        <v>346255</v>
      </c>
      <c r="D141" s="157">
        <v>439767</v>
      </c>
      <c r="E141" s="157">
        <f t="shared" si="8"/>
        <v>93512</v>
      </c>
      <c r="F141" s="161">
        <f t="shared" si="9"/>
        <v>0.27006685824031423</v>
      </c>
    </row>
    <row r="142" spans="1:6" ht="15" customHeight="1" x14ac:dyDescent="0.2">
      <c r="A142" s="147">
        <v>10</v>
      </c>
      <c r="B142" s="169" t="s">
        <v>269</v>
      </c>
      <c r="C142" s="157">
        <v>3313575</v>
      </c>
      <c r="D142" s="157">
        <v>3723481</v>
      </c>
      <c r="E142" s="157">
        <f t="shared" si="8"/>
        <v>409906</v>
      </c>
      <c r="F142" s="161">
        <f t="shared" si="9"/>
        <v>0.12370506175354413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368715</v>
      </c>
      <c r="D144" s="157">
        <v>361747</v>
      </c>
      <c r="E144" s="157">
        <f t="shared" si="8"/>
        <v>-6968</v>
      </c>
      <c r="F144" s="161">
        <f t="shared" si="9"/>
        <v>-1.8898064901075356E-2</v>
      </c>
    </row>
    <row r="145" spans="1:6" ht="15" customHeight="1" x14ac:dyDescent="0.2">
      <c r="A145" s="147">
        <v>13</v>
      </c>
      <c r="B145" s="169" t="s">
        <v>272</v>
      </c>
      <c r="C145" s="157">
        <v>82796</v>
      </c>
      <c r="D145" s="157">
        <v>51013</v>
      </c>
      <c r="E145" s="157">
        <f t="shared" si="8"/>
        <v>-31783</v>
      </c>
      <c r="F145" s="161">
        <f t="shared" si="9"/>
        <v>-0.38387120150731918</v>
      </c>
    </row>
    <row r="146" spans="1:6" ht="15" customHeight="1" x14ac:dyDescent="0.2">
      <c r="A146" s="147">
        <v>14</v>
      </c>
      <c r="B146" s="169" t="s">
        <v>273</v>
      </c>
      <c r="C146" s="157">
        <v>17484</v>
      </c>
      <c r="D146" s="157">
        <v>19448</v>
      </c>
      <c r="E146" s="157">
        <f t="shared" si="8"/>
        <v>1964</v>
      </c>
      <c r="F146" s="161">
        <f t="shared" si="9"/>
        <v>0.11233127430793868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660885</v>
      </c>
      <c r="D150" s="157">
        <v>751524</v>
      </c>
      <c r="E150" s="157">
        <f t="shared" si="8"/>
        <v>90639</v>
      </c>
      <c r="F150" s="161">
        <f t="shared" si="9"/>
        <v>0.13714791529539935</v>
      </c>
    </row>
    <row r="151" spans="1:6" ht="15" customHeight="1" x14ac:dyDescent="0.2">
      <c r="A151" s="147">
        <v>19</v>
      </c>
      <c r="B151" s="169" t="s">
        <v>278</v>
      </c>
      <c r="C151" s="157">
        <v>352059</v>
      </c>
      <c r="D151" s="157">
        <v>297637</v>
      </c>
      <c r="E151" s="157">
        <f t="shared" si="8"/>
        <v>-54422</v>
      </c>
      <c r="F151" s="161">
        <f t="shared" si="9"/>
        <v>-0.15458204448686158</v>
      </c>
    </row>
    <row r="152" spans="1:6" ht="15" customHeight="1" x14ac:dyDescent="0.2">
      <c r="A152" s="147">
        <v>20</v>
      </c>
      <c r="B152" s="169" t="s">
        <v>279</v>
      </c>
      <c r="C152" s="157">
        <v>144522</v>
      </c>
      <c r="D152" s="157">
        <v>176380</v>
      </c>
      <c r="E152" s="157">
        <f t="shared" si="8"/>
        <v>31858</v>
      </c>
      <c r="F152" s="161">
        <f t="shared" si="9"/>
        <v>0.22043702688863978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195784</v>
      </c>
      <c r="D154" s="157">
        <v>312714</v>
      </c>
      <c r="E154" s="157">
        <f t="shared" si="8"/>
        <v>116930</v>
      </c>
      <c r="F154" s="161">
        <f t="shared" si="9"/>
        <v>0.59723981530666448</v>
      </c>
    </row>
    <row r="155" spans="1:6" ht="15" customHeight="1" x14ac:dyDescent="0.2">
      <c r="A155" s="147">
        <v>23</v>
      </c>
      <c r="B155" s="169" t="s">
        <v>282</v>
      </c>
      <c r="C155" s="157">
        <v>40665</v>
      </c>
      <c r="D155" s="157">
        <v>59307</v>
      </c>
      <c r="E155" s="157">
        <f t="shared" si="8"/>
        <v>18642</v>
      </c>
      <c r="F155" s="161">
        <f t="shared" si="9"/>
        <v>0.45842862412393953</v>
      </c>
    </row>
    <row r="156" spans="1:6" ht="15" customHeight="1" x14ac:dyDescent="0.2">
      <c r="A156" s="147">
        <v>24</v>
      </c>
      <c r="B156" s="169" t="s">
        <v>283</v>
      </c>
      <c r="C156" s="157">
        <v>2963680</v>
      </c>
      <c r="D156" s="157">
        <v>2820754</v>
      </c>
      <c r="E156" s="157">
        <f t="shared" si="8"/>
        <v>-142926</v>
      </c>
      <c r="F156" s="161">
        <f t="shared" si="9"/>
        <v>-4.8225854343248935E-2</v>
      </c>
    </row>
    <row r="157" spans="1:6" ht="15" customHeight="1" x14ac:dyDescent="0.2">
      <c r="A157" s="147">
        <v>25</v>
      </c>
      <c r="B157" s="169" t="s">
        <v>284</v>
      </c>
      <c r="C157" s="157">
        <v>717667</v>
      </c>
      <c r="D157" s="157">
        <v>756851</v>
      </c>
      <c r="E157" s="157">
        <f t="shared" si="8"/>
        <v>39184</v>
      </c>
      <c r="F157" s="161">
        <f t="shared" si="9"/>
        <v>5.4599138597706182E-2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739425</v>
      </c>
      <c r="D164" s="157">
        <v>792202</v>
      </c>
      <c r="E164" s="157">
        <f t="shared" si="8"/>
        <v>52777</v>
      </c>
      <c r="F164" s="161">
        <f t="shared" si="9"/>
        <v>7.1375731142441765E-2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2188137</v>
      </c>
      <c r="D166" s="157">
        <v>2637109</v>
      </c>
      <c r="E166" s="157">
        <f t="shared" si="8"/>
        <v>448972</v>
      </c>
      <c r="F166" s="161">
        <f t="shared" si="9"/>
        <v>0.20518459310363107</v>
      </c>
    </row>
    <row r="167" spans="1:6" ht="15.75" customHeight="1" x14ac:dyDescent="0.25">
      <c r="A167" s="147"/>
      <c r="B167" s="165" t="s">
        <v>294</v>
      </c>
      <c r="C167" s="158">
        <f>SUM(C133:C166)</f>
        <v>17173039</v>
      </c>
      <c r="D167" s="158">
        <f>SUM(D133:D166)</f>
        <v>18512235</v>
      </c>
      <c r="E167" s="158">
        <f t="shared" si="8"/>
        <v>1339196</v>
      </c>
      <c r="F167" s="159">
        <f t="shared" si="9"/>
        <v>7.7982470079989916E-2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3486572</v>
      </c>
      <c r="D170" s="157">
        <v>3526977</v>
      </c>
      <c r="E170" s="157">
        <f t="shared" ref="E170:E183" si="10">D170-C170</f>
        <v>40405</v>
      </c>
      <c r="F170" s="161">
        <f t="shared" ref="F170:F183" si="11">IF(C170=0,0,E170/C170)</f>
        <v>1.1588746769032736E-2</v>
      </c>
    </row>
    <row r="171" spans="1:6" ht="15" customHeight="1" x14ac:dyDescent="0.2">
      <c r="A171" s="147">
        <v>2</v>
      </c>
      <c r="B171" s="169" t="s">
        <v>297</v>
      </c>
      <c r="C171" s="157">
        <v>1395827</v>
      </c>
      <c r="D171" s="157">
        <v>1385381</v>
      </c>
      <c r="E171" s="157">
        <f t="shared" si="10"/>
        <v>-10446</v>
      </c>
      <c r="F171" s="161">
        <f t="shared" si="11"/>
        <v>-7.4837354485906924E-3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2312673</v>
      </c>
      <c r="D173" s="157">
        <v>2079092</v>
      </c>
      <c r="E173" s="157">
        <f t="shared" si="10"/>
        <v>-233581</v>
      </c>
      <c r="F173" s="161">
        <f t="shared" si="11"/>
        <v>-0.10100044407488651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1102223</v>
      </c>
      <c r="D175" s="157">
        <v>1099133</v>
      </c>
      <c r="E175" s="157">
        <f t="shared" si="10"/>
        <v>-3090</v>
      </c>
      <c r="F175" s="161">
        <f t="shared" si="11"/>
        <v>-2.8034254411312409E-3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3184119</v>
      </c>
      <c r="D179" s="157">
        <v>2609557</v>
      </c>
      <c r="E179" s="157">
        <f t="shared" si="10"/>
        <v>-574562</v>
      </c>
      <c r="F179" s="161">
        <f t="shared" si="11"/>
        <v>-0.18044614538589795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11481414</v>
      </c>
      <c r="D183" s="158">
        <f>SUM(D170:D182)</f>
        <v>10700140</v>
      </c>
      <c r="E183" s="158">
        <f t="shared" si="10"/>
        <v>-781274</v>
      </c>
      <c r="F183" s="159">
        <f t="shared" si="11"/>
        <v>-6.8046845101134762E-2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66456723</v>
      </c>
      <c r="D188" s="158">
        <f>+D186+D183+D167+D130+D121</f>
        <v>70240063</v>
      </c>
      <c r="E188" s="158">
        <f>D188-C188</f>
        <v>3783340</v>
      </c>
      <c r="F188" s="159">
        <f>IF(C188=0,0,E188/C188)</f>
        <v>5.692937943991009E-2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FILING&amp;RJOHNSON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59633584</v>
      </c>
      <c r="D11" s="183">
        <v>66648825</v>
      </c>
      <c r="E11" s="76">
        <v>65387734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718658</v>
      </c>
      <c r="D12" s="185">
        <v>650812</v>
      </c>
      <c r="E12" s="185">
        <v>614715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60352242</v>
      </c>
      <c r="D13" s="76">
        <f>+D11+D12</f>
        <v>67299637</v>
      </c>
      <c r="E13" s="76">
        <f>+E11+E12</f>
        <v>66002449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63578052</v>
      </c>
      <c r="D14" s="185">
        <v>66456723</v>
      </c>
      <c r="E14" s="185">
        <v>70240063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-3225810</v>
      </c>
      <c r="D15" s="76">
        <f>+D13-D14</f>
        <v>842914</v>
      </c>
      <c r="E15" s="76">
        <f>+E13-E14</f>
        <v>-4237614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232279</v>
      </c>
      <c r="D16" s="185">
        <v>361403</v>
      </c>
      <c r="E16" s="185">
        <v>228556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-2993531</v>
      </c>
      <c r="D17" s="76">
        <f>D15+D16</f>
        <v>1204317</v>
      </c>
      <c r="E17" s="76">
        <f>E15+E16</f>
        <v>-4009058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-5.3244788384148485E-2</v>
      </c>
      <c r="D20" s="189">
        <f>IF(+D27=0,0,+D24/+D27)</f>
        <v>1.2457893050417198E-2</v>
      </c>
      <c r="E20" s="189">
        <f>IF(+E27=0,0,+E24/+E27)</f>
        <v>-6.3982329726085238E-2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3.8339661049725886E-3</v>
      </c>
      <c r="D21" s="189">
        <f>IF(D27=0,0,+D26/D27)</f>
        <v>5.3413751843010395E-3</v>
      </c>
      <c r="E21" s="189">
        <f>IF(E27=0,0,+E26/E27)</f>
        <v>3.4508913159327719E-3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-4.9410822279175898E-2</v>
      </c>
      <c r="D22" s="189">
        <f>IF(D27=0,0,+D28/D27)</f>
        <v>1.7799268234718238E-2</v>
      </c>
      <c r="E22" s="189">
        <f>IF(E27=0,0,+E28/E27)</f>
        <v>-6.0531438410152467E-2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-3225810</v>
      </c>
      <c r="D24" s="76">
        <f>+D15</f>
        <v>842914</v>
      </c>
      <c r="E24" s="76">
        <f>+E15</f>
        <v>-4237614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60352242</v>
      </c>
      <c r="D25" s="76">
        <f>+D13</f>
        <v>67299637</v>
      </c>
      <c r="E25" s="76">
        <f>+E13</f>
        <v>66002449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232279</v>
      </c>
      <c r="D26" s="76">
        <f>+D16</f>
        <v>361403</v>
      </c>
      <c r="E26" s="76">
        <f>+E16</f>
        <v>228556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60584521</v>
      </c>
      <c r="D27" s="76">
        <f>+D25+D26</f>
        <v>67661040</v>
      </c>
      <c r="E27" s="76">
        <f>+E25+E26</f>
        <v>66231005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-2993531</v>
      </c>
      <c r="D28" s="76">
        <f>+D17</f>
        <v>1204317</v>
      </c>
      <c r="E28" s="76">
        <f>+E17</f>
        <v>-4009058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2069573</v>
      </c>
      <c r="D31" s="76">
        <v>3321184</v>
      </c>
      <c r="E31" s="76">
        <v>-498600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6911814</v>
      </c>
      <c r="D32" s="76">
        <v>8290975</v>
      </c>
      <c r="E32" s="76">
        <v>4242424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-2772784</v>
      </c>
      <c r="D33" s="76">
        <f>+D32-C32</f>
        <v>1379161</v>
      </c>
      <c r="E33" s="76">
        <f>+E32-D32</f>
        <v>-4048551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0.71360000000000001</v>
      </c>
      <c r="D34" s="193">
        <f>IF(C32=0,0,+D33/C32)</f>
        <v>0.19953676415482247</v>
      </c>
      <c r="E34" s="193">
        <f>IF(D32=0,0,+E33/D32)</f>
        <v>-0.48830819053247659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0.39884241069094017</v>
      </c>
      <c r="D38" s="195">
        <f>IF((D40+D41)=0,0,+D39/(D40+D41))</f>
        <v>0.38846739163696486</v>
      </c>
      <c r="E38" s="195">
        <f>IF((E40+E41)=0,0,+E39/(E40+E41))</f>
        <v>0.40858594783556934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63578052</v>
      </c>
      <c r="D39" s="76">
        <v>66456723</v>
      </c>
      <c r="E39" s="196">
        <v>70240063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159131313</v>
      </c>
      <c r="D40" s="76">
        <v>170600762</v>
      </c>
      <c r="E40" s="196">
        <v>171319319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275135</v>
      </c>
      <c r="D41" s="76">
        <v>473373</v>
      </c>
      <c r="E41" s="196">
        <v>590810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1.3383997719777381</v>
      </c>
      <c r="D43" s="197">
        <f>IF(D38=0,0,IF((D46-D47)=0,0,((+D44-D45)/(D46-D47)/D38)))</f>
        <v>1.4372511733679871</v>
      </c>
      <c r="E43" s="197">
        <f>IF(E38=0,0,IF((E46-E47)=0,0,((+E44-E45)/(E46-E47)/E38)))</f>
        <v>1.4186562761093842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28880836</v>
      </c>
      <c r="D44" s="76">
        <v>32000079</v>
      </c>
      <c r="E44" s="196">
        <v>33140424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95489</v>
      </c>
      <c r="D45" s="76">
        <v>290267</v>
      </c>
      <c r="E45" s="196">
        <v>125849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56461997</v>
      </c>
      <c r="D46" s="76">
        <v>59307952</v>
      </c>
      <c r="E46" s="196">
        <v>59121133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2537726</v>
      </c>
      <c r="D47" s="76">
        <v>2513433</v>
      </c>
      <c r="E47" s="76">
        <v>2164396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0.74028182304579804</v>
      </c>
      <c r="D49" s="198">
        <f>IF(D38=0,0,IF(D51=0,0,(D50/D51)/D38))</f>
        <v>0.80327198976758829</v>
      </c>
      <c r="E49" s="198">
        <f>IF(E38=0,0,IF(E51=0,0,(E50/E51)/E38))</f>
        <v>0.71629162484719577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22452248</v>
      </c>
      <c r="D50" s="199">
        <v>24671781</v>
      </c>
      <c r="E50" s="199">
        <v>23021690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76043380</v>
      </c>
      <c r="D51" s="199">
        <v>79064824</v>
      </c>
      <c r="E51" s="199">
        <v>78661804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0.58284535312317987</v>
      </c>
      <c r="D53" s="198">
        <f>IF(D38=0,0,IF(D55=0,0,(D54/D55)/D38))</f>
        <v>0.79356982087102712</v>
      </c>
      <c r="E53" s="198">
        <f>IF(E38=0,0,IF(E55=0,0,(E54/E55)/E38))</f>
        <v>0.66393710337041978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5963226</v>
      </c>
      <c r="D54" s="199">
        <v>9637836</v>
      </c>
      <c r="E54" s="199">
        <v>8694986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25652317</v>
      </c>
      <c r="D55" s="199">
        <v>31263660</v>
      </c>
      <c r="E55" s="199">
        <v>32052250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1900823.1029914173</v>
      </c>
      <c r="D57" s="88">
        <f>+D60*D38</f>
        <v>1750687.7359229026</v>
      </c>
      <c r="E57" s="88">
        <f>+E60*E38</f>
        <v>1362653.3395711721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310398</v>
      </c>
      <c r="D58" s="199">
        <v>387404</v>
      </c>
      <c r="E58" s="199">
        <v>221047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4455452</v>
      </c>
      <c r="D59" s="199">
        <v>4119249</v>
      </c>
      <c r="E59" s="199">
        <v>3114000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4765850</v>
      </c>
      <c r="D60" s="76">
        <v>4506653</v>
      </c>
      <c r="E60" s="201">
        <v>3335047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2.9897473156167434E-2</v>
      </c>
      <c r="D62" s="202">
        <f>IF(D63=0,0,+D57/D63)</f>
        <v>2.6343275095326361E-2</v>
      </c>
      <c r="E62" s="202">
        <f>IF(E63=0,0,+E57/E63)</f>
        <v>1.9399944723443259E-2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63578052</v>
      </c>
      <c r="D63" s="199">
        <v>66456723</v>
      </c>
      <c r="E63" s="199">
        <v>70240063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0.43428757019677983</v>
      </c>
      <c r="D67" s="203">
        <f>IF(D69=0,0,D68/D69)</f>
        <v>0.44367606375174112</v>
      </c>
      <c r="E67" s="203">
        <f>IF(E69=0,0,E68/E69)</f>
        <v>0.40526165676017933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11357806</v>
      </c>
      <c r="D68" s="204">
        <v>12570047</v>
      </c>
      <c r="E68" s="204">
        <v>14564184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26152731</v>
      </c>
      <c r="D69" s="204">
        <v>28331587</v>
      </c>
      <c r="E69" s="204">
        <v>35937730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1.1353814568808447</v>
      </c>
      <c r="D71" s="203">
        <f>IF((D77/365)=0,0,+D74/(D77/365))</f>
        <v>2.5306768913019182</v>
      </c>
      <c r="E71" s="203">
        <f>IF((E77/365)=0,0,+E74/(E77/365))</f>
        <v>8.9381557579351938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188181</v>
      </c>
      <c r="D72" s="183">
        <v>444722</v>
      </c>
      <c r="E72" s="183">
        <v>1675853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188181</v>
      </c>
      <c r="D74" s="204">
        <f>+D72+D73</f>
        <v>444722</v>
      </c>
      <c r="E74" s="204">
        <f>+E72+E73</f>
        <v>1675853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63578052</v>
      </c>
      <c r="D75" s="204">
        <f>+D14</f>
        <v>66456723</v>
      </c>
      <c r="E75" s="204">
        <f>+E14</f>
        <v>70240063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3082027</v>
      </c>
      <c r="D76" s="204">
        <v>2314386</v>
      </c>
      <c r="E76" s="204">
        <v>1804654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60496025</v>
      </c>
      <c r="D77" s="204">
        <f>+D75-D76</f>
        <v>64142337</v>
      </c>
      <c r="E77" s="204">
        <f>+E75-E76</f>
        <v>68435409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29.060076114157418</v>
      </c>
      <c r="D79" s="203">
        <f>IF((D84/365)=0,0,+D83/(D84/365))</f>
        <v>32.420501336670227</v>
      </c>
      <c r="E79" s="203">
        <f>IF((E84/365)=0,0,+E83/(E84/365))</f>
        <v>40.986895799141777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7312397</v>
      </c>
      <c r="D80" s="212">
        <v>8595481</v>
      </c>
      <c r="E80" s="212">
        <v>9554938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2564571</v>
      </c>
      <c r="D82" s="212">
        <v>2675513</v>
      </c>
      <c r="E82" s="212">
        <v>2212362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4747826</v>
      </c>
      <c r="D83" s="212">
        <f>+D80+D81-D82</f>
        <v>5919968</v>
      </c>
      <c r="E83" s="212">
        <f>+E80+E81-E82</f>
        <v>7342576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59633584</v>
      </c>
      <c r="D84" s="204">
        <f>+D11</f>
        <v>66648825</v>
      </c>
      <c r="E84" s="204">
        <f>+E11</f>
        <v>65387734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157.79130637095577</v>
      </c>
      <c r="D86" s="203">
        <f>IF((D90/365)=0,0,+D87/(D90/365))</f>
        <v>161.22002625192781</v>
      </c>
      <c r="E86" s="203">
        <f>IF((E90/365)=0,0,+E87/(E90/365))</f>
        <v>191.67374962280124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26152731</v>
      </c>
      <c r="D87" s="76">
        <f>+D69</f>
        <v>28331587</v>
      </c>
      <c r="E87" s="76">
        <f>+E69</f>
        <v>35937730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63578052</v>
      </c>
      <c r="D88" s="76">
        <f t="shared" si="0"/>
        <v>66456723</v>
      </c>
      <c r="E88" s="76">
        <f t="shared" si="0"/>
        <v>70240063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3082027</v>
      </c>
      <c r="D89" s="201">
        <f t="shared" si="0"/>
        <v>2314386</v>
      </c>
      <c r="E89" s="201">
        <f t="shared" si="0"/>
        <v>1804654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60496025</v>
      </c>
      <c r="D90" s="76">
        <f>+D88-D89</f>
        <v>64142337</v>
      </c>
      <c r="E90" s="76">
        <f>+E88-E89</f>
        <v>68435409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16.444822531155175</v>
      </c>
      <c r="D94" s="214">
        <f>IF(D96=0,0,(D95/D96)*100)</f>
        <v>18.220427400080457</v>
      </c>
      <c r="E94" s="214">
        <f>IF(E96=0,0,(E95/E96)*100)</f>
        <v>8.1294862082256927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6911814</v>
      </c>
      <c r="D95" s="76">
        <f>+D32</f>
        <v>8290975</v>
      </c>
      <c r="E95" s="76">
        <f>+E32</f>
        <v>4242424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42030335</v>
      </c>
      <c r="D96" s="76">
        <v>45503735</v>
      </c>
      <c r="E96" s="76">
        <v>52185635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0.3383814868129833</v>
      </c>
      <c r="D98" s="214">
        <f>IF(D104=0,0,(D101/D104)*100)</f>
        <v>12.419717257631914</v>
      </c>
      <c r="E98" s="214">
        <f>IF(E104=0,0,(E101/E104)*100)</f>
        <v>-5.4416578393759512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-2993531</v>
      </c>
      <c r="D99" s="76">
        <f>+D28</f>
        <v>1204317</v>
      </c>
      <c r="E99" s="76">
        <f>+E28</f>
        <v>-4009058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3082027</v>
      </c>
      <c r="D100" s="201">
        <f>+D76</f>
        <v>2314386</v>
      </c>
      <c r="E100" s="201">
        <f>+E76</f>
        <v>1804654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88496</v>
      </c>
      <c r="D101" s="76">
        <f>+D99+D100</f>
        <v>3518703</v>
      </c>
      <c r="E101" s="76">
        <f>+E99+E100</f>
        <v>-2204404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26152731</v>
      </c>
      <c r="D102" s="204">
        <f>+D69</f>
        <v>28331587</v>
      </c>
      <c r="E102" s="204">
        <f>+E69</f>
        <v>35937730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4572057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26152731</v>
      </c>
      <c r="D104" s="204">
        <f>+D102+D103</f>
        <v>28331587</v>
      </c>
      <c r="E104" s="204">
        <f>+E102+E103</f>
        <v>40509787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51.869837827093846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4572057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6911814</v>
      </c>
      <c r="D108" s="204">
        <f>+D32</f>
        <v>8290975</v>
      </c>
      <c r="E108" s="204">
        <f>+E32</f>
        <v>4242424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6911814</v>
      </c>
      <c r="D109" s="204">
        <f>+D107+D108</f>
        <v>8290975</v>
      </c>
      <c r="E109" s="204">
        <f>+E107+E108</f>
        <v>8814481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0.91278999209022393</v>
      </c>
      <c r="D111" s="214">
        <f>IF((+D113+D115)=0,0,((+D112+D113+D114)/(+D113+D115)))</f>
        <v>3.178705723923783</v>
      </c>
      <c r="E111" s="214">
        <f>IF((+E113+E115)=0,0,((+E112+E113+E114)/(+E113+E115)))</f>
        <v>-1.0594302011987777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-2993531</v>
      </c>
      <c r="D112" s="76">
        <f>+D17</f>
        <v>1204317</v>
      </c>
      <c r="E112" s="76">
        <f>+E17</f>
        <v>-4009058</v>
      </c>
    </row>
    <row r="113" spans="1:8" ht="24" customHeight="1" x14ac:dyDescent="0.2">
      <c r="A113" s="85">
        <v>17</v>
      </c>
      <c r="B113" s="75" t="s">
        <v>88</v>
      </c>
      <c r="C113" s="218">
        <v>1408245</v>
      </c>
      <c r="D113" s="76">
        <v>1459503</v>
      </c>
      <c r="E113" s="76">
        <v>975626</v>
      </c>
    </row>
    <row r="114" spans="1:8" ht="24" customHeight="1" x14ac:dyDescent="0.2">
      <c r="A114" s="85">
        <v>18</v>
      </c>
      <c r="B114" s="75" t="s">
        <v>374</v>
      </c>
      <c r="C114" s="218">
        <v>3082027</v>
      </c>
      <c r="D114" s="76">
        <v>2314386</v>
      </c>
      <c r="E114" s="76">
        <v>1804654</v>
      </c>
    </row>
    <row r="115" spans="1:8" ht="24" customHeight="1" x14ac:dyDescent="0.2">
      <c r="A115" s="85">
        <v>19</v>
      </c>
      <c r="B115" s="75" t="s">
        <v>104</v>
      </c>
      <c r="C115" s="218">
        <v>231498</v>
      </c>
      <c r="D115" s="76">
        <v>106608</v>
      </c>
      <c r="E115" s="76">
        <v>184222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13.63219076276749</v>
      </c>
      <c r="D119" s="214">
        <f>IF(+D121=0,0,(+D120)/(+D121))</f>
        <v>19.067054933792374</v>
      </c>
      <c r="E119" s="214">
        <f>IF(+E121=0,0,(+E120)/(+E121))</f>
        <v>25.390975777074164</v>
      </c>
    </row>
    <row r="120" spans="1:8" ht="24" customHeight="1" x14ac:dyDescent="0.2">
      <c r="A120" s="85">
        <v>21</v>
      </c>
      <c r="B120" s="75" t="s">
        <v>378</v>
      </c>
      <c r="C120" s="218">
        <v>42014780</v>
      </c>
      <c r="D120" s="218">
        <v>44128525</v>
      </c>
      <c r="E120" s="218">
        <v>45821926</v>
      </c>
    </row>
    <row r="121" spans="1:8" ht="24" customHeight="1" x14ac:dyDescent="0.2">
      <c r="A121" s="85">
        <v>22</v>
      </c>
      <c r="B121" s="75" t="s">
        <v>374</v>
      </c>
      <c r="C121" s="218">
        <v>3082027</v>
      </c>
      <c r="D121" s="218">
        <v>2314386</v>
      </c>
      <c r="E121" s="218">
        <v>1804654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16130</v>
      </c>
      <c r="D124" s="218">
        <v>16270</v>
      </c>
      <c r="E124" s="218">
        <v>15091</v>
      </c>
    </row>
    <row r="125" spans="1:8" ht="24" customHeight="1" x14ac:dyDescent="0.2">
      <c r="A125" s="85">
        <v>2</v>
      </c>
      <c r="B125" s="75" t="s">
        <v>381</v>
      </c>
      <c r="C125" s="218">
        <v>3139</v>
      </c>
      <c r="D125" s="218">
        <v>3191</v>
      </c>
      <c r="E125" s="218">
        <v>3036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5.1385791653392801</v>
      </c>
      <c r="D126" s="219">
        <f>IF(D125=0,0,D124/D125)</f>
        <v>5.0987151363209025</v>
      </c>
      <c r="E126" s="219">
        <f>IF(E125=0,0,E124/E125)</f>
        <v>4.9706851119894599</v>
      </c>
    </row>
    <row r="127" spans="1:8" ht="24" customHeight="1" x14ac:dyDescent="0.2">
      <c r="A127" s="85">
        <v>4</v>
      </c>
      <c r="B127" s="75" t="s">
        <v>383</v>
      </c>
      <c r="C127" s="218">
        <v>70</v>
      </c>
      <c r="D127" s="218">
        <v>70</v>
      </c>
      <c r="E127" s="218">
        <v>70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101</v>
      </c>
      <c r="E129" s="218">
        <v>101</v>
      </c>
    </row>
    <row r="130" spans="1:7" ht="24" customHeight="1" x14ac:dyDescent="0.2">
      <c r="A130" s="85">
        <v>7</v>
      </c>
      <c r="B130" s="75" t="s">
        <v>386</v>
      </c>
      <c r="C130" s="193">
        <v>0.63129999999999997</v>
      </c>
      <c r="D130" s="193">
        <v>0.63670000000000004</v>
      </c>
      <c r="E130" s="193">
        <v>0.59060000000000001</v>
      </c>
    </row>
    <row r="131" spans="1:7" ht="24" customHeight="1" x14ac:dyDescent="0.2">
      <c r="A131" s="85">
        <v>8</v>
      </c>
      <c r="B131" s="75" t="s">
        <v>387</v>
      </c>
      <c r="C131" s="193">
        <v>0.46510000000000001</v>
      </c>
      <c r="D131" s="193">
        <v>0.46920000000000001</v>
      </c>
      <c r="E131" s="193">
        <v>0.43519999999999998</v>
      </c>
    </row>
    <row r="132" spans="1:7" ht="24" customHeight="1" x14ac:dyDescent="0.2">
      <c r="A132" s="85">
        <v>9</v>
      </c>
      <c r="B132" s="75" t="s">
        <v>388</v>
      </c>
      <c r="C132" s="219">
        <v>460.3</v>
      </c>
      <c r="D132" s="219">
        <v>447.2</v>
      </c>
      <c r="E132" s="219">
        <v>451.3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0.33886649951791703</v>
      </c>
      <c r="D135" s="227">
        <f>IF(D149=0,0,D143/D149)</f>
        <v>0.3329089409342732</v>
      </c>
      <c r="E135" s="227">
        <f>IF(E149=0,0,E143/E149)</f>
        <v>0.33245951088563458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0.47786559770294862</v>
      </c>
      <c r="D136" s="227">
        <f>IF(D149=0,0,D144/D149)</f>
        <v>0.46344941882498741</v>
      </c>
      <c r="E136" s="227">
        <f>IF(E149=0,0,E144/E149)</f>
        <v>0.45915314431059584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0.16120219532154553</v>
      </c>
      <c r="D137" s="227">
        <f>IF(D149=0,0,D145/D149)</f>
        <v>0.18325627408393405</v>
      </c>
      <c r="E137" s="227">
        <f>IF(E149=0,0,E145/E149)</f>
        <v>0.18709069232291309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1.5947370458760685E-2</v>
      </c>
      <c r="D139" s="227">
        <f>IF(D149=0,0,D147/D149)</f>
        <v>1.4732835718518069E-2</v>
      </c>
      <c r="E139" s="227">
        <f>IF(E149=0,0,E147/E149)</f>
        <v>1.2633694860764651E-2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6.1183369988281316E-3</v>
      </c>
      <c r="D140" s="227">
        <f>IF(D149=0,0,D148/D149)</f>
        <v>5.6525304382872565E-3</v>
      </c>
      <c r="E140" s="227">
        <f>IF(E149=0,0,E148/E149)</f>
        <v>8.6629576200918709E-3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53924271</v>
      </c>
      <c r="D143" s="229">
        <f>+D46-D147</f>
        <v>56794519</v>
      </c>
      <c r="E143" s="229">
        <f>+E46-E147</f>
        <v>56956737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76043380</v>
      </c>
      <c r="D144" s="229">
        <f>+D51</f>
        <v>79064824</v>
      </c>
      <c r="E144" s="229">
        <f>+E51</f>
        <v>78661804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25652317</v>
      </c>
      <c r="D145" s="229">
        <f>+D55</f>
        <v>31263660</v>
      </c>
      <c r="E145" s="229">
        <f>+E55</f>
        <v>32052250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2537726</v>
      </c>
      <c r="D147" s="229">
        <f>+D47</f>
        <v>2513433</v>
      </c>
      <c r="E147" s="229">
        <f>+E47</f>
        <v>2164396</v>
      </c>
    </row>
    <row r="148" spans="1:7" ht="20.100000000000001" customHeight="1" x14ac:dyDescent="0.2">
      <c r="A148" s="226">
        <v>13</v>
      </c>
      <c r="B148" s="224" t="s">
        <v>402</v>
      </c>
      <c r="C148" s="230">
        <v>973619</v>
      </c>
      <c r="D148" s="229">
        <v>964326</v>
      </c>
      <c r="E148" s="229">
        <v>1484132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159131313</v>
      </c>
      <c r="D149" s="229">
        <f>SUM(D143:D148)</f>
        <v>170600762</v>
      </c>
      <c r="E149" s="229">
        <f>SUM(E143:E148)</f>
        <v>171319319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0.4995055241243857</v>
      </c>
      <c r="D152" s="227">
        <f>IF(D166=0,0,D160/D166)</f>
        <v>0.47577431641283185</v>
      </c>
      <c r="E152" s="227">
        <f>IF(E166=0,0,E160/E166)</f>
        <v>0.50490471194490394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0.38960870977204792</v>
      </c>
      <c r="D153" s="227">
        <f>IF(D166=0,0,D161/D166)</f>
        <v>0.37017563333273917</v>
      </c>
      <c r="E153" s="227">
        <f>IF(E166=0,0,E161/E166)</f>
        <v>0.35207964233781214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0.10347849301945758</v>
      </c>
      <c r="D154" s="227">
        <f>IF(D166=0,0,D162/D166)</f>
        <v>0.14460618166386421</v>
      </c>
      <c r="E154" s="227">
        <f>IF(E166=0,0,E162/E166)</f>
        <v>0.13297579634736997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1.6569987151140984E-3</v>
      </c>
      <c r="D156" s="227">
        <f>IF(D166=0,0,D164/D166)</f>
        <v>4.3551687882035835E-3</v>
      </c>
      <c r="E156" s="227">
        <f>IF(E166=0,0,E164/E166)</f>
        <v>1.9246576123895041E-3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5.7502743689946938E-3</v>
      </c>
      <c r="D157" s="227">
        <f>IF(D166=0,0,D165/D166)</f>
        <v>5.0886998023611874E-3</v>
      </c>
      <c r="E157" s="227">
        <f>IF(E166=0,0,E165/E166)</f>
        <v>8.1151917575244311E-3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28785347</v>
      </c>
      <c r="D160" s="229">
        <f>+D44-D164</f>
        <v>31709812</v>
      </c>
      <c r="E160" s="229">
        <f>+E44-E164</f>
        <v>33014575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22452248</v>
      </c>
      <c r="D161" s="229">
        <f>+D50</f>
        <v>24671781</v>
      </c>
      <c r="E161" s="229">
        <f>+E50</f>
        <v>23021690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5963226</v>
      </c>
      <c r="D162" s="229">
        <f>+D54</f>
        <v>9637836</v>
      </c>
      <c r="E162" s="229">
        <f>+E54</f>
        <v>8694986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95489</v>
      </c>
      <c r="D164" s="229">
        <f>+D45</f>
        <v>290267</v>
      </c>
      <c r="E164" s="229">
        <f>+E45</f>
        <v>125849</v>
      </c>
    </row>
    <row r="165" spans="1:6" ht="20.100000000000001" customHeight="1" x14ac:dyDescent="0.2">
      <c r="A165" s="226">
        <v>13</v>
      </c>
      <c r="B165" s="224" t="s">
        <v>417</v>
      </c>
      <c r="C165" s="230">
        <v>331375</v>
      </c>
      <c r="D165" s="229">
        <v>339156</v>
      </c>
      <c r="E165" s="229">
        <v>530634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57627685</v>
      </c>
      <c r="D166" s="229">
        <f>SUM(D160:D165)</f>
        <v>66648852</v>
      </c>
      <c r="E166" s="229">
        <f>SUM(E160:E165)</f>
        <v>65387734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896</v>
      </c>
      <c r="D169" s="218">
        <v>915</v>
      </c>
      <c r="E169" s="218">
        <v>831</v>
      </c>
    </row>
    <row r="170" spans="1:6" ht="20.100000000000001" customHeight="1" x14ac:dyDescent="0.2">
      <c r="A170" s="226">
        <v>2</v>
      </c>
      <c r="B170" s="224" t="s">
        <v>420</v>
      </c>
      <c r="C170" s="218">
        <v>1633</v>
      </c>
      <c r="D170" s="218">
        <v>1571</v>
      </c>
      <c r="E170" s="218">
        <v>1477</v>
      </c>
    </row>
    <row r="171" spans="1:6" ht="20.100000000000001" customHeight="1" x14ac:dyDescent="0.2">
      <c r="A171" s="226">
        <v>3</v>
      </c>
      <c r="B171" s="224" t="s">
        <v>421</v>
      </c>
      <c r="C171" s="218">
        <v>581</v>
      </c>
      <c r="D171" s="218">
        <v>681</v>
      </c>
      <c r="E171" s="218">
        <v>678</v>
      </c>
    </row>
    <row r="172" spans="1:6" ht="20.100000000000001" customHeight="1" x14ac:dyDescent="0.2">
      <c r="A172" s="226">
        <v>4</v>
      </c>
      <c r="B172" s="224" t="s">
        <v>422</v>
      </c>
      <c r="C172" s="218">
        <v>581</v>
      </c>
      <c r="D172" s="218">
        <v>681</v>
      </c>
      <c r="E172" s="218">
        <v>678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29</v>
      </c>
      <c r="D174" s="218">
        <v>24</v>
      </c>
      <c r="E174" s="218">
        <v>50</v>
      </c>
    </row>
    <row r="175" spans="1:6" ht="20.100000000000001" customHeight="1" x14ac:dyDescent="0.2">
      <c r="A175" s="226">
        <v>7</v>
      </c>
      <c r="B175" s="224" t="s">
        <v>425</v>
      </c>
      <c r="C175" s="218">
        <v>48</v>
      </c>
      <c r="D175" s="218">
        <v>42</v>
      </c>
      <c r="E175" s="218">
        <v>39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3139</v>
      </c>
      <c r="D176" s="218">
        <f>+D169+D170+D171+D174</f>
        <v>3191</v>
      </c>
      <c r="E176" s="218">
        <f>+E169+E170+E171+E174</f>
        <v>3036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0.96850000000000003</v>
      </c>
      <c r="D179" s="231">
        <v>1.0093000000000001</v>
      </c>
      <c r="E179" s="231">
        <v>1.0250999999999999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1.3169999999999999</v>
      </c>
      <c r="D180" s="231">
        <v>1.2617</v>
      </c>
      <c r="E180" s="231">
        <v>1.2758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0.94340000000000002</v>
      </c>
      <c r="D181" s="231">
        <v>0.94079999999999997</v>
      </c>
      <c r="E181" s="231">
        <v>0.93925999999999998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0.94340000000000002</v>
      </c>
      <c r="D182" s="231">
        <v>0.94079999999999997</v>
      </c>
      <c r="E182" s="231">
        <v>0.93925999999999998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0.85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1.0887</v>
      </c>
      <c r="D184" s="231">
        <v>0.91200000000000003</v>
      </c>
      <c r="E184" s="231">
        <v>0.97099999999999997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1.0148999999999999</v>
      </c>
      <c r="D185" s="231">
        <v>1.0101</v>
      </c>
      <c r="E185" s="231">
        <v>0.94589999999999996</v>
      </c>
    </row>
    <row r="186" spans="1:6" ht="20.100000000000001" customHeight="1" x14ac:dyDescent="0.2">
      <c r="A186" s="226">
        <v>8</v>
      </c>
      <c r="B186" s="224" t="s">
        <v>429</v>
      </c>
      <c r="C186" s="231">
        <v>1.1462639999999999</v>
      </c>
      <c r="D186" s="231">
        <v>1.1182110000000001</v>
      </c>
      <c r="E186" s="231">
        <v>1.127003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2309</v>
      </c>
      <c r="D189" s="218">
        <v>2270</v>
      </c>
      <c r="E189" s="218">
        <v>2297</v>
      </c>
    </row>
    <row r="190" spans="1:6" ht="20.100000000000001" customHeight="1" x14ac:dyDescent="0.2">
      <c r="A190" s="226">
        <v>2</v>
      </c>
      <c r="B190" s="224" t="s">
        <v>433</v>
      </c>
      <c r="C190" s="218">
        <v>17817</v>
      </c>
      <c r="D190" s="218">
        <v>16780</v>
      </c>
      <c r="E190" s="218">
        <v>16629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20126</v>
      </c>
      <c r="D191" s="218">
        <f>+D190+D189</f>
        <v>19050</v>
      </c>
      <c r="E191" s="218">
        <f>+E190+E189</f>
        <v>18926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FILING&amp;RJOHNSON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307463</v>
      </c>
      <c r="D14" s="258">
        <v>391815</v>
      </c>
      <c r="E14" s="258">
        <f t="shared" ref="E14:E24" si="0">D14-C14</f>
        <v>84352</v>
      </c>
      <c r="F14" s="259">
        <f t="shared" ref="F14:F24" si="1">IF(C14=0,0,E14/C14)</f>
        <v>0.27434845818846493</v>
      </c>
    </row>
    <row r="15" spans="1:7" ht="20.25" customHeight="1" x14ac:dyDescent="0.3">
      <c r="A15" s="256">
        <v>2</v>
      </c>
      <c r="B15" s="257" t="s">
        <v>442</v>
      </c>
      <c r="C15" s="258">
        <v>126743</v>
      </c>
      <c r="D15" s="258">
        <v>154680</v>
      </c>
      <c r="E15" s="258">
        <f t="shared" si="0"/>
        <v>27937</v>
      </c>
      <c r="F15" s="259">
        <f t="shared" si="1"/>
        <v>0.22042242964108472</v>
      </c>
    </row>
    <row r="16" spans="1:7" ht="20.25" customHeight="1" x14ac:dyDescent="0.3">
      <c r="A16" s="256">
        <v>3</v>
      </c>
      <c r="B16" s="257" t="s">
        <v>443</v>
      </c>
      <c r="C16" s="258">
        <v>487207</v>
      </c>
      <c r="D16" s="258">
        <v>797093</v>
      </c>
      <c r="E16" s="258">
        <f t="shared" si="0"/>
        <v>309886</v>
      </c>
      <c r="F16" s="259">
        <f t="shared" si="1"/>
        <v>0.6360458696200999</v>
      </c>
    </row>
    <row r="17" spans="1:6" ht="20.25" customHeight="1" x14ac:dyDescent="0.3">
      <c r="A17" s="256">
        <v>4</v>
      </c>
      <c r="B17" s="257" t="s">
        <v>444</v>
      </c>
      <c r="C17" s="258">
        <v>128920</v>
      </c>
      <c r="D17" s="258">
        <v>145405</v>
      </c>
      <c r="E17" s="258">
        <f t="shared" si="0"/>
        <v>16485</v>
      </c>
      <c r="F17" s="259">
        <f t="shared" si="1"/>
        <v>0.12786999689730066</v>
      </c>
    </row>
    <row r="18" spans="1:6" ht="20.25" customHeight="1" x14ac:dyDescent="0.3">
      <c r="A18" s="256">
        <v>5</v>
      </c>
      <c r="B18" s="257" t="s">
        <v>381</v>
      </c>
      <c r="C18" s="260">
        <v>16</v>
      </c>
      <c r="D18" s="260">
        <v>17</v>
      </c>
      <c r="E18" s="260">
        <f t="shared" si="0"/>
        <v>1</v>
      </c>
      <c r="F18" s="259">
        <f t="shared" si="1"/>
        <v>6.25E-2</v>
      </c>
    </row>
    <row r="19" spans="1:6" ht="20.25" customHeight="1" x14ac:dyDescent="0.3">
      <c r="A19" s="256">
        <v>6</v>
      </c>
      <c r="B19" s="257" t="s">
        <v>380</v>
      </c>
      <c r="C19" s="260">
        <v>69</v>
      </c>
      <c r="D19" s="260">
        <v>93</v>
      </c>
      <c r="E19" s="260">
        <f t="shared" si="0"/>
        <v>24</v>
      </c>
      <c r="F19" s="259">
        <f t="shared" si="1"/>
        <v>0.34782608695652173</v>
      </c>
    </row>
    <row r="20" spans="1:6" ht="20.25" customHeight="1" x14ac:dyDescent="0.3">
      <c r="A20" s="256">
        <v>7</v>
      </c>
      <c r="B20" s="257" t="s">
        <v>445</v>
      </c>
      <c r="C20" s="260">
        <v>347</v>
      </c>
      <c r="D20" s="260">
        <v>321</v>
      </c>
      <c r="E20" s="260">
        <f t="shared" si="0"/>
        <v>-26</v>
      </c>
      <c r="F20" s="259">
        <f t="shared" si="1"/>
        <v>-7.492795389048991E-2</v>
      </c>
    </row>
    <row r="21" spans="1:6" ht="20.25" customHeight="1" x14ac:dyDescent="0.3">
      <c r="A21" s="256">
        <v>8</v>
      </c>
      <c r="B21" s="257" t="s">
        <v>446</v>
      </c>
      <c r="C21" s="260">
        <v>35</v>
      </c>
      <c r="D21" s="260">
        <v>26</v>
      </c>
      <c r="E21" s="260">
        <f t="shared" si="0"/>
        <v>-9</v>
      </c>
      <c r="F21" s="259">
        <f t="shared" si="1"/>
        <v>-0.25714285714285712</v>
      </c>
    </row>
    <row r="22" spans="1:6" ht="20.25" customHeight="1" x14ac:dyDescent="0.3">
      <c r="A22" s="256">
        <v>9</v>
      </c>
      <c r="B22" s="257" t="s">
        <v>447</v>
      </c>
      <c r="C22" s="260">
        <v>16</v>
      </c>
      <c r="D22" s="260">
        <v>15</v>
      </c>
      <c r="E22" s="260">
        <f t="shared" si="0"/>
        <v>-1</v>
      </c>
      <c r="F22" s="259">
        <f t="shared" si="1"/>
        <v>-6.25E-2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794670</v>
      </c>
      <c r="D23" s="263">
        <f>+D14+D16</f>
        <v>1188908</v>
      </c>
      <c r="E23" s="263">
        <f t="shared" si="0"/>
        <v>394238</v>
      </c>
      <c r="F23" s="264">
        <f t="shared" si="1"/>
        <v>0.49610278480375503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255663</v>
      </c>
      <c r="D24" s="263">
        <f>+D15+D17</f>
        <v>300085</v>
      </c>
      <c r="E24" s="263">
        <f t="shared" si="0"/>
        <v>44422</v>
      </c>
      <c r="F24" s="264">
        <f t="shared" si="1"/>
        <v>0.17375216593719076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2827006</v>
      </c>
      <c r="D40" s="258">
        <v>3692626</v>
      </c>
      <c r="E40" s="258">
        <f t="shared" ref="E40:E50" si="4">D40-C40</f>
        <v>865620</v>
      </c>
      <c r="F40" s="259">
        <f t="shared" ref="F40:F50" si="5">IF(C40=0,0,E40/C40)</f>
        <v>0.30619673251489382</v>
      </c>
    </row>
    <row r="41" spans="1:6" ht="20.25" customHeight="1" x14ac:dyDescent="0.3">
      <c r="A41" s="256">
        <v>2</v>
      </c>
      <c r="B41" s="257" t="s">
        <v>442</v>
      </c>
      <c r="C41" s="258">
        <v>1045119</v>
      </c>
      <c r="D41" s="258">
        <v>1293159</v>
      </c>
      <c r="E41" s="258">
        <f t="shared" si="4"/>
        <v>248040</v>
      </c>
      <c r="F41" s="259">
        <f t="shared" si="5"/>
        <v>0.23733182537108213</v>
      </c>
    </row>
    <row r="42" spans="1:6" ht="20.25" customHeight="1" x14ac:dyDescent="0.3">
      <c r="A42" s="256">
        <v>3</v>
      </c>
      <c r="B42" s="257" t="s">
        <v>443</v>
      </c>
      <c r="C42" s="258">
        <v>4697631</v>
      </c>
      <c r="D42" s="258">
        <v>5665474</v>
      </c>
      <c r="E42" s="258">
        <f t="shared" si="4"/>
        <v>967843</v>
      </c>
      <c r="F42" s="259">
        <f t="shared" si="5"/>
        <v>0.20602788937658151</v>
      </c>
    </row>
    <row r="43" spans="1:6" ht="20.25" customHeight="1" x14ac:dyDescent="0.3">
      <c r="A43" s="256">
        <v>4</v>
      </c>
      <c r="B43" s="257" t="s">
        <v>444</v>
      </c>
      <c r="C43" s="258">
        <v>1226970</v>
      </c>
      <c r="D43" s="258">
        <v>1456791</v>
      </c>
      <c r="E43" s="258">
        <f t="shared" si="4"/>
        <v>229821</v>
      </c>
      <c r="F43" s="259">
        <f t="shared" si="5"/>
        <v>0.18730775813589573</v>
      </c>
    </row>
    <row r="44" spans="1:6" ht="20.25" customHeight="1" x14ac:dyDescent="0.3">
      <c r="A44" s="256">
        <v>5</v>
      </c>
      <c r="B44" s="257" t="s">
        <v>381</v>
      </c>
      <c r="C44" s="260">
        <v>125</v>
      </c>
      <c r="D44" s="260">
        <v>153</v>
      </c>
      <c r="E44" s="260">
        <f t="shared" si="4"/>
        <v>28</v>
      </c>
      <c r="F44" s="259">
        <f t="shared" si="5"/>
        <v>0.224</v>
      </c>
    </row>
    <row r="45" spans="1:6" ht="20.25" customHeight="1" x14ac:dyDescent="0.3">
      <c r="A45" s="256">
        <v>6</v>
      </c>
      <c r="B45" s="257" t="s">
        <v>380</v>
      </c>
      <c r="C45" s="260">
        <v>602</v>
      </c>
      <c r="D45" s="260">
        <v>800</v>
      </c>
      <c r="E45" s="260">
        <f t="shared" si="4"/>
        <v>198</v>
      </c>
      <c r="F45" s="259">
        <f t="shared" si="5"/>
        <v>0.32890365448504982</v>
      </c>
    </row>
    <row r="46" spans="1:6" ht="20.25" customHeight="1" x14ac:dyDescent="0.3">
      <c r="A46" s="256">
        <v>7</v>
      </c>
      <c r="B46" s="257" t="s">
        <v>445</v>
      </c>
      <c r="C46" s="260">
        <v>3323</v>
      </c>
      <c r="D46" s="260">
        <v>3656</v>
      </c>
      <c r="E46" s="260">
        <f t="shared" si="4"/>
        <v>333</v>
      </c>
      <c r="F46" s="259">
        <f t="shared" si="5"/>
        <v>0.10021065302437557</v>
      </c>
    </row>
    <row r="47" spans="1:6" ht="20.25" customHeight="1" x14ac:dyDescent="0.3">
      <c r="A47" s="256">
        <v>8</v>
      </c>
      <c r="B47" s="257" t="s">
        <v>446</v>
      </c>
      <c r="C47" s="260">
        <v>351</v>
      </c>
      <c r="D47" s="260">
        <v>403</v>
      </c>
      <c r="E47" s="260">
        <f t="shared" si="4"/>
        <v>52</v>
      </c>
      <c r="F47" s="259">
        <f t="shared" si="5"/>
        <v>0.14814814814814814</v>
      </c>
    </row>
    <row r="48" spans="1:6" ht="20.25" customHeight="1" x14ac:dyDescent="0.3">
      <c r="A48" s="256">
        <v>9</v>
      </c>
      <c r="B48" s="257" t="s">
        <v>447</v>
      </c>
      <c r="C48" s="260">
        <v>104</v>
      </c>
      <c r="D48" s="260">
        <v>139</v>
      </c>
      <c r="E48" s="260">
        <f t="shared" si="4"/>
        <v>35</v>
      </c>
      <c r="F48" s="259">
        <f t="shared" si="5"/>
        <v>0.33653846153846156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7524637</v>
      </c>
      <c r="D49" s="263">
        <f>+D40+D42</f>
        <v>9358100</v>
      </c>
      <c r="E49" s="263">
        <f t="shared" si="4"/>
        <v>1833463</v>
      </c>
      <c r="F49" s="264">
        <f t="shared" si="5"/>
        <v>0.2436613221342106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2272089</v>
      </c>
      <c r="D50" s="263">
        <f>+D41+D43</f>
        <v>2749950</v>
      </c>
      <c r="E50" s="263">
        <f t="shared" si="4"/>
        <v>477861</v>
      </c>
      <c r="F50" s="264">
        <f t="shared" si="5"/>
        <v>0.21031790568063136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35744</v>
      </c>
      <c r="D66" s="258">
        <v>81156</v>
      </c>
      <c r="E66" s="258">
        <f t="shared" ref="E66:E76" si="8">D66-C66</f>
        <v>45412</v>
      </c>
      <c r="F66" s="259">
        <f t="shared" ref="F66:F76" si="9">IF(C66=0,0,E66/C66)</f>
        <v>1.2704789615040286</v>
      </c>
    </row>
    <row r="67" spans="1:6" ht="20.25" customHeight="1" x14ac:dyDescent="0.3">
      <c r="A67" s="256">
        <v>2</v>
      </c>
      <c r="B67" s="257" t="s">
        <v>442</v>
      </c>
      <c r="C67" s="258">
        <v>8403</v>
      </c>
      <c r="D67" s="258">
        <v>20551</v>
      </c>
      <c r="E67" s="258">
        <f t="shared" si="8"/>
        <v>12148</v>
      </c>
      <c r="F67" s="259">
        <f t="shared" si="9"/>
        <v>1.4456741639890516</v>
      </c>
    </row>
    <row r="68" spans="1:6" ht="20.25" customHeight="1" x14ac:dyDescent="0.3">
      <c r="A68" s="256">
        <v>3</v>
      </c>
      <c r="B68" s="257" t="s">
        <v>443</v>
      </c>
      <c r="C68" s="258">
        <v>72368</v>
      </c>
      <c r="D68" s="258">
        <v>92245</v>
      </c>
      <c r="E68" s="258">
        <f t="shared" si="8"/>
        <v>19877</v>
      </c>
      <c r="F68" s="259">
        <f t="shared" si="9"/>
        <v>0.27466559805438867</v>
      </c>
    </row>
    <row r="69" spans="1:6" ht="20.25" customHeight="1" x14ac:dyDescent="0.3">
      <c r="A69" s="256">
        <v>4</v>
      </c>
      <c r="B69" s="257" t="s">
        <v>444</v>
      </c>
      <c r="C69" s="258">
        <v>20695</v>
      </c>
      <c r="D69" s="258">
        <v>20937</v>
      </c>
      <c r="E69" s="258">
        <f t="shared" si="8"/>
        <v>242</v>
      </c>
      <c r="F69" s="259">
        <f t="shared" si="9"/>
        <v>1.1693645808166224E-2</v>
      </c>
    </row>
    <row r="70" spans="1:6" ht="20.25" customHeight="1" x14ac:dyDescent="0.3">
      <c r="A70" s="256">
        <v>5</v>
      </c>
      <c r="B70" s="257" t="s">
        <v>381</v>
      </c>
      <c r="C70" s="260">
        <v>3</v>
      </c>
      <c r="D70" s="260">
        <v>5</v>
      </c>
      <c r="E70" s="260">
        <f t="shared" si="8"/>
        <v>2</v>
      </c>
      <c r="F70" s="259">
        <f t="shared" si="9"/>
        <v>0.66666666666666663</v>
      </c>
    </row>
    <row r="71" spans="1:6" ht="20.25" customHeight="1" x14ac:dyDescent="0.3">
      <c r="A71" s="256">
        <v>6</v>
      </c>
      <c r="B71" s="257" t="s">
        <v>380</v>
      </c>
      <c r="C71" s="260">
        <v>10</v>
      </c>
      <c r="D71" s="260">
        <v>17</v>
      </c>
      <c r="E71" s="260">
        <f t="shared" si="8"/>
        <v>7</v>
      </c>
      <c r="F71" s="259">
        <f t="shared" si="9"/>
        <v>0.7</v>
      </c>
    </row>
    <row r="72" spans="1:6" ht="20.25" customHeight="1" x14ac:dyDescent="0.3">
      <c r="A72" s="256">
        <v>7</v>
      </c>
      <c r="B72" s="257" t="s">
        <v>445</v>
      </c>
      <c r="C72" s="260">
        <v>5</v>
      </c>
      <c r="D72" s="260">
        <v>11</v>
      </c>
      <c r="E72" s="260">
        <f t="shared" si="8"/>
        <v>6</v>
      </c>
      <c r="F72" s="259">
        <f t="shared" si="9"/>
        <v>1.2</v>
      </c>
    </row>
    <row r="73" spans="1:6" ht="20.25" customHeight="1" x14ac:dyDescent="0.3">
      <c r="A73" s="256">
        <v>8</v>
      </c>
      <c r="B73" s="257" t="s">
        <v>446</v>
      </c>
      <c r="C73" s="260">
        <v>38</v>
      </c>
      <c r="D73" s="260">
        <v>54</v>
      </c>
      <c r="E73" s="260">
        <f t="shared" si="8"/>
        <v>16</v>
      </c>
      <c r="F73" s="259">
        <f t="shared" si="9"/>
        <v>0.42105263157894735</v>
      </c>
    </row>
    <row r="74" spans="1:6" ht="20.25" customHeight="1" x14ac:dyDescent="0.3">
      <c r="A74" s="256">
        <v>9</v>
      </c>
      <c r="B74" s="257" t="s">
        <v>447</v>
      </c>
      <c r="C74" s="260">
        <v>3</v>
      </c>
      <c r="D74" s="260">
        <v>5</v>
      </c>
      <c r="E74" s="260">
        <f t="shared" si="8"/>
        <v>2</v>
      </c>
      <c r="F74" s="259">
        <f t="shared" si="9"/>
        <v>0.66666666666666663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108112</v>
      </c>
      <c r="D75" s="263">
        <f>+D66+D68</f>
        <v>173401</v>
      </c>
      <c r="E75" s="263">
        <f t="shared" si="8"/>
        <v>65289</v>
      </c>
      <c r="F75" s="264">
        <f t="shared" si="9"/>
        <v>0.60390150954565636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29098</v>
      </c>
      <c r="D76" s="263">
        <f>+D67+D69</f>
        <v>41488</v>
      </c>
      <c r="E76" s="263">
        <f t="shared" si="8"/>
        <v>12390</v>
      </c>
      <c r="F76" s="264">
        <f t="shared" si="9"/>
        <v>0.42580246065021649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3921388</v>
      </c>
      <c r="D92" s="258">
        <v>3875096</v>
      </c>
      <c r="E92" s="258">
        <f t="shared" ref="E92:E102" si="12">D92-C92</f>
        <v>-46292</v>
      </c>
      <c r="F92" s="259">
        <f t="shared" ref="F92:F102" si="13">IF(C92=0,0,E92/C92)</f>
        <v>-1.1805003738472195E-2</v>
      </c>
    </row>
    <row r="93" spans="1:6" ht="20.25" customHeight="1" x14ac:dyDescent="0.3">
      <c r="A93" s="256">
        <v>2</v>
      </c>
      <c r="B93" s="257" t="s">
        <v>442</v>
      </c>
      <c r="C93" s="258">
        <v>1332326</v>
      </c>
      <c r="D93" s="258">
        <v>1216815</v>
      </c>
      <c r="E93" s="258">
        <f t="shared" si="12"/>
        <v>-115511</v>
      </c>
      <c r="F93" s="259">
        <f t="shared" si="13"/>
        <v>-8.6698750906309713E-2</v>
      </c>
    </row>
    <row r="94" spans="1:6" ht="20.25" customHeight="1" x14ac:dyDescent="0.3">
      <c r="A94" s="256">
        <v>3</v>
      </c>
      <c r="B94" s="257" t="s">
        <v>443</v>
      </c>
      <c r="C94" s="258">
        <v>3617576</v>
      </c>
      <c r="D94" s="258">
        <v>4000756</v>
      </c>
      <c r="E94" s="258">
        <f t="shared" si="12"/>
        <v>383180</v>
      </c>
      <c r="F94" s="259">
        <f t="shared" si="13"/>
        <v>0.10592175534114556</v>
      </c>
    </row>
    <row r="95" spans="1:6" ht="20.25" customHeight="1" x14ac:dyDescent="0.3">
      <c r="A95" s="256">
        <v>4</v>
      </c>
      <c r="B95" s="257" t="s">
        <v>444</v>
      </c>
      <c r="C95" s="258">
        <v>903768</v>
      </c>
      <c r="D95" s="258">
        <v>880011</v>
      </c>
      <c r="E95" s="258">
        <f t="shared" si="12"/>
        <v>-23757</v>
      </c>
      <c r="F95" s="259">
        <f t="shared" si="13"/>
        <v>-2.6286613378654698E-2</v>
      </c>
    </row>
    <row r="96" spans="1:6" ht="20.25" customHeight="1" x14ac:dyDescent="0.3">
      <c r="A96" s="256">
        <v>5</v>
      </c>
      <c r="B96" s="257" t="s">
        <v>381</v>
      </c>
      <c r="C96" s="260">
        <v>168</v>
      </c>
      <c r="D96" s="260">
        <v>144</v>
      </c>
      <c r="E96" s="260">
        <f t="shared" si="12"/>
        <v>-24</v>
      </c>
      <c r="F96" s="259">
        <f t="shared" si="13"/>
        <v>-0.14285714285714285</v>
      </c>
    </row>
    <row r="97" spans="1:6" ht="20.25" customHeight="1" x14ac:dyDescent="0.3">
      <c r="A97" s="256">
        <v>6</v>
      </c>
      <c r="B97" s="257" t="s">
        <v>380</v>
      </c>
      <c r="C97" s="260">
        <v>842</v>
      </c>
      <c r="D97" s="260">
        <v>832</v>
      </c>
      <c r="E97" s="260">
        <f t="shared" si="12"/>
        <v>-10</v>
      </c>
      <c r="F97" s="259">
        <f t="shared" si="13"/>
        <v>-1.1876484560570071E-2</v>
      </c>
    </row>
    <row r="98" spans="1:6" ht="20.25" customHeight="1" x14ac:dyDescent="0.3">
      <c r="A98" s="256">
        <v>7</v>
      </c>
      <c r="B98" s="257" t="s">
        <v>445</v>
      </c>
      <c r="C98" s="260">
        <v>3205</v>
      </c>
      <c r="D98" s="260">
        <v>3289</v>
      </c>
      <c r="E98" s="260">
        <f t="shared" si="12"/>
        <v>84</v>
      </c>
      <c r="F98" s="259">
        <f t="shared" si="13"/>
        <v>2.6209048361934478E-2</v>
      </c>
    </row>
    <row r="99" spans="1:6" ht="20.25" customHeight="1" x14ac:dyDescent="0.3">
      <c r="A99" s="256">
        <v>8</v>
      </c>
      <c r="B99" s="257" t="s">
        <v>446</v>
      </c>
      <c r="C99" s="260">
        <v>299</v>
      </c>
      <c r="D99" s="260">
        <v>303</v>
      </c>
      <c r="E99" s="260">
        <f t="shared" si="12"/>
        <v>4</v>
      </c>
      <c r="F99" s="259">
        <f t="shared" si="13"/>
        <v>1.3377926421404682E-2</v>
      </c>
    </row>
    <row r="100" spans="1:6" ht="20.25" customHeight="1" x14ac:dyDescent="0.3">
      <c r="A100" s="256">
        <v>9</v>
      </c>
      <c r="B100" s="257" t="s">
        <v>447</v>
      </c>
      <c r="C100" s="260">
        <v>152</v>
      </c>
      <c r="D100" s="260">
        <v>132</v>
      </c>
      <c r="E100" s="260">
        <f t="shared" si="12"/>
        <v>-20</v>
      </c>
      <c r="F100" s="259">
        <f t="shared" si="13"/>
        <v>-0.13157894736842105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7538964</v>
      </c>
      <c r="D101" s="263">
        <f>+D92+D94</f>
        <v>7875852</v>
      </c>
      <c r="E101" s="263">
        <f t="shared" si="12"/>
        <v>336888</v>
      </c>
      <c r="F101" s="264">
        <f t="shared" si="13"/>
        <v>4.468624601470441E-2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2236094</v>
      </c>
      <c r="D102" s="263">
        <f>+D93+D95</f>
        <v>2096826</v>
      </c>
      <c r="E102" s="263">
        <f t="shared" si="12"/>
        <v>-139268</v>
      </c>
      <c r="F102" s="264">
        <f t="shared" si="13"/>
        <v>-6.228181820621137E-2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644798</v>
      </c>
      <c r="D105" s="258">
        <v>270502</v>
      </c>
      <c r="E105" s="258">
        <f t="shared" ref="E105:E115" si="14">D105-C105</f>
        <v>-374296</v>
      </c>
      <c r="F105" s="259">
        <f t="shared" ref="F105:F115" si="15">IF(C105=0,0,E105/C105)</f>
        <v>-0.58048567148161134</v>
      </c>
    </row>
    <row r="106" spans="1:6" ht="20.25" customHeight="1" x14ac:dyDescent="0.3">
      <c r="A106" s="256">
        <v>2</v>
      </c>
      <c r="B106" s="257" t="s">
        <v>442</v>
      </c>
      <c r="C106" s="258">
        <v>179963</v>
      </c>
      <c r="D106" s="258">
        <v>113447</v>
      </c>
      <c r="E106" s="258">
        <f t="shared" si="14"/>
        <v>-66516</v>
      </c>
      <c r="F106" s="259">
        <f t="shared" si="15"/>
        <v>-0.369609308580097</v>
      </c>
    </row>
    <row r="107" spans="1:6" ht="20.25" customHeight="1" x14ac:dyDescent="0.3">
      <c r="A107" s="256">
        <v>3</v>
      </c>
      <c r="B107" s="257" t="s">
        <v>443</v>
      </c>
      <c r="C107" s="258">
        <v>720807</v>
      </c>
      <c r="D107" s="258">
        <v>645760</v>
      </c>
      <c r="E107" s="258">
        <f t="shared" si="14"/>
        <v>-75047</v>
      </c>
      <c r="F107" s="259">
        <f t="shared" si="15"/>
        <v>-0.10411524860330158</v>
      </c>
    </row>
    <row r="108" spans="1:6" ht="20.25" customHeight="1" x14ac:dyDescent="0.3">
      <c r="A108" s="256">
        <v>4</v>
      </c>
      <c r="B108" s="257" t="s">
        <v>444</v>
      </c>
      <c r="C108" s="258">
        <v>140694</v>
      </c>
      <c r="D108" s="258">
        <v>121953</v>
      </c>
      <c r="E108" s="258">
        <f t="shared" si="14"/>
        <v>-18741</v>
      </c>
      <c r="F108" s="259">
        <f t="shared" si="15"/>
        <v>-0.13320397458313787</v>
      </c>
    </row>
    <row r="109" spans="1:6" ht="20.25" customHeight="1" x14ac:dyDescent="0.3">
      <c r="A109" s="256">
        <v>5</v>
      </c>
      <c r="B109" s="257" t="s">
        <v>381</v>
      </c>
      <c r="C109" s="260">
        <v>21</v>
      </c>
      <c r="D109" s="260">
        <v>17</v>
      </c>
      <c r="E109" s="260">
        <f t="shared" si="14"/>
        <v>-4</v>
      </c>
      <c r="F109" s="259">
        <f t="shared" si="15"/>
        <v>-0.19047619047619047</v>
      </c>
    </row>
    <row r="110" spans="1:6" ht="20.25" customHeight="1" x14ac:dyDescent="0.3">
      <c r="A110" s="256">
        <v>6</v>
      </c>
      <c r="B110" s="257" t="s">
        <v>380</v>
      </c>
      <c r="C110" s="260">
        <v>142</v>
      </c>
      <c r="D110" s="260">
        <v>78</v>
      </c>
      <c r="E110" s="260">
        <f t="shared" si="14"/>
        <v>-64</v>
      </c>
      <c r="F110" s="259">
        <f t="shared" si="15"/>
        <v>-0.45070422535211269</v>
      </c>
    </row>
    <row r="111" spans="1:6" ht="20.25" customHeight="1" x14ac:dyDescent="0.3">
      <c r="A111" s="256">
        <v>7</v>
      </c>
      <c r="B111" s="257" t="s">
        <v>445</v>
      </c>
      <c r="C111" s="260">
        <v>287</v>
      </c>
      <c r="D111" s="260">
        <v>404</v>
      </c>
      <c r="E111" s="260">
        <f t="shared" si="14"/>
        <v>117</v>
      </c>
      <c r="F111" s="259">
        <f t="shared" si="15"/>
        <v>0.40766550522648082</v>
      </c>
    </row>
    <row r="112" spans="1:6" ht="20.25" customHeight="1" x14ac:dyDescent="0.3">
      <c r="A112" s="256">
        <v>8</v>
      </c>
      <c r="B112" s="257" t="s">
        <v>446</v>
      </c>
      <c r="C112" s="260">
        <v>70</v>
      </c>
      <c r="D112" s="260">
        <v>84</v>
      </c>
      <c r="E112" s="260">
        <f t="shared" si="14"/>
        <v>14</v>
      </c>
      <c r="F112" s="259">
        <f t="shared" si="15"/>
        <v>0.2</v>
      </c>
    </row>
    <row r="113" spans="1:6" ht="20.25" customHeight="1" x14ac:dyDescent="0.3">
      <c r="A113" s="256">
        <v>9</v>
      </c>
      <c r="B113" s="257" t="s">
        <v>447</v>
      </c>
      <c r="C113" s="260">
        <v>18</v>
      </c>
      <c r="D113" s="260">
        <v>15</v>
      </c>
      <c r="E113" s="260">
        <f t="shared" si="14"/>
        <v>-3</v>
      </c>
      <c r="F113" s="259">
        <f t="shared" si="15"/>
        <v>-0.16666666666666666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1365605</v>
      </c>
      <c r="D114" s="263">
        <f>+D105+D107</f>
        <v>916262</v>
      </c>
      <c r="E114" s="263">
        <f t="shared" si="14"/>
        <v>-449343</v>
      </c>
      <c r="F114" s="264">
        <f t="shared" si="15"/>
        <v>-0.3290431713416398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320657</v>
      </c>
      <c r="D115" s="263">
        <f>+D106+D108</f>
        <v>235400</v>
      </c>
      <c r="E115" s="263">
        <f t="shared" si="14"/>
        <v>-85257</v>
      </c>
      <c r="F115" s="264">
        <f t="shared" si="15"/>
        <v>-0.26588223553516688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954864</v>
      </c>
      <c r="D118" s="258">
        <v>546315</v>
      </c>
      <c r="E118" s="258">
        <f t="shared" ref="E118:E128" si="16">D118-C118</f>
        <v>-408549</v>
      </c>
      <c r="F118" s="259">
        <f t="shared" ref="F118:F128" si="17">IF(C118=0,0,E118/C118)</f>
        <v>-0.42786093098074701</v>
      </c>
    </row>
    <row r="119" spans="1:6" ht="20.25" customHeight="1" x14ac:dyDescent="0.3">
      <c r="A119" s="256">
        <v>2</v>
      </c>
      <c r="B119" s="257" t="s">
        <v>442</v>
      </c>
      <c r="C119" s="258">
        <v>368043</v>
      </c>
      <c r="D119" s="258">
        <v>173691</v>
      </c>
      <c r="E119" s="258">
        <f t="shared" si="16"/>
        <v>-194352</v>
      </c>
      <c r="F119" s="259">
        <f t="shared" si="17"/>
        <v>-0.52806873109935526</v>
      </c>
    </row>
    <row r="120" spans="1:6" ht="20.25" customHeight="1" x14ac:dyDescent="0.3">
      <c r="A120" s="256">
        <v>3</v>
      </c>
      <c r="B120" s="257" t="s">
        <v>443</v>
      </c>
      <c r="C120" s="258">
        <v>1544779</v>
      </c>
      <c r="D120" s="258">
        <v>2476603</v>
      </c>
      <c r="E120" s="258">
        <f t="shared" si="16"/>
        <v>931824</v>
      </c>
      <c r="F120" s="259">
        <f t="shared" si="17"/>
        <v>0.60320861430664197</v>
      </c>
    </row>
    <row r="121" spans="1:6" ht="20.25" customHeight="1" x14ac:dyDescent="0.3">
      <c r="A121" s="256">
        <v>4</v>
      </c>
      <c r="B121" s="257" t="s">
        <v>444</v>
      </c>
      <c r="C121" s="258">
        <v>426751</v>
      </c>
      <c r="D121" s="258">
        <v>568512</v>
      </c>
      <c r="E121" s="258">
        <f t="shared" si="16"/>
        <v>141761</v>
      </c>
      <c r="F121" s="259">
        <f t="shared" si="17"/>
        <v>0.33218668497554782</v>
      </c>
    </row>
    <row r="122" spans="1:6" ht="20.25" customHeight="1" x14ac:dyDescent="0.3">
      <c r="A122" s="256">
        <v>5</v>
      </c>
      <c r="B122" s="257" t="s">
        <v>381</v>
      </c>
      <c r="C122" s="260">
        <v>36</v>
      </c>
      <c r="D122" s="260">
        <v>27</v>
      </c>
      <c r="E122" s="260">
        <f t="shared" si="16"/>
        <v>-9</v>
      </c>
      <c r="F122" s="259">
        <f t="shared" si="17"/>
        <v>-0.25</v>
      </c>
    </row>
    <row r="123" spans="1:6" ht="20.25" customHeight="1" x14ac:dyDescent="0.3">
      <c r="A123" s="256">
        <v>6</v>
      </c>
      <c r="B123" s="257" t="s">
        <v>380</v>
      </c>
      <c r="C123" s="260">
        <v>246</v>
      </c>
      <c r="D123" s="260">
        <v>108</v>
      </c>
      <c r="E123" s="260">
        <f t="shared" si="16"/>
        <v>-138</v>
      </c>
      <c r="F123" s="259">
        <f t="shared" si="17"/>
        <v>-0.56097560975609762</v>
      </c>
    </row>
    <row r="124" spans="1:6" ht="20.25" customHeight="1" x14ac:dyDescent="0.3">
      <c r="A124" s="256">
        <v>7</v>
      </c>
      <c r="B124" s="257" t="s">
        <v>445</v>
      </c>
      <c r="C124" s="260">
        <v>909</v>
      </c>
      <c r="D124" s="260">
        <v>1213</v>
      </c>
      <c r="E124" s="260">
        <f t="shared" si="16"/>
        <v>304</v>
      </c>
      <c r="F124" s="259">
        <f t="shared" si="17"/>
        <v>0.33443344334433445</v>
      </c>
    </row>
    <row r="125" spans="1:6" ht="20.25" customHeight="1" x14ac:dyDescent="0.3">
      <c r="A125" s="256">
        <v>8</v>
      </c>
      <c r="B125" s="257" t="s">
        <v>446</v>
      </c>
      <c r="C125" s="260">
        <v>83</v>
      </c>
      <c r="D125" s="260">
        <v>99</v>
      </c>
      <c r="E125" s="260">
        <f t="shared" si="16"/>
        <v>16</v>
      </c>
      <c r="F125" s="259">
        <f t="shared" si="17"/>
        <v>0.19277108433734941</v>
      </c>
    </row>
    <row r="126" spans="1:6" ht="20.25" customHeight="1" x14ac:dyDescent="0.3">
      <c r="A126" s="256">
        <v>9</v>
      </c>
      <c r="B126" s="257" t="s">
        <v>447</v>
      </c>
      <c r="C126" s="260">
        <v>27</v>
      </c>
      <c r="D126" s="260">
        <v>25</v>
      </c>
      <c r="E126" s="260">
        <f t="shared" si="16"/>
        <v>-2</v>
      </c>
      <c r="F126" s="259">
        <f t="shared" si="17"/>
        <v>-7.407407407407407E-2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2499643</v>
      </c>
      <c r="D127" s="263">
        <f>+D118+D120</f>
        <v>3022918</v>
      </c>
      <c r="E127" s="263">
        <f t="shared" si="16"/>
        <v>523275</v>
      </c>
      <c r="F127" s="264">
        <f t="shared" si="17"/>
        <v>0.20933989373682563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794794</v>
      </c>
      <c r="D128" s="263">
        <f>+D119+D121</f>
        <v>742203</v>
      </c>
      <c r="E128" s="263">
        <f t="shared" si="16"/>
        <v>-52591</v>
      </c>
      <c r="F128" s="264">
        <f t="shared" si="17"/>
        <v>-6.6169347025770195E-2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44040</v>
      </c>
      <c r="E131" s="258">
        <f t="shared" ref="E131:E141" si="18">D131-C131</f>
        <v>44040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18526</v>
      </c>
      <c r="E132" s="258">
        <f t="shared" si="18"/>
        <v>18526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25658</v>
      </c>
      <c r="D133" s="258">
        <v>30926</v>
      </c>
      <c r="E133" s="258">
        <f t="shared" si="18"/>
        <v>5268</v>
      </c>
      <c r="F133" s="259">
        <f t="shared" si="19"/>
        <v>0.2053160807545405</v>
      </c>
    </row>
    <row r="134" spans="1:6" ht="20.25" customHeight="1" x14ac:dyDescent="0.3">
      <c r="A134" s="256">
        <v>4</v>
      </c>
      <c r="B134" s="257" t="s">
        <v>444</v>
      </c>
      <c r="C134" s="258">
        <v>9252</v>
      </c>
      <c r="D134" s="258">
        <v>9638</v>
      </c>
      <c r="E134" s="258">
        <f t="shared" si="18"/>
        <v>386</v>
      </c>
      <c r="F134" s="259">
        <f t="shared" si="19"/>
        <v>4.1720709035884131E-2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3</v>
      </c>
      <c r="E135" s="260">
        <f t="shared" si="18"/>
        <v>3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13</v>
      </c>
      <c r="E136" s="260">
        <f t="shared" si="18"/>
        <v>13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19</v>
      </c>
      <c r="D137" s="260">
        <v>16</v>
      </c>
      <c r="E137" s="260">
        <f t="shared" si="18"/>
        <v>-3</v>
      </c>
      <c r="F137" s="259">
        <f t="shared" si="19"/>
        <v>-0.15789473684210525</v>
      </c>
    </row>
    <row r="138" spans="1:6" ht="20.25" customHeight="1" x14ac:dyDescent="0.3">
      <c r="A138" s="256">
        <v>8</v>
      </c>
      <c r="B138" s="257" t="s">
        <v>446</v>
      </c>
      <c r="C138" s="260">
        <v>9</v>
      </c>
      <c r="D138" s="260">
        <v>11</v>
      </c>
      <c r="E138" s="260">
        <f t="shared" si="18"/>
        <v>2</v>
      </c>
      <c r="F138" s="259">
        <f t="shared" si="19"/>
        <v>0.22222222222222221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3</v>
      </c>
      <c r="E139" s="260">
        <f t="shared" si="18"/>
        <v>3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25658</v>
      </c>
      <c r="D140" s="263">
        <f>+D131+D133</f>
        <v>74966</v>
      </c>
      <c r="E140" s="263">
        <f t="shared" si="18"/>
        <v>49308</v>
      </c>
      <c r="F140" s="264">
        <f t="shared" si="19"/>
        <v>1.9217398082469406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9252</v>
      </c>
      <c r="D141" s="263">
        <f>+D132+D134</f>
        <v>28164</v>
      </c>
      <c r="E141" s="263">
        <f t="shared" si="18"/>
        <v>18912</v>
      </c>
      <c r="F141" s="264">
        <f t="shared" si="19"/>
        <v>2.0440985732814525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117575</v>
      </c>
      <c r="D144" s="258">
        <v>9554</v>
      </c>
      <c r="E144" s="258">
        <f t="shared" ref="E144:E154" si="20">D144-C144</f>
        <v>-108021</v>
      </c>
      <c r="F144" s="259">
        <f t="shared" ref="F144:F154" si="21">IF(C144=0,0,E144/C144)</f>
        <v>-0.91874122900276423</v>
      </c>
    </row>
    <row r="145" spans="1:6" ht="20.25" customHeight="1" x14ac:dyDescent="0.3">
      <c r="A145" s="256">
        <v>2</v>
      </c>
      <c r="B145" s="257" t="s">
        <v>442</v>
      </c>
      <c r="C145" s="258">
        <v>41095</v>
      </c>
      <c r="D145" s="258">
        <v>4054</v>
      </c>
      <c r="E145" s="258">
        <f t="shared" si="20"/>
        <v>-37041</v>
      </c>
      <c r="F145" s="259">
        <f t="shared" si="21"/>
        <v>-0.9013505292614673</v>
      </c>
    </row>
    <row r="146" spans="1:6" ht="20.25" customHeight="1" x14ac:dyDescent="0.3">
      <c r="A146" s="256">
        <v>3</v>
      </c>
      <c r="B146" s="257" t="s">
        <v>443</v>
      </c>
      <c r="C146" s="258">
        <v>726252</v>
      </c>
      <c r="D146" s="258">
        <v>99669</v>
      </c>
      <c r="E146" s="258">
        <f t="shared" si="20"/>
        <v>-626583</v>
      </c>
      <c r="F146" s="259">
        <f t="shared" si="21"/>
        <v>-0.86276251218585287</v>
      </c>
    </row>
    <row r="147" spans="1:6" ht="20.25" customHeight="1" x14ac:dyDescent="0.3">
      <c r="A147" s="256">
        <v>4</v>
      </c>
      <c r="B147" s="257" t="s">
        <v>444</v>
      </c>
      <c r="C147" s="258">
        <v>179487</v>
      </c>
      <c r="D147" s="258">
        <v>26058</v>
      </c>
      <c r="E147" s="258">
        <f t="shared" si="20"/>
        <v>-153429</v>
      </c>
      <c r="F147" s="259">
        <f t="shared" si="21"/>
        <v>-0.85481956910528334</v>
      </c>
    </row>
    <row r="148" spans="1:6" ht="20.25" customHeight="1" x14ac:dyDescent="0.3">
      <c r="A148" s="256">
        <v>5</v>
      </c>
      <c r="B148" s="257" t="s">
        <v>381</v>
      </c>
      <c r="C148" s="260">
        <v>4</v>
      </c>
      <c r="D148" s="260">
        <v>1</v>
      </c>
      <c r="E148" s="260">
        <f t="shared" si="20"/>
        <v>-3</v>
      </c>
      <c r="F148" s="259">
        <f t="shared" si="21"/>
        <v>-0.75</v>
      </c>
    </row>
    <row r="149" spans="1:6" ht="20.25" customHeight="1" x14ac:dyDescent="0.3">
      <c r="A149" s="256">
        <v>6</v>
      </c>
      <c r="B149" s="257" t="s">
        <v>380</v>
      </c>
      <c r="C149" s="260">
        <v>23</v>
      </c>
      <c r="D149" s="260">
        <v>2</v>
      </c>
      <c r="E149" s="260">
        <f t="shared" si="20"/>
        <v>-21</v>
      </c>
      <c r="F149" s="259">
        <f t="shared" si="21"/>
        <v>-0.91304347826086951</v>
      </c>
    </row>
    <row r="150" spans="1:6" ht="20.25" customHeight="1" x14ac:dyDescent="0.3">
      <c r="A150" s="256">
        <v>7</v>
      </c>
      <c r="B150" s="257" t="s">
        <v>445</v>
      </c>
      <c r="C150" s="260">
        <v>283</v>
      </c>
      <c r="D150" s="260">
        <v>131</v>
      </c>
      <c r="E150" s="260">
        <f t="shared" si="20"/>
        <v>-152</v>
      </c>
      <c r="F150" s="259">
        <f t="shared" si="21"/>
        <v>-0.53710247349823326</v>
      </c>
    </row>
    <row r="151" spans="1:6" ht="20.25" customHeight="1" x14ac:dyDescent="0.3">
      <c r="A151" s="256">
        <v>8</v>
      </c>
      <c r="B151" s="257" t="s">
        <v>446</v>
      </c>
      <c r="C151" s="260">
        <v>33</v>
      </c>
      <c r="D151" s="260">
        <v>9</v>
      </c>
      <c r="E151" s="260">
        <f t="shared" si="20"/>
        <v>-24</v>
      </c>
      <c r="F151" s="259">
        <f t="shared" si="21"/>
        <v>-0.72727272727272729</v>
      </c>
    </row>
    <row r="152" spans="1:6" ht="20.25" customHeight="1" x14ac:dyDescent="0.3">
      <c r="A152" s="256">
        <v>9</v>
      </c>
      <c r="B152" s="257" t="s">
        <v>447</v>
      </c>
      <c r="C152" s="260">
        <v>2</v>
      </c>
      <c r="D152" s="260">
        <v>1</v>
      </c>
      <c r="E152" s="260">
        <f t="shared" si="20"/>
        <v>-1</v>
      </c>
      <c r="F152" s="259">
        <f t="shared" si="21"/>
        <v>-0.5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843827</v>
      </c>
      <c r="D153" s="263">
        <f>+D144+D146</f>
        <v>109223</v>
      </c>
      <c r="E153" s="263">
        <f t="shared" si="20"/>
        <v>-734604</v>
      </c>
      <c r="F153" s="264">
        <f t="shared" si="21"/>
        <v>-0.87056233090432045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220582</v>
      </c>
      <c r="D154" s="263">
        <f>+D145+D147</f>
        <v>30112</v>
      </c>
      <c r="E154" s="263">
        <f t="shared" si="20"/>
        <v>-190470</v>
      </c>
      <c r="F154" s="264">
        <f t="shared" si="21"/>
        <v>-0.86348840793899773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38969</v>
      </c>
      <c r="D183" s="258">
        <v>105897</v>
      </c>
      <c r="E183" s="258">
        <f t="shared" ref="E183:E193" si="26">D183-C183</f>
        <v>66928</v>
      </c>
      <c r="F183" s="259">
        <f t="shared" ref="F183:F193" si="27">IF(C183=0,0,E183/C183)</f>
        <v>1.7174677307603479</v>
      </c>
    </row>
    <row r="184" spans="1:6" ht="20.25" customHeight="1" x14ac:dyDescent="0.3">
      <c r="A184" s="256">
        <v>2</v>
      </c>
      <c r="B184" s="257" t="s">
        <v>442</v>
      </c>
      <c r="C184" s="258">
        <v>17631</v>
      </c>
      <c r="D184" s="258">
        <v>44875</v>
      </c>
      <c r="E184" s="258">
        <f t="shared" si="26"/>
        <v>27244</v>
      </c>
      <c r="F184" s="259">
        <f t="shared" si="27"/>
        <v>1.5452328285406387</v>
      </c>
    </row>
    <row r="185" spans="1:6" ht="20.25" customHeight="1" x14ac:dyDescent="0.3">
      <c r="A185" s="256">
        <v>3</v>
      </c>
      <c r="B185" s="257" t="s">
        <v>443</v>
      </c>
      <c r="C185" s="258">
        <v>105659</v>
      </c>
      <c r="D185" s="258">
        <v>182859</v>
      </c>
      <c r="E185" s="258">
        <f t="shared" si="26"/>
        <v>77200</v>
      </c>
      <c r="F185" s="259">
        <f t="shared" si="27"/>
        <v>0.73065238171854741</v>
      </c>
    </row>
    <row r="186" spans="1:6" ht="20.25" customHeight="1" x14ac:dyDescent="0.3">
      <c r="A186" s="256">
        <v>4</v>
      </c>
      <c r="B186" s="257" t="s">
        <v>444</v>
      </c>
      <c r="C186" s="258">
        <v>27365</v>
      </c>
      <c r="D186" s="258">
        <v>42757</v>
      </c>
      <c r="E186" s="258">
        <f t="shared" si="26"/>
        <v>15392</v>
      </c>
      <c r="F186" s="259">
        <f t="shared" si="27"/>
        <v>0.56247030878859861</v>
      </c>
    </row>
    <row r="187" spans="1:6" ht="20.25" customHeight="1" x14ac:dyDescent="0.3">
      <c r="A187" s="256">
        <v>5</v>
      </c>
      <c r="B187" s="257" t="s">
        <v>381</v>
      </c>
      <c r="C187" s="260">
        <v>3</v>
      </c>
      <c r="D187" s="260">
        <v>6</v>
      </c>
      <c r="E187" s="260">
        <f t="shared" si="26"/>
        <v>3</v>
      </c>
      <c r="F187" s="259">
        <f t="shared" si="27"/>
        <v>1</v>
      </c>
    </row>
    <row r="188" spans="1:6" ht="20.25" customHeight="1" x14ac:dyDescent="0.3">
      <c r="A188" s="256">
        <v>6</v>
      </c>
      <c r="B188" s="257" t="s">
        <v>380</v>
      </c>
      <c r="C188" s="260">
        <v>10</v>
      </c>
      <c r="D188" s="260">
        <v>26</v>
      </c>
      <c r="E188" s="260">
        <f t="shared" si="26"/>
        <v>16</v>
      </c>
      <c r="F188" s="259">
        <f t="shared" si="27"/>
        <v>1.6</v>
      </c>
    </row>
    <row r="189" spans="1:6" ht="20.25" customHeight="1" x14ac:dyDescent="0.3">
      <c r="A189" s="256">
        <v>7</v>
      </c>
      <c r="B189" s="257" t="s">
        <v>445</v>
      </c>
      <c r="C189" s="260">
        <v>812</v>
      </c>
      <c r="D189" s="260">
        <v>916</v>
      </c>
      <c r="E189" s="260">
        <f t="shared" si="26"/>
        <v>104</v>
      </c>
      <c r="F189" s="259">
        <f t="shared" si="27"/>
        <v>0.12807881773399016</v>
      </c>
    </row>
    <row r="190" spans="1:6" ht="20.25" customHeight="1" x14ac:dyDescent="0.3">
      <c r="A190" s="256">
        <v>8</v>
      </c>
      <c r="B190" s="257" t="s">
        <v>446</v>
      </c>
      <c r="C190" s="260">
        <v>15</v>
      </c>
      <c r="D190" s="260">
        <v>22</v>
      </c>
      <c r="E190" s="260">
        <f t="shared" si="26"/>
        <v>7</v>
      </c>
      <c r="F190" s="259">
        <f t="shared" si="27"/>
        <v>0.46666666666666667</v>
      </c>
    </row>
    <row r="191" spans="1:6" ht="20.25" customHeight="1" x14ac:dyDescent="0.3">
      <c r="A191" s="256">
        <v>9</v>
      </c>
      <c r="B191" s="257" t="s">
        <v>447</v>
      </c>
      <c r="C191" s="260">
        <v>3</v>
      </c>
      <c r="D191" s="260">
        <v>5</v>
      </c>
      <c r="E191" s="260">
        <f t="shared" si="26"/>
        <v>2</v>
      </c>
      <c r="F191" s="259">
        <f t="shared" si="27"/>
        <v>0.66666666666666663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144628</v>
      </c>
      <c r="D192" s="263">
        <f>+D183+D185</f>
        <v>288756</v>
      </c>
      <c r="E192" s="263">
        <f t="shared" si="26"/>
        <v>144128</v>
      </c>
      <c r="F192" s="264">
        <f t="shared" si="27"/>
        <v>0.99654285477224325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44996</v>
      </c>
      <c r="D193" s="263">
        <f>+D184+D186</f>
        <v>87632</v>
      </c>
      <c r="E193" s="263">
        <f t="shared" si="26"/>
        <v>42636</v>
      </c>
      <c r="F193" s="264">
        <f t="shared" si="27"/>
        <v>0.94755089341274779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8847807</v>
      </c>
      <c r="D198" s="263">
        <f t="shared" si="28"/>
        <v>9017001</v>
      </c>
      <c r="E198" s="263">
        <f t="shared" ref="E198:E208" si="29">D198-C198</f>
        <v>169194</v>
      </c>
      <c r="F198" s="273">
        <f t="shared" ref="F198:F208" si="30">IF(C198=0,0,E198/C198)</f>
        <v>1.9122704643082744E-2</v>
      </c>
    </row>
    <row r="199" spans="1:9" ht="20.25" customHeight="1" x14ac:dyDescent="0.3">
      <c r="A199" s="271"/>
      <c r="B199" s="272" t="s">
        <v>466</v>
      </c>
      <c r="C199" s="263">
        <f t="shared" si="28"/>
        <v>3119323</v>
      </c>
      <c r="D199" s="263">
        <f t="shared" si="28"/>
        <v>3039798</v>
      </c>
      <c r="E199" s="263">
        <f t="shared" si="29"/>
        <v>-79525</v>
      </c>
      <c r="F199" s="273">
        <f t="shared" si="30"/>
        <v>-2.5494313990567827E-2</v>
      </c>
    </row>
    <row r="200" spans="1:9" ht="20.25" customHeight="1" x14ac:dyDescent="0.3">
      <c r="A200" s="271"/>
      <c r="B200" s="272" t="s">
        <v>467</v>
      </c>
      <c r="C200" s="263">
        <f t="shared" si="28"/>
        <v>11997937</v>
      </c>
      <c r="D200" s="263">
        <f t="shared" si="28"/>
        <v>13991385</v>
      </c>
      <c r="E200" s="263">
        <f t="shared" si="29"/>
        <v>1993448</v>
      </c>
      <c r="F200" s="273">
        <f t="shared" si="30"/>
        <v>0.16614923048854149</v>
      </c>
    </row>
    <row r="201" spans="1:9" ht="20.25" customHeight="1" x14ac:dyDescent="0.3">
      <c r="A201" s="271"/>
      <c r="B201" s="272" t="s">
        <v>468</v>
      </c>
      <c r="C201" s="263">
        <f t="shared" si="28"/>
        <v>3063902</v>
      </c>
      <c r="D201" s="263">
        <f t="shared" si="28"/>
        <v>3272062</v>
      </c>
      <c r="E201" s="263">
        <f t="shared" si="29"/>
        <v>208160</v>
      </c>
      <c r="F201" s="273">
        <f t="shared" si="30"/>
        <v>6.7939509814608959E-2</v>
      </c>
    </row>
    <row r="202" spans="1:9" ht="20.25" customHeight="1" x14ac:dyDescent="0.3">
      <c r="A202" s="271"/>
      <c r="B202" s="272" t="s">
        <v>138</v>
      </c>
      <c r="C202" s="274">
        <f t="shared" si="28"/>
        <v>376</v>
      </c>
      <c r="D202" s="274">
        <f t="shared" si="28"/>
        <v>373</v>
      </c>
      <c r="E202" s="274">
        <f t="shared" si="29"/>
        <v>-3</v>
      </c>
      <c r="F202" s="273">
        <f t="shared" si="30"/>
        <v>-7.9787234042553185E-3</v>
      </c>
    </row>
    <row r="203" spans="1:9" ht="20.25" customHeight="1" x14ac:dyDescent="0.3">
      <c r="A203" s="271"/>
      <c r="B203" s="272" t="s">
        <v>140</v>
      </c>
      <c r="C203" s="274">
        <f t="shared" si="28"/>
        <v>1944</v>
      </c>
      <c r="D203" s="274">
        <f t="shared" si="28"/>
        <v>1969</v>
      </c>
      <c r="E203" s="274">
        <f t="shared" si="29"/>
        <v>25</v>
      </c>
      <c r="F203" s="273">
        <f t="shared" si="30"/>
        <v>1.2860082304526749E-2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9190</v>
      </c>
      <c r="D204" s="274">
        <f t="shared" si="28"/>
        <v>9957</v>
      </c>
      <c r="E204" s="274">
        <f t="shared" si="29"/>
        <v>767</v>
      </c>
      <c r="F204" s="273">
        <f t="shared" si="30"/>
        <v>8.3460282916213269E-2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933</v>
      </c>
      <c r="D205" s="274">
        <f t="shared" si="28"/>
        <v>1011</v>
      </c>
      <c r="E205" s="274">
        <f t="shared" si="29"/>
        <v>78</v>
      </c>
      <c r="F205" s="273">
        <f t="shared" si="30"/>
        <v>8.3601286173633438E-2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325</v>
      </c>
      <c r="D206" s="274">
        <f t="shared" si="28"/>
        <v>340</v>
      </c>
      <c r="E206" s="274">
        <f t="shared" si="29"/>
        <v>15</v>
      </c>
      <c r="F206" s="273">
        <f t="shared" si="30"/>
        <v>4.6153846153846156E-2</v>
      </c>
    </row>
    <row r="207" spans="1:9" ht="20.25" customHeight="1" x14ac:dyDescent="0.3">
      <c r="A207" s="271"/>
      <c r="B207" s="262" t="s">
        <v>471</v>
      </c>
      <c r="C207" s="263">
        <f>+C198+C200</f>
        <v>20845744</v>
      </c>
      <c r="D207" s="263">
        <f>+D198+D200</f>
        <v>23008386</v>
      </c>
      <c r="E207" s="263">
        <f t="shared" si="29"/>
        <v>2162642</v>
      </c>
      <c r="F207" s="273">
        <f t="shared" si="30"/>
        <v>0.10374501385030921</v>
      </c>
    </row>
    <row r="208" spans="1:9" ht="20.25" customHeight="1" x14ac:dyDescent="0.3">
      <c r="A208" s="271"/>
      <c r="B208" s="262" t="s">
        <v>472</v>
      </c>
      <c r="C208" s="263">
        <f>+C199+C201</f>
        <v>6183225</v>
      </c>
      <c r="D208" s="263">
        <f>+D199+D201</f>
        <v>6311860</v>
      </c>
      <c r="E208" s="263">
        <f t="shared" si="29"/>
        <v>128635</v>
      </c>
      <c r="F208" s="273">
        <f t="shared" si="30"/>
        <v>2.0803868531389363E-2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FILING&amp;RJOHNSON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1528751</v>
      </c>
      <c r="D13" s="22">
        <v>1805602</v>
      </c>
      <c r="E13" s="22">
        <f t="shared" ref="E13:E22" si="0">D13-C13</f>
        <v>276851</v>
      </c>
      <c r="F13" s="306">
        <f t="shared" ref="F13:F22" si="1">IF(C13=0,0,E13/C13)</f>
        <v>0.18109620206299129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11658028</v>
      </c>
      <c r="D15" s="22">
        <v>12246951</v>
      </c>
      <c r="E15" s="22">
        <f t="shared" si="0"/>
        <v>588923</v>
      </c>
      <c r="F15" s="306">
        <f t="shared" si="1"/>
        <v>5.0516519603486972E-2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1295797</v>
      </c>
      <c r="D19" s="22">
        <v>1523756</v>
      </c>
      <c r="E19" s="22">
        <f t="shared" si="0"/>
        <v>227959</v>
      </c>
      <c r="F19" s="306">
        <f t="shared" si="1"/>
        <v>0.17592184578294284</v>
      </c>
    </row>
    <row r="20" spans="1:11" ht="24" customHeight="1" x14ac:dyDescent="0.2">
      <c r="A20" s="304">
        <v>8</v>
      </c>
      <c r="B20" s="305" t="s">
        <v>23</v>
      </c>
      <c r="C20" s="22">
        <v>2288803</v>
      </c>
      <c r="D20" s="22">
        <v>1880119</v>
      </c>
      <c r="E20" s="22">
        <f t="shared" si="0"/>
        <v>-408684</v>
      </c>
      <c r="F20" s="306">
        <f t="shared" si="1"/>
        <v>-0.17855796239344321</v>
      </c>
    </row>
    <row r="21" spans="1:11" ht="24" customHeight="1" x14ac:dyDescent="0.2">
      <c r="A21" s="304">
        <v>9</v>
      </c>
      <c r="B21" s="305" t="s">
        <v>24</v>
      </c>
      <c r="C21" s="22">
        <v>1078149</v>
      </c>
      <c r="D21" s="22">
        <v>537387</v>
      </c>
      <c r="E21" s="22">
        <f t="shared" si="0"/>
        <v>-540762</v>
      </c>
      <c r="F21" s="306">
        <f t="shared" si="1"/>
        <v>-0.50156518254897975</v>
      </c>
    </row>
    <row r="22" spans="1:11" ht="24" customHeight="1" x14ac:dyDescent="0.25">
      <c r="A22" s="307"/>
      <c r="B22" s="308" t="s">
        <v>25</v>
      </c>
      <c r="C22" s="309">
        <f>SUM(C13:C21)</f>
        <v>17849528</v>
      </c>
      <c r="D22" s="309">
        <f>SUM(D13:D21)</f>
        <v>17993815</v>
      </c>
      <c r="E22" s="309">
        <f t="shared" si="0"/>
        <v>144287</v>
      </c>
      <c r="F22" s="310">
        <f t="shared" si="1"/>
        <v>8.0835190712045726E-3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4822532</v>
      </c>
      <c r="D25" s="22">
        <v>4452119</v>
      </c>
      <c r="E25" s="22">
        <f>D25-C25</f>
        <v>-370413</v>
      </c>
      <c r="F25" s="306">
        <f>IF(C25=0,0,E25/C25)</f>
        <v>-7.6808821589986337E-2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224048</v>
      </c>
      <c r="D27" s="22">
        <v>224917</v>
      </c>
      <c r="E27" s="22">
        <f>D27-C27</f>
        <v>869</v>
      </c>
      <c r="F27" s="306">
        <f>IF(C27=0,0,E27/C27)</f>
        <v>3.8786331500392773E-3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5046580</v>
      </c>
      <c r="D29" s="309">
        <f>SUM(D25:D28)</f>
        <v>4677036</v>
      </c>
      <c r="E29" s="309">
        <f>D29-C29</f>
        <v>-369544</v>
      </c>
      <c r="F29" s="310">
        <f>IF(C29=0,0,E29/C29)</f>
        <v>-7.3226620800621409E-2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3409730</v>
      </c>
      <c r="D32" s="22">
        <v>3467074</v>
      </c>
      <c r="E32" s="22">
        <f>D32-C32</f>
        <v>57344</v>
      </c>
      <c r="F32" s="306">
        <f>IF(C32=0,0,E32/C32)</f>
        <v>1.6817753898402513E-2</v>
      </c>
    </row>
    <row r="33" spans="1:8" ht="24" customHeight="1" x14ac:dyDescent="0.2">
      <c r="A33" s="304">
        <v>7</v>
      </c>
      <c r="B33" s="305" t="s">
        <v>35</v>
      </c>
      <c r="C33" s="22">
        <v>1888856</v>
      </c>
      <c r="D33" s="22">
        <v>1486054</v>
      </c>
      <c r="E33" s="22">
        <f>D33-C33</f>
        <v>-402802</v>
      </c>
      <c r="F33" s="306">
        <f>IF(C33=0,0,E33/C33)</f>
        <v>-0.21325183073775872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88738708</v>
      </c>
      <c r="D36" s="22">
        <v>97485005</v>
      </c>
      <c r="E36" s="22">
        <f>D36-C36</f>
        <v>8746297</v>
      </c>
      <c r="F36" s="306">
        <f>IF(C36=0,0,E36/C36)</f>
        <v>9.8562365816730169E-2</v>
      </c>
    </row>
    <row r="37" spans="1:8" ht="24" customHeight="1" x14ac:dyDescent="0.2">
      <c r="A37" s="304">
        <v>2</v>
      </c>
      <c r="B37" s="305" t="s">
        <v>39</v>
      </c>
      <c r="C37" s="22">
        <v>65468893</v>
      </c>
      <c r="D37" s="22">
        <v>70147136</v>
      </c>
      <c r="E37" s="22">
        <f>D37-C37</f>
        <v>4678243</v>
      </c>
      <c r="F37" s="22">
        <f>IF(C37=0,0,E37/C37)</f>
        <v>7.145749356110237E-2</v>
      </c>
    </row>
    <row r="38" spans="1:8" ht="24" customHeight="1" x14ac:dyDescent="0.25">
      <c r="A38" s="307"/>
      <c r="B38" s="308" t="s">
        <v>40</v>
      </c>
      <c r="C38" s="309">
        <f>C36-C37</f>
        <v>23269815</v>
      </c>
      <c r="D38" s="309">
        <f>D36-D37</f>
        <v>27337869</v>
      </c>
      <c r="E38" s="309">
        <f>D38-C38</f>
        <v>4068054</v>
      </c>
      <c r="F38" s="310">
        <f>IF(C38=0,0,E38/C38)</f>
        <v>0.17482107184779938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23269815</v>
      </c>
      <c r="D41" s="309">
        <f>+D38+D40</f>
        <v>27337869</v>
      </c>
      <c r="E41" s="309">
        <f>D41-C41</f>
        <v>4068054</v>
      </c>
      <c r="F41" s="310">
        <f>IF(C41=0,0,E41/C41)</f>
        <v>0.17482107184779938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51464509</v>
      </c>
      <c r="D43" s="309">
        <f>D22+D29+D31+D32+D33+D41</f>
        <v>54961848</v>
      </c>
      <c r="E43" s="309">
        <f>D43-C43</f>
        <v>3497339</v>
      </c>
      <c r="F43" s="310">
        <f>IF(C43=0,0,E43/C43)</f>
        <v>6.7956326951453094E-2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8408688</v>
      </c>
      <c r="D49" s="22">
        <v>12652911</v>
      </c>
      <c r="E49" s="22">
        <f t="shared" ref="E49:E56" si="2">D49-C49</f>
        <v>4244223</v>
      </c>
      <c r="F49" s="306">
        <f t="shared" ref="F49:F56" si="3">IF(C49=0,0,E49/C49)</f>
        <v>0.50474259480194772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2789581</v>
      </c>
      <c r="D50" s="22">
        <v>2677952</v>
      </c>
      <c r="E50" s="22">
        <f t="shared" si="2"/>
        <v>-111629</v>
      </c>
      <c r="F50" s="306">
        <f t="shared" si="3"/>
        <v>-4.0016403897216106E-2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2911614</v>
      </c>
      <c r="D51" s="22">
        <v>2446731</v>
      </c>
      <c r="E51" s="22">
        <f t="shared" si="2"/>
        <v>-464883</v>
      </c>
      <c r="F51" s="306">
        <f t="shared" si="3"/>
        <v>-0.15966505175479992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29141197</v>
      </c>
      <c r="D53" s="22">
        <v>29141197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323071</v>
      </c>
      <c r="D54" s="22">
        <v>838274</v>
      </c>
      <c r="E54" s="22">
        <f t="shared" si="2"/>
        <v>515203</v>
      </c>
      <c r="F54" s="306">
        <f t="shared" si="3"/>
        <v>1.5947051886427441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6549172</v>
      </c>
      <c r="D55" s="22">
        <v>11243011</v>
      </c>
      <c r="E55" s="22">
        <f t="shared" si="2"/>
        <v>4693839</v>
      </c>
      <c r="F55" s="306">
        <f t="shared" si="3"/>
        <v>0.71670724177041001</v>
      </c>
    </row>
    <row r="56" spans="1:6" ht="24" customHeight="1" x14ac:dyDescent="0.25">
      <c r="A56" s="307"/>
      <c r="B56" s="308" t="s">
        <v>54</v>
      </c>
      <c r="C56" s="309">
        <f>SUM(C49:C55)</f>
        <v>50123323</v>
      </c>
      <c r="D56" s="309">
        <f>SUM(D49:D55)</f>
        <v>59000076</v>
      </c>
      <c r="E56" s="309">
        <f t="shared" si="2"/>
        <v>8876753</v>
      </c>
      <c r="F56" s="310">
        <f t="shared" si="3"/>
        <v>0.1770982542398476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4572057</v>
      </c>
      <c r="E60" s="22">
        <f>D60-C60</f>
        <v>4572057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0</v>
      </c>
      <c r="D61" s="309">
        <f>SUM(D59:D60)</f>
        <v>4572057</v>
      </c>
      <c r="E61" s="309">
        <f>D61-C61</f>
        <v>4572057</v>
      </c>
      <c r="F61" s="310">
        <f>IF(C61=0,0,E61/C61)</f>
        <v>0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8245286</v>
      </c>
      <c r="D64" s="22">
        <v>4932692</v>
      </c>
      <c r="E64" s="22">
        <f>D64-C64</f>
        <v>-3312594</v>
      </c>
      <c r="F64" s="306">
        <f>IF(C64=0,0,E64/C64)</f>
        <v>-0.40175610645889059</v>
      </c>
    </row>
    <row r="65" spans="1:6" ht="24" customHeight="1" x14ac:dyDescent="0.25">
      <c r="A65" s="307"/>
      <c r="B65" s="308" t="s">
        <v>61</v>
      </c>
      <c r="C65" s="309">
        <f>SUM(C61:C64)</f>
        <v>8245286</v>
      </c>
      <c r="D65" s="309">
        <f>SUM(D61:D64)</f>
        <v>9504749</v>
      </c>
      <c r="E65" s="309">
        <f>D65-C65</f>
        <v>1259463</v>
      </c>
      <c r="F65" s="310">
        <f>IF(C65=0,0,E65/C65)</f>
        <v>0.15274946193497715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-12121840</v>
      </c>
      <c r="D70" s="22">
        <v>-18535995</v>
      </c>
      <c r="E70" s="22">
        <f>D70-C70</f>
        <v>-6414155</v>
      </c>
      <c r="F70" s="306">
        <f>IF(C70=0,0,E70/C70)</f>
        <v>0.52914037802841818</v>
      </c>
    </row>
    <row r="71" spans="1:6" ht="24" customHeight="1" x14ac:dyDescent="0.2">
      <c r="A71" s="304">
        <v>2</v>
      </c>
      <c r="B71" s="305" t="s">
        <v>65</v>
      </c>
      <c r="C71" s="22">
        <v>410595</v>
      </c>
      <c r="D71" s="22">
        <v>553275</v>
      </c>
      <c r="E71" s="22">
        <f>D71-C71</f>
        <v>142680</v>
      </c>
      <c r="F71" s="306">
        <f>IF(C71=0,0,E71/C71)</f>
        <v>0.34749570744894603</v>
      </c>
    </row>
    <row r="72" spans="1:6" ht="24" customHeight="1" x14ac:dyDescent="0.2">
      <c r="A72" s="304">
        <v>3</v>
      </c>
      <c r="B72" s="305" t="s">
        <v>66</v>
      </c>
      <c r="C72" s="22">
        <v>4807145</v>
      </c>
      <c r="D72" s="22">
        <v>4439743</v>
      </c>
      <c r="E72" s="22">
        <f>D72-C72</f>
        <v>-367402</v>
      </c>
      <c r="F72" s="306">
        <f>IF(C72=0,0,E72/C72)</f>
        <v>-7.6428316599561688E-2</v>
      </c>
    </row>
    <row r="73" spans="1:6" ht="24" customHeight="1" x14ac:dyDescent="0.25">
      <c r="A73" s="304"/>
      <c r="B73" s="308" t="s">
        <v>67</v>
      </c>
      <c r="C73" s="309">
        <f>SUM(C70:C72)</f>
        <v>-6904100</v>
      </c>
      <c r="D73" s="309">
        <f>SUM(D70:D72)</f>
        <v>-13542977</v>
      </c>
      <c r="E73" s="309">
        <f>D73-C73</f>
        <v>-6638877</v>
      </c>
      <c r="F73" s="310">
        <f>IF(C73=0,0,E73/C73)</f>
        <v>0.96158471053432015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51464509</v>
      </c>
      <c r="D75" s="309">
        <f>D56+D65+D67+D73</f>
        <v>54961848</v>
      </c>
      <c r="E75" s="309">
        <f>D75-C75</f>
        <v>3497339</v>
      </c>
      <c r="F75" s="310">
        <f>IF(C75=0,0,E75/C75)</f>
        <v>6.7956326951453094E-2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FILING&amp;RJOHNSON MEMORIAL MEDICAL CENTER,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208384764</v>
      </c>
      <c r="D11" s="76">
        <v>206688056</v>
      </c>
      <c r="E11" s="76">
        <f t="shared" ref="E11:E20" si="0">D11-C11</f>
        <v>-1696708</v>
      </c>
      <c r="F11" s="77">
        <f t="shared" ref="F11:F20" si="1">IF(C11=0,0,E11/C11)</f>
        <v>-8.1421883607575071E-3</v>
      </c>
    </row>
    <row r="12" spans="1:7" ht="23.1" customHeight="1" x14ac:dyDescent="0.2">
      <c r="A12" s="74">
        <v>2</v>
      </c>
      <c r="B12" s="75" t="s">
        <v>72</v>
      </c>
      <c r="C12" s="76">
        <v>111383001</v>
      </c>
      <c r="D12" s="76">
        <v>113763631</v>
      </c>
      <c r="E12" s="76">
        <f t="shared" si="0"/>
        <v>2380630</v>
      </c>
      <c r="F12" s="77">
        <f t="shared" si="1"/>
        <v>2.1373369173272681E-2</v>
      </c>
    </row>
    <row r="13" spans="1:7" ht="23.1" customHeight="1" x14ac:dyDescent="0.2">
      <c r="A13" s="74">
        <v>3</v>
      </c>
      <c r="B13" s="75" t="s">
        <v>73</v>
      </c>
      <c r="C13" s="76">
        <v>387403</v>
      </c>
      <c r="D13" s="76">
        <v>221056</v>
      </c>
      <c r="E13" s="76">
        <f t="shared" si="0"/>
        <v>-166347</v>
      </c>
      <c r="F13" s="77">
        <f t="shared" si="1"/>
        <v>-0.42939006667475471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96614360</v>
      </c>
      <c r="D15" s="79">
        <f>D11-D12-D13-D14</f>
        <v>92703369</v>
      </c>
      <c r="E15" s="79">
        <f t="shared" si="0"/>
        <v>-3910991</v>
      </c>
      <c r="F15" s="80">
        <f t="shared" si="1"/>
        <v>-4.0480431687380636E-2</v>
      </c>
    </row>
    <row r="16" spans="1:7" ht="23.1" customHeight="1" x14ac:dyDescent="0.2">
      <c r="A16" s="74">
        <v>5</v>
      </c>
      <c r="B16" s="75" t="s">
        <v>76</v>
      </c>
      <c r="C16" s="76">
        <v>4537178</v>
      </c>
      <c r="D16" s="76">
        <v>3470135</v>
      </c>
      <c r="E16" s="76">
        <f t="shared" si="0"/>
        <v>-1067043</v>
      </c>
      <c r="F16" s="77">
        <f t="shared" si="1"/>
        <v>-0.23517768092854194</v>
      </c>
      <c r="G16" s="65"/>
    </row>
    <row r="17" spans="1:7" ht="31.5" customHeight="1" x14ac:dyDescent="0.25">
      <c r="A17" s="71"/>
      <c r="B17" s="81" t="s">
        <v>77</v>
      </c>
      <c r="C17" s="79">
        <f>C15-C16</f>
        <v>92077182</v>
      </c>
      <c r="D17" s="79">
        <f>D15-D16</f>
        <v>89233234</v>
      </c>
      <c r="E17" s="79">
        <f t="shared" si="0"/>
        <v>-2843948</v>
      </c>
      <c r="F17" s="80">
        <f t="shared" si="1"/>
        <v>-3.0886566445962691E-2</v>
      </c>
    </row>
    <row r="18" spans="1:7" ht="23.1" customHeight="1" x14ac:dyDescent="0.2">
      <c r="A18" s="74">
        <v>6</v>
      </c>
      <c r="B18" s="75" t="s">
        <v>78</v>
      </c>
      <c r="C18" s="76">
        <v>1052144</v>
      </c>
      <c r="D18" s="76">
        <v>1190422</v>
      </c>
      <c r="E18" s="76">
        <f t="shared" si="0"/>
        <v>138278</v>
      </c>
      <c r="F18" s="77">
        <f t="shared" si="1"/>
        <v>0.13142497604890585</v>
      </c>
      <c r="G18" s="65"/>
    </row>
    <row r="19" spans="1:7" ht="33" customHeight="1" x14ac:dyDescent="0.2">
      <c r="A19" s="74">
        <v>7</v>
      </c>
      <c r="B19" s="82" t="s">
        <v>79</v>
      </c>
      <c r="C19" s="76">
        <v>269758</v>
      </c>
      <c r="D19" s="76">
        <v>36593</v>
      </c>
      <c r="E19" s="76">
        <f t="shared" si="0"/>
        <v>-233165</v>
      </c>
      <c r="F19" s="77">
        <f t="shared" si="1"/>
        <v>-0.8643487866902928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93399084</v>
      </c>
      <c r="D20" s="79">
        <f>SUM(D17:D19)</f>
        <v>90460249</v>
      </c>
      <c r="E20" s="79">
        <f t="shared" si="0"/>
        <v>-2938835</v>
      </c>
      <c r="F20" s="80">
        <f t="shared" si="1"/>
        <v>-3.146535141608027E-2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40411635</v>
      </c>
      <c r="D23" s="76">
        <v>40500652</v>
      </c>
      <c r="E23" s="76">
        <f t="shared" ref="E23:E32" si="2">D23-C23</f>
        <v>89017</v>
      </c>
      <c r="F23" s="77">
        <f t="shared" ref="F23:F32" si="3">IF(C23=0,0,E23/C23)</f>
        <v>2.2027567060822952E-3</v>
      </c>
    </row>
    <row r="24" spans="1:7" ht="23.1" customHeight="1" x14ac:dyDescent="0.2">
      <c r="A24" s="74">
        <v>2</v>
      </c>
      <c r="B24" s="75" t="s">
        <v>83</v>
      </c>
      <c r="C24" s="76">
        <v>10541692</v>
      </c>
      <c r="D24" s="76">
        <v>10064877</v>
      </c>
      <c r="E24" s="76">
        <f t="shared" si="2"/>
        <v>-476815</v>
      </c>
      <c r="F24" s="77">
        <f t="shared" si="3"/>
        <v>-4.5231353752319833E-2</v>
      </c>
    </row>
    <row r="25" spans="1:7" ht="23.1" customHeight="1" x14ac:dyDescent="0.2">
      <c r="A25" s="74">
        <v>3</v>
      </c>
      <c r="B25" s="75" t="s">
        <v>84</v>
      </c>
      <c r="C25" s="76">
        <v>2126346</v>
      </c>
      <c r="D25" s="76">
        <v>4050496</v>
      </c>
      <c r="E25" s="76">
        <f t="shared" si="2"/>
        <v>1924150</v>
      </c>
      <c r="F25" s="77">
        <f t="shared" si="3"/>
        <v>0.90490917282511873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12822617</v>
      </c>
      <c r="D26" s="76">
        <v>12485965</v>
      </c>
      <c r="E26" s="76">
        <f t="shared" si="2"/>
        <v>-336652</v>
      </c>
      <c r="F26" s="77">
        <f t="shared" si="3"/>
        <v>-2.6254546946227902E-2</v>
      </c>
    </row>
    <row r="27" spans="1:7" ht="23.1" customHeight="1" x14ac:dyDescent="0.2">
      <c r="A27" s="74">
        <v>5</v>
      </c>
      <c r="B27" s="75" t="s">
        <v>86</v>
      </c>
      <c r="C27" s="76">
        <v>3226575</v>
      </c>
      <c r="D27" s="76">
        <v>2419144</v>
      </c>
      <c r="E27" s="76">
        <f t="shared" si="2"/>
        <v>-807431</v>
      </c>
      <c r="F27" s="77">
        <f t="shared" si="3"/>
        <v>-0.25024398936953268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1985339</v>
      </c>
      <c r="D29" s="76">
        <v>1503067</v>
      </c>
      <c r="E29" s="76">
        <f t="shared" si="2"/>
        <v>-482272</v>
      </c>
      <c r="F29" s="77">
        <f t="shared" si="3"/>
        <v>-0.24291670087576983</v>
      </c>
    </row>
    <row r="30" spans="1:7" ht="23.1" customHeight="1" x14ac:dyDescent="0.2">
      <c r="A30" s="74">
        <v>8</v>
      </c>
      <c r="B30" s="75" t="s">
        <v>89</v>
      </c>
      <c r="C30" s="76">
        <v>1129342</v>
      </c>
      <c r="D30" s="76">
        <v>1056331</v>
      </c>
      <c r="E30" s="76">
        <f t="shared" si="2"/>
        <v>-73011</v>
      </c>
      <c r="F30" s="77">
        <f t="shared" si="3"/>
        <v>-6.4649149681850135E-2</v>
      </c>
    </row>
    <row r="31" spans="1:7" ht="23.1" customHeight="1" x14ac:dyDescent="0.2">
      <c r="A31" s="74">
        <v>9</v>
      </c>
      <c r="B31" s="75" t="s">
        <v>90</v>
      </c>
      <c r="C31" s="76">
        <v>22452310</v>
      </c>
      <c r="D31" s="76">
        <v>25211129</v>
      </c>
      <c r="E31" s="76">
        <f t="shared" si="2"/>
        <v>2758819</v>
      </c>
      <c r="F31" s="77">
        <f t="shared" si="3"/>
        <v>0.12287461735563067</v>
      </c>
    </row>
    <row r="32" spans="1:7" ht="23.1" customHeight="1" x14ac:dyDescent="0.25">
      <c r="A32" s="71"/>
      <c r="B32" s="78" t="s">
        <v>91</v>
      </c>
      <c r="C32" s="79">
        <f>SUM(C23:C31)</f>
        <v>94695856</v>
      </c>
      <c r="D32" s="79">
        <f>SUM(D23:D31)</f>
        <v>97291661</v>
      </c>
      <c r="E32" s="79">
        <f t="shared" si="2"/>
        <v>2595805</v>
      </c>
      <c r="F32" s="80">
        <f t="shared" si="3"/>
        <v>2.7412023182936326E-2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-1296772</v>
      </c>
      <c r="D34" s="79">
        <f>+D20-D32</f>
        <v>-6831412</v>
      </c>
      <c r="E34" s="79">
        <f>D34-C34</f>
        <v>-5534640</v>
      </c>
      <c r="F34" s="80">
        <f>IF(C34=0,0,E34/C34)</f>
        <v>4.2680131896740523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166175</v>
      </c>
      <c r="D37" s="76">
        <v>159517</v>
      </c>
      <c r="E37" s="76">
        <f>D37-C37</f>
        <v>-6658</v>
      </c>
      <c r="F37" s="77">
        <f>IF(C37=0,0,E37/C37)</f>
        <v>-4.0066195276064392E-2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218759</v>
      </c>
      <c r="D39" s="76">
        <v>69138</v>
      </c>
      <c r="E39" s="76">
        <f>D39-C39</f>
        <v>-149621</v>
      </c>
      <c r="F39" s="77">
        <f>IF(C39=0,0,E39/C39)</f>
        <v>-0.68395357448150707</v>
      </c>
    </row>
    <row r="40" spans="1:6" ht="23.1" customHeight="1" x14ac:dyDescent="0.25">
      <c r="A40" s="83"/>
      <c r="B40" s="78" t="s">
        <v>97</v>
      </c>
      <c r="C40" s="79">
        <f>SUM(C37:C39)</f>
        <v>384934</v>
      </c>
      <c r="D40" s="79">
        <f>SUM(D37:D39)</f>
        <v>228655</v>
      </c>
      <c r="E40" s="79">
        <f>D40-C40</f>
        <v>-156279</v>
      </c>
      <c r="F40" s="80">
        <f>IF(C40=0,0,E40/C40)</f>
        <v>-0.40598907864724865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-911838</v>
      </c>
      <c r="D42" s="79">
        <f>D34+D40</f>
        <v>-6602757</v>
      </c>
      <c r="E42" s="79">
        <f>D42-C42</f>
        <v>-5690919</v>
      </c>
      <c r="F42" s="80">
        <f>IF(C42=0,0,E42/C42)</f>
        <v>6.2411513887335248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-2452326</v>
      </c>
      <c r="D46" s="76">
        <v>0</v>
      </c>
      <c r="E46" s="76">
        <f>D46-C46</f>
        <v>2452326</v>
      </c>
      <c r="F46" s="77">
        <f>IF(C46=0,0,E46/C46)</f>
        <v>-1</v>
      </c>
    </row>
    <row r="47" spans="1:6" ht="23.1" customHeight="1" x14ac:dyDescent="0.25">
      <c r="A47" s="83"/>
      <c r="B47" s="78" t="s">
        <v>102</v>
      </c>
      <c r="C47" s="79">
        <f>SUM(C45:C46)</f>
        <v>-2452326</v>
      </c>
      <c r="D47" s="79">
        <f>SUM(D45:D46)</f>
        <v>0</v>
      </c>
      <c r="E47" s="79">
        <f>D47-C47</f>
        <v>2452326</v>
      </c>
      <c r="F47" s="80">
        <f>IF(C47=0,0,E47/C47)</f>
        <v>-1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-3364164</v>
      </c>
      <c r="D49" s="79">
        <f>D42+D47</f>
        <v>-6602757</v>
      </c>
      <c r="E49" s="79">
        <f>D49-C49</f>
        <v>-3238593</v>
      </c>
      <c r="F49" s="80">
        <f>IF(C49=0,0,E49/C49)</f>
        <v>0.96267393622903041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FILING&amp;R&amp;8JOHNSON MEMORIAL MEDICAL CENTER,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2016-07-21T16:27:24Z</cp:lastPrinted>
  <dcterms:created xsi:type="dcterms:W3CDTF">2016-07-21T16:20:09Z</dcterms:created>
  <dcterms:modified xsi:type="dcterms:W3CDTF">2016-07-27T15:01:58Z</dcterms:modified>
</cp:coreProperties>
</file>