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3" i="22"/>
  <c r="E111" i="22"/>
  <c r="C23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45" i="18"/>
  <c r="C244" i="18"/>
  <c r="D233" i="18"/>
  <c r="D253" i="18"/>
  <c r="C233" i="18"/>
  <c r="D232" i="18"/>
  <c r="E232" i="18"/>
  <c r="C232" i="18"/>
  <c r="D231" i="18"/>
  <c r="C231" i="18"/>
  <c r="C252" i="18"/>
  <c r="D230" i="18"/>
  <c r="E230" i="18"/>
  <c r="C230" i="18"/>
  <c r="D228" i="18"/>
  <c r="E228" i="18"/>
  <c r="C228" i="18"/>
  <c r="D227" i="18"/>
  <c r="C227" i="18"/>
  <c r="E227" i="18"/>
  <c r="D221" i="18"/>
  <c r="E221" i="18"/>
  <c r="C221" i="18"/>
  <c r="C245" i="18"/>
  <c r="D220" i="18"/>
  <c r="D244" i="18"/>
  <c r="E244" i="18"/>
  <c r="C220" i="18"/>
  <c r="E220" i="18"/>
  <c r="D219" i="18"/>
  <c r="E219" i="18"/>
  <c r="C219" i="18"/>
  <c r="C243" i="18"/>
  <c r="D218" i="18"/>
  <c r="D242" i="18"/>
  <c r="C218" i="18"/>
  <c r="C217" i="18"/>
  <c r="D216" i="18"/>
  <c r="D240" i="18"/>
  <c r="C216" i="18"/>
  <c r="C240" i="18"/>
  <c r="D215" i="18"/>
  <c r="E215" i="18"/>
  <c r="C215" i="18"/>
  <c r="C239" i="18"/>
  <c r="D210" i="18"/>
  <c r="E209" i="18"/>
  <c r="E208" i="18"/>
  <c r="E207" i="18"/>
  <c r="E206" i="18"/>
  <c r="D205" i="18"/>
  <c r="D229" i="18"/>
  <c r="C205" i="18"/>
  <c r="C210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5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63" i="18"/>
  <c r="C139" i="18"/>
  <c r="C163" i="18"/>
  <c r="E138" i="18"/>
  <c r="E137" i="18"/>
  <c r="D7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C55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E37" i="18"/>
  <c r="C37" i="18"/>
  <c r="C43" i="18"/>
  <c r="D36" i="18"/>
  <c r="C36" i="18"/>
  <c r="E36" i="18"/>
  <c r="D33" i="18"/>
  <c r="D32" i="18"/>
  <c r="D294" i="18"/>
  <c r="C32" i="18"/>
  <c r="E31" i="18"/>
  <c r="E30" i="18"/>
  <c r="E29" i="18"/>
  <c r="E28" i="18"/>
  <c r="E27" i="18"/>
  <c r="E26" i="18"/>
  <c r="E25" i="18"/>
  <c r="C22" i="18"/>
  <c r="C284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D280" i="17"/>
  <c r="C191" i="17"/>
  <c r="C280" i="17"/>
  <c r="D189" i="17"/>
  <c r="D278" i="17"/>
  <c r="C189" i="17"/>
  <c r="C278" i="17"/>
  <c r="D188" i="17"/>
  <c r="C188" i="17"/>
  <c r="C277" i="17"/>
  <c r="F180" i="17"/>
  <c r="D180" i="17"/>
  <c r="E180" i="17"/>
  <c r="C180" i="17"/>
  <c r="F179" i="17"/>
  <c r="D179" i="17"/>
  <c r="E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E157" i="17"/>
  <c r="F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C144" i="17"/>
  <c r="C146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2" i="17"/>
  <c r="F122" i="17"/>
  <c r="E121" i="17"/>
  <c r="F121" i="17"/>
  <c r="D120" i="17"/>
  <c r="C120" i="17"/>
  <c r="E119" i="17"/>
  <c r="F119" i="17"/>
  <c r="E118" i="17"/>
  <c r="F118" i="17"/>
  <c r="D110" i="17"/>
  <c r="C110" i="17"/>
  <c r="D109" i="17"/>
  <c r="D111" i="17"/>
  <c r="E111" i="17"/>
  <c r="C109" i="17"/>
  <c r="C111" i="17"/>
  <c r="D101" i="17"/>
  <c r="D102" i="17"/>
  <c r="C101" i="17"/>
  <c r="C102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C85" i="17"/>
  <c r="E84" i="17"/>
  <c r="F84" i="17"/>
  <c r="E83" i="17"/>
  <c r="F83" i="17"/>
  <c r="D76" i="17"/>
  <c r="D77" i="17"/>
  <c r="C76" i="17"/>
  <c r="C77" i="17"/>
  <c r="F74" i="17"/>
  <c r="E74" i="17"/>
  <c r="F73" i="17"/>
  <c r="E73" i="17"/>
  <c r="D67" i="17"/>
  <c r="E67" i="17"/>
  <c r="F67" i="17"/>
  <c r="C67" i="17"/>
  <c r="D66" i="17"/>
  <c r="D68" i="17"/>
  <c r="C66" i="17"/>
  <c r="C68" i="17"/>
  <c r="D59" i="17"/>
  <c r="D60" i="17"/>
  <c r="C59" i="17"/>
  <c r="C60" i="17"/>
  <c r="D58" i="17"/>
  <c r="E58" i="17"/>
  <c r="F58" i="17"/>
  <c r="C58" i="17"/>
  <c r="E57" i="17"/>
  <c r="F57" i="17"/>
  <c r="E56" i="17"/>
  <c r="F56" i="17"/>
  <c r="D53" i="17"/>
  <c r="E53" i="17"/>
  <c r="F53" i="17"/>
  <c r="C53" i="17"/>
  <c r="D52" i="17"/>
  <c r="E52" i="17"/>
  <c r="F52" i="17"/>
  <c r="C52" i="17"/>
  <c r="F51" i="17"/>
  <c r="E51" i="17"/>
  <c r="D47" i="17"/>
  <c r="D48" i="17"/>
  <c r="C47" i="17"/>
  <c r="C48" i="17"/>
  <c r="F46" i="17"/>
  <c r="E46" i="17"/>
  <c r="F45" i="17"/>
  <c r="E45" i="17"/>
  <c r="D44" i="17"/>
  <c r="E44" i="17"/>
  <c r="F44" i="17"/>
  <c r="C44" i="17"/>
  <c r="F43" i="17"/>
  <c r="E43" i="17"/>
  <c r="F42" i="17"/>
  <c r="E42" i="17"/>
  <c r="D36" i="17"/>
  <c r="E36" i="17"/>
  <c r="F36" i="17"/>
  <c r="C36" i="17"/>
  <c r="D35" i="17"/>
  <c r="D37" i="17"/>
  <c r="C35" i="17"/>
  <c r="D30" i="17"/>
  <c r="D31" i="17"/>
  <c r="C30" i="17"/>
  <c r="C31" i="17"/>
  <c r="D29" i="17"/>
  <c r="E29" i="17"/>
  <c r="F29" i="17"/>
  <c r="C29" i="17"/>
  <c r="F28" i="17"/>
  <c r="E28" i="17"/>
  <c r="F27" i="17"/>
  <c r="E27" i="17"/>
  <c r="D24" i="17"/>
  <c r="E24" i="17"/>
  <c r="F24" i="17"/>
  <c r="C24" i="17"/>
  <c r="D23" i="17"/>
  <c r="E23" i="17"/>
  <c r="F23" i="17"/>
  <c r="C23" i="17"/>
  <c r="F22" i="17"/>
  <c r="E22" i="17"/>
  <c r="D20" i="17"/>
  <c r="E20" i="17"/>
  <c r="F20" i="17"/>
  <c r="C20" i="17"/>
  <c r="F19" i="17"/>
  <c r="E19" i="17"/>
  <c r="F18" i="17"/>
  <c r="E18" i="17"/>
  <c r="D17" i="17"/>
  <c r="E17" i="17"/>
  <c r="F17" i="17"/>
  <c r="C17" i="17"/>
  <c r="F16" i="17"/>
  <c r="E16" i="17"/>
  <c r="F15" i="17"/>
  <c r="E15" i="17"/>
  <c r="D23" i="16"/>
  <c r="E23" i="16"/>
  <c r="F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F92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D47" i="12"/>
  <c r="E47" i="12"/>
  <c r="F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F61" i="11"/>
  <c r="D61" i="11"/>
  <c r="D65" i="11"/>
  <c r="C61" i="11"/>
  <c r="C65" i="11"/>
  <c r="F60" i="11"/>
  <c r="E60" i="11"/>
  <c r="F59" i="11"/>
  <c r="E59" i="11"/>
  <c r="D56" i="11"/>
  <c r="D75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C120" i="10"/>
  <c r="F120" i="10"/>
  <c r="D119" i="10"/>
  <c r="C119" i="10"/>
  <c r="F119" i="10"/>
  <c r="D118" i="10"/>
  <c r="C118" i="10"/>
  <c r="F118" i="10"/>
  <c r="D117" i="10"/>
  <c r="C117" i="10"/>
  <c r="F117" i="10"/>
  <c r="D116" i="10"/>
  <c r="C116" i="10"/>
  <c r="F116" i="10"/>
  <c r="D115" i="10"/>
  <c r="C115" i="10"/>
  <c r="F115" i="10"/>
  <c r="D114" i="10"/>
  <c r="C114" i="10"/>
  <c r="F114" i="10"/>
  <c r="D113" i="10"/>
  <c r="D122" i="10"/>
  <c r="C113" i="10"/>
  <c r="F113" i="10"/>
  <c r="D112" i="10"/>
  <c r="D121" i="10"/>
  <c r="C112" i="10"/>
  <c r="F112" i="10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D193" i="9"/>
  <c r="E193" i="9"/>
  <c r="F193" i="9"/>
  <c r="C193" i="9"/>
  <c r="D192" i="9"/>
  <c r="E192" i="9"/>
  <c r="F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F154" i="9"/>
  <c r="C154" i="9"/>
  <c r="D153" i="9"/>
  <c r="E153" i="9"/>
  <c r="F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F37" i="9"/>
  <c r="C37" i="9"/>
  <c r="D36" i="9"/>
  <c r="E36" i="9"/>
  <c r="F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C147" i="8"/>
  <c r="E145" i="8"/>
  <c r="D145" i="8"/>
  <c r="C145" i="8"/>
  <c r="E144" i="8"/>
  <c r="D144" i="8"/>
  <c r="C144" i="8"/>
  <c r="E143" i="8"/>
  <c r="E149" i="8"/>
  <c r="D143" i="8"/>
  <c r="D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D95" i="8"/>
  <c r="C95" i="8"/>
  <c r="E94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9" i="8"/>
  <c r="D79" i="8"/>
  <c r="C79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13" i="8"/>
  <c r="E25" i="8"/>
  <c r="E27" i="8"/>
  <c r="D13" i="8"/>
  <c r="D25" i="8"/>
  <c r="D27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C48" i="5"/>
  <c r="F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F61" i="4"/>
  <c r="D61" i="4"/>
  <c r="D65" i="4"/>
  <c r="C61" i="4"/>
  <c r="C65" i="4"/>
  <c r="F60" i="4"/>
  <c r="E60" i="4"/>
  <c r="F59" i="4"/>
  <c r="E59" i="4"/>
  <c r="D56" i="4"/>
  <c r="D75" i="4"/>
  <c r="C56" i="4"/>
  <c r="C75" i="4"/>
  <c r="F55" i="4"/>
  <c r="E55" i="4"/>
  <c r="E54" i="4"/>
  <c r="F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11" i="22"/>
  <c r="D108" i="22"/>
  <c r="D109" i="22"/>
  <c r="C109" i="22"/>
  <c r="C108" i="22"/>
  <c r="E109" i="22"/>
  <c r="E108" i="22"/>
  <c r="E103" i="22"/>
  <c r="D22" i="22"/>
  <c r="C30" i="22"/>
  <c r="E30" i="22"/>
  <c r="D33" i="22"/>
  <c r="C34" i="22"/>
  <c r="E34" i="22"/>
  <c r="C36" i="22"/>
  <c r="E36" i="22"/>
  <c r="C40" i="22"/>
  <c r="E40" i="22"/>
  <c r="C46" i="22"/>
  <c r="E46" i="22"/>
  <c r="C54" i="22"/>
  <c r="E54" i="22"/>
  <c r="D101" i="22"/>
  <c r="D103" i="22"/>
  <c r="C102" i="22"/>
  <c r="C103" i="22"/>
  <c r="E102" i="22"/>
  <c r="D192" i="17"/>
  <c r="C22" i="22"/>
  <c r="E22" i="22"/>
  <c r="D23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85" i="17"/>
  <c r="F85" i="17"/>
  <c r="E129" i="17"/>
  <c r="E130" i="17"/>
  <c r="F130" i="17"/>
  <c r="E135" i="17"/>
  <c r="C22" i="19"/>
  <c r="E294" i="17"/>
  <c r="E295" i="17"/>
  <c r="E296" i="17"/>
  <c r="E297" i="17"/>
  <c r="E298" i="17"/>
  <c r="E299" i="17"/>
  <c r="E94" i="17"/>
  <c r="E95" i="17"/>
  <c r="F95" i="17"/>
  <c r="E100" i="17"/>
  <c r="E110" i="17"/>
  <c r="F110" i="17"/>
  <c r="E120" i="17"/>
  <c r="C283" i="18"/>
  <c r="E21" i="18"/>
  <c r="D22" i="18"/>
  <c r="C44" i="18"/>
  <c r="E55" i="18"/>
  <c r="D66" i="18"/>
  <c r="E163" i="18"/>
  <c r="E240" i="18"/>
  <c r="E283" i="18"/>
  <c r="C33" i="18"/>
  <c r="E32" i="18"/>
  <c r="D43" i="18"/>
  <c r="D44" i="18"/>
  <c r="E54" i="18"/>
  <c r="C289" i="18"/>
  <c r="C71" i="18"/>
  <c r="C76" i="18"/>
  <c r="C65" i="18"/>
  <c r="C66" i="18"/>
  <c r="E60" i="18"/>
  <c r="E70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57" i="18"/>
  <c r="E157" i="18"/>
  <c r="E156" i="18"/>
  <c r="E175" i="18"/>
  <c r="E289" i="18"/>
  <c r="C144" i="18"/>
  <c r="E144" i="18"/>
  <c r="D145" i="18"/>
  <c r="E151" i="18"/>
  <c r="C175" i="18"/>
  <c r="D180" i="18"/>
  <c r="C261" i="18"/>
  <c r="C189" i="18"/>
  <c r="E188" i="18"/>
  <c r="D260" i="18"/>
  <c r="E195" i="18"/>
  <c r="D211" i="18"/>
  <c r="E210" i="18"/>
  <c r="D217" i="18"/>
  <c r="C253" i="18"/>
  <c r="E233" i="18"/>
  <c r="D239" i="18"/>
  <c r="E239" i="18"/>
  <c r="C242" i="18"/>
  <c r="E242" i="18"/>
  <c r="D243" i="18"/>
  <c r="E302" i="18"/>
  <c r="C303" i="18"/>
  <c r="C306" i="18"/>
  <c r="C310" i="18"/>
  <c r="E139" i="18"/>
  <c r="E261" i="18"/>
  <c r="E189" i="18"/>
  <c r="C234" i="18"/>
  <c r="E205" i="18"/>
  <c r="C211" i="18"/>
  <c r="C235" i="18"/>
  <c r="E216" i="18"/>
  <c r="C241" i="18"/>
  <c r="E218" i="18"/>
  <c r="C222" i="18"/>
  <c r="C246" i="18"/>
  <c r="C229" i="18"/>
  <c r="E229" i="18"/>
  <c r="E231" i="18"/>
  <c r="E253" i="18"/>
  <c r="D234" i="18"/>
  <c r="E234" i="18"/>
  <c r="E245" i="18"/>
  <c r="E303" i="18"/>
  <c r="D306" i="18"/>
  <c r="D320" i="18"/>
  <c r="E320" i="18"/>
  <c r="E316" i="18"/>
  <c r="E326" i="18"/>
  <c r="D330" i="18"/>
  <c r="E330" i="18"/>
  <c r="D222" i="18"/>
  <c r="C254" i="18"/>
  <c r="E265" i="18"/>
  <c r="E314" i="18"/>
  <c r="E301" i="18"/>
  <c r="E324" i="18"/>
  <c r="D32" i="17"/>
  <c r="E31" i="17"/>
  <c r="F31" i="17"/>
  <c r="D90" i="17"/>
  <c r="E90" i="17"/>
  <c r="E48" i="17"/>
  <c r="F48" i="17"/>
  <c r="D61" i="17"/>
  <c r="E60" i="17"/>
  <c r="F60" i="17"/>
  <c r="E68" i="17"/>
  <c r="F68" i="17"/>
  <c r="E77" i="17"/>
  <c r="E89" i="17"/>
  <c r="F89" i="17"/>
  <c r="C103" i="17"/>
  <c r="F111" i="17"/>
  <c r="E137" i="17"/>
  <c r="F137" i="17"/>
  <c r="D138" i="17"/>
  <c r="C32" i="17"/>
  <c r="C160" i="17"/>
  <c r="C90" i="17"/>
  <c r="C61" i="17"/>
  <c r="E102" i="17"/>
  <c r="F102" i="17"/>
  <c r="D103" i="17"/>
  <c r="E103" i="17"/>
  <c r="C207" i="17"/>
  <c r="C138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F94" i="17"/>
  <c r="F100" i="17"/>
  <c r="F120" i="17"/>
  <c r="D124" i="17"/>
  <c r="D125" i="17"/>
  <c r="F129" i="17"/>
  <c r="F135" i="17"/>
  <c r="E144" i="17"/>
  <c r="F144" i="17"/>
  <c r="F172" i="17"/>
  <c r="D277" i="17"/>
  <c r="D261" i="17"/>
  <c r="D214" i="17"/>
  <c r="D206" i="17"/>
  <c r="E206" i="17"/>
  <c r="D190" i="17"/>
  <c r="E188" i="17"/>
  <c r="F188" i="17"/>
  <c r="E227" i="17"/>
  <c r="F227" i="17"/>
  <c r="E239" i="17"/>
  <c r="D21" i="17"/>
  <c r="E88" i="17"/>
  <c r="F88" i="17"/>
  <c r="E101" i="17"/>
  <c r="F101" i="17"/>
  <c r="E109" i="17"/>
  <c r="F109" i="17"/>
  <c r="C193" i="17"/>
  <c r="C192" i="17"/>
  <c r="E192" i="17"/>
  <c r="E123" i="17"/>
  <c r="F123" i="17"/>
  <c r="C124" i="17"/>
  <c r="E136" i="17"/>
  <c r="F136" i="17"/>
  <c r="D146" i="17"/>
  <c r="E146" i="17"/>
  <c r="F146" i="17"/>
  <c r="D159" i="17"/>
  <c r="E159" i="17"/>
  <c r="D172" i="17"/>
  <c r="D181" i="17"/>
  <c r="E181" i="17"/>
  <c r="F239" i="17"/>
  <c r="C287" i="17"/>
  <c r="C284" i="17"/>
  <c r="C279" i="17"/>
  <c r="C288" i="17"/>
  <c r="E189" i="17"/>
  <c r="F189" i="17"/>
  <c r="C190" i="17"/>
  <c r="E191" i="17"/>
  <c r="F191" i="17"/>
  <c r="C199" i="17"/>
  <c r="C200" i="17"/>
  <c r="C286" i="17"/>
  <c r="C205" i="17"/>
  <c r="C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E278" i="17"/>
  <c r="F278" i="17"/>
  <c r="E280" i="17"/>
  <c r="F280" i="17"/>
  <c r="D193" i="17"/>
  <c r="D290" i="17"/>
  <c r="E290" i="17"/>
  <c r="F290" i="17"/>
  <c r="D274" i="17"/>
  <c r="D199" i="17"/>
  <c r="E199" i="17"/>
  <c r="D200" i="17"/>
  <c r="D283" i="17"/>
  <c r="D267" i="17"/>
  <c r="D285" i="17"/>
  <c r="E285" i="17"/>
  <c r="F285" i="17"/>
  <c r="D269" i="17"/>
  <c r="E269" i="17"/>
  <c r="D205" i="17"/>
  <c r="E205" i="17"/>
  <c r="D215" i="17"/>
  <c r="D262" i="17"/>
  <c r="D264" i="17"/>
  <c r="F294" i="17"/>
  <c r="F295" i="17"/>
  <c r="F296" i="17"/>
  <c r="F297" i="17"/>
  <c r="F298" i="17"/>
  <c r="F299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F17" i="12"/>
  <c r="C20" i="12"/>
  <c r="D20" i="12"/>
  <c r="E17" i="12"/>
  <c r="E15" i="12"/>
  <c r="F15" i="12"/>
  <c r="E43" i="11"/>
  <c r="E41" i="11"/>
  <c r="E75" i="11"/>
  <c r="E65" i="11"/>
  <c r="F43" i="11"/>
  <c r="F41" i="11"/>
  <c r="F75" i="11"/>
  <c r="F65" i="11"/>
  <c r="E22" i="11"/>
  <c r="F22" i="11"/>
  <c r="E38" i="11"/>
  <c r="F38" i="11"/>
  <c r="E56" i="11"/>
  <c r="F56" i="11"/>
  <c r="E61" i="11"/>
  <c r="E122" i="10"/>
  <c r="E23" i="10"/>
  <c r="E24" i="10"/>
  <c r="E35" i="10"/>
  <c r="E36" i="10"/>
  <c r="E59" i="10"/>
  <c r="E60" i="10"/>
  <c r="E71" i="10"/>
  <c r="E72" i="10"/>
  <c r="E84" i="10"/>
  <c r="E95" i="10"/>
  <c r="E96" i="10"/>
  <c r="E108" i="10"/>
  <c r="E113" i="10"/>
  <c r="E114" i="10"/>
  <c r="C122" i="10"/>
  <c r="F122" i="10"/>
  <c r="E47" i="10"/>
  <c r="E48" i="10"/>
  <c r="E83" i="10"/>
  <c r="E107" i="10"/>
  <c r="E112" i="10"/>
  <c r="E115" i="10"/>
  <c r="E116" i="10"/>
  <c r="E117" i="10"/>
  <c r="E118" i="10"/>
  <c r="E119" i="10"/>
  <c r="E120" i="10"/>
  <c r="C121" i="10"/>
  <c r="F121" i="10"/>
  <c r="F207" i="9"/>
  <c r="F208" i="9"/>
  <c r="E198" i="9"/>
  <c r="F198" i="9"/>
  <c r="E199" i="9"/>
  <c r="F199" i="9"/>
  <c r="D21" i="8"/>
  <c r="C140" i="8"/>
  <c r="C138" i="8"/>
  <c r="C136" i="8"/>
  <c r="C139" i="8"/>
  <c r="C137" i="8"/>
  <c r="C135" i="8"/>
  <c r="E140" i="8"/>
  <c r="E138" i="8"/>
  <c r="E136" i="8"/>
  <c r="E139" i="8"/>
  <c r="E137" i="8"/>
  <c r="E135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C21" i="8"/>
  <c r="E21" i="8"/>
  <c r="D139" i="8"/>
  <c r="D137" i="8"/>
  <c r="D135" i="8"/>
  <c r="D140" i="8"/>
  <c r="D138" i="8"/>
  <c r="D136" i="8"/>
  <c r="D156" i="8"/>
  <c r="D154" i="8"/>
  <c r="D152" i="8"/>
  <c r="D157" i="8"/>
  <c r="D155" i="8"/>
  <c r="D153" i="8"/>
  <c r="D15" i="8"/>
  <c r="C43" i="8"/>
  <c r="E43" i="8"/>
  <c r="D49" i="8"/>
  <c r="C53" i="8"/>
  <c r="E53" i="8"/>
  <c r="D57" i="8"/>
  <c r="D62" i="8"/>
  <c r="D77" i="8"/>
  <c r="D71" i="8"/>
  <c r="C15" i="8"/>
  <c r="E15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E95" i="6"/>
  <c r="F179" i="6"/>
  <c r="F95" i="6"/>
  <c r="E41" i="6"/>
  <c r="F41" i="6"/>
  <c r="E84" i="6"/>
  <c r="F84" i="6"/>
  <c r="D21" i="5"/>
  <c r="E18" i="5"/>
  <c r="F18" i="5"/>
  <c r="C21" i="5"/>
  <c r="E16" i="5"/>
  <c r="F16" i="5"/>
  <c r="F43" i="4"/>
  <c r="E43" i="4"/>
  <c r="E41" i="4"/>
  <c r="E75" i="4"/>
  <c r="E65" i="4"/>
  <c r="F73" i="4"/>
  <c r="F41" i="4"/>
  <c r="F75" i="4"/>
  <c r="F65" i="4"/>
  <c r="E22" i="4"/>
  <c r="F22" i="4"/>
  <c r="E38" i="4"/>
  <c r="F38" i="4"/>
  <c r="E56" i="4"/>
  <c r="F56" i="4"/>
  <c r="E61" i="4"/>
  <c r="D54" i="22"/>
  <c r="D46" i="22"/>
  <c r="D40" i="22"/>
  <c r="D36" i="22"/>
  <c r="D30" i="22"/>
  <c r="D111" i="22"/>
  <c r="C53" i="22"/>
  <c r="C45" i="22"/>
  <c r="C39" i="22"/>
  <c r="C35" i="22"/>
  <c r="C29" i="22"/>
  <c r="C110" i="22"/>
  <c r="E113" i="22"/>
  <c r="E56" i="22"/>
  <c r="E48" i="22"/>
  <c r="E38" i="22"/>
  <c r="D110" i="22"/>
  <c r="D53" i="22"/>
  <c r="D45" i="22"/>
  <c r="D39" i="22"/>
  <c r="D35" i="22"/>
  <c r="D29" i="22"/>
  <c r="E53" i="22"/>
  <c r="E45" i="22"/>
  <c r="E39" i="22"/>
  <c r="E35" i="22"/>
  <c r="E29" i="22"/>
  <c r="E110" i="22"/>
  <c r="C113" i="22"/>
  <c r="C56" i="22"/>
  <c r="C48" i="22"/>
  <c r="C38" i="22"/>
  <c r="F39" i="20"/>
  <c r="F43" i="20"/>
  <c r="E46" i="20"/>
  <c r="F46" i="20"/>
  <c r="F41" i="20"/>
  <c r="E76" i="18"/>
  <c r="C259" i="18"/>
  <c r="C263" i="18"/>
  <c r="C77" i="18"/>
  <c r="D258" i="18"/>
  <c r="D101" i="18"/>
  <c r="D99" i="18"/>
  <c r="D97" i="18"/>
  <c r="D95" i="18"/>
  <c r="D100" i="18"/>
  <c r="D98" i="18"/>
  <c r="D96" i="18"/>
  <c r="D89" i="18"/>
  <c r="D87" i="18"/>
  <c r="D85" i="18"/>
  <c r="D83" i="18"/>
  <c r="D86" i="18"/>
  <c r="E44" i="18"/>
  <c r="D88" i="18"/>
  <c r="D84" i="18"/>
  <c r="C223" i="18"/>
  <c r="C247" i="18"/>
  <c r="E306" i="18"/>
  <c r="D310" i="18"/>
  <c r="E310" i="18"/>
  <c r="D252" i="18"/>
  <c r="E243" i="18"/>
  <c r="D181" i="18"/>
  <c r="D169" i="18"/>
  <c r="C180" i="18"/>
  <c r="C145" i="18"/>
  <c r="E145" i="18"/>
  <c r="C168" i="18"/>
  <c r="E168" i="18"/>
  <c r="D116" i="18"/>
  <c r="C294" i="18"/>
  <c r="E294" i="18"/>
  <c r="E71" i="18"/>
  <c r="E66" i="18"/>
  <c r="C258" i="18"/>
  <c r="C100" i="18"/>
  <c r="C98" i="18"/>
  <c r="C96" i="18"/>
  <c r="C102" i="18"/>
  <c r="C101" i="18"/>
  <c r="C99" i="18"/>
  <c r="C97" i="18"/>
  <c r="C95" i="18"/>
  <c r="C103" i="18"/>
  <c r="C88" i="18"/>
  <c r="C86" i="18"/>
  <c r="C84" i="18"/>
  <c r="C89" i="18"/>
  <c r="C85" i="18"/>
  <c r="C87" i="18"/>
  <c r="C83" i="18"/>
  <c r="D295" i="18"/>
  <c r="E295" i="18"/>
  <c r="D284" i="18"/>
  <c r="E284" i="18"/>
  <c r="E22" i="18"/>
  <c r="D246" i="18"/>
  <c r="E246" i="18"/>
  <c r="D223" i="18"/>
  <c r="E222" i="18"/>
  <c r="E217" i="18"/>
  <c r="D241" i="18"/>
  <c r="E241" i="18"/>
  <c r="D235" i="18"/>
  <c r="E235" i="18"/>
  <c r="E211" i="18"/>
  <c r="E260" i="18"/>
  <c r="E180" i="18"/>
  <c r="D117" i="18"/>
  <c r="D128" i="18"/>
  <c r="D129" i="18"/>
  <c r="D259" i="18"/>
  <c r="E43" i="18"/>
  <c r="C295" i="18"/>
  <c r="E65" i="18"/>
  <c r="E33" i="18"/>
  <c r="D300" i="17"/>
  <c r="E300" i="17"/>
  <c r="E264" i="17"/>
  <c r="E283" i="17"/>
  <c r="F283" i="17"/>
  <c r="D286" i="17"/>
  <c r="E286" i="17"/>
  <c r="F286" i="17"/>
  <c r="D288" i="17"/>
  <c r="E288" i="17"/>
  <c r="F288" i="17"/>
  <c r="D272" i="17"/>
  <c r="E262" i="17"/>
  <c r="D255" i="17"/>
  <c r="E255" i="17"/>
  <c r="F255" i="17"/>
  <c r="E215" i="17"/>
  <c r="F215" i="17"/>
  <c r="D270" i="17"/>
  <c r="E267" i="17"/>
  <c r="E200" i="17"/>
  <c r="E274" i="17"/>
  <c r="F274" i="17"/>
  <c r="D194" i="17"/>
  <c r="D196" i="17"/>
  <c r="E193" i="17"/>
  <c r="F269" i="17"/>
  <c r="C300" i="17"/>
  <c r="F264" i="17"/>
  <c r="C271" i="17"/>
  <c r="C268" i="17"/>
  <c r="C263" i="17"/>
  <c r="F206" i="17"/>
  <c r="F199" i="17"/>
  <c r="C291" i="17"/>
  <c r="C289" i="17"/>
  <c r="E172" i="17"/>
  <c r="D173" i="17"/>
  <c r="E173" i="17"/>
  <c r="F193" i="17"/>
  <c r="C194" i="17"/>
  <c r="C196" i="17"/>
  <c r="D161" i="17"/>
  <c r="D49" i="17"/>
  <c r="D126" i="17"/>
  <c r="D91" i="17"/>
  <c r="E21" i="17"/>
  <c r="F21" i="17"/>
  <c r="D282" i="17"/>
  <c r="E190" i="17"/>
  <c r="F190" i="17"/>
  <c r="D254" i="17"/>
  <c r="D216" i="17"/>
  <c r="E216" i="17"/>
  <c r="E214" i="17"/>
  <c r="F214" i="17"/>
  <c r="E277" i="17"/>
  <c r="F277" i="17"/>
  <c r="D287" i="17"/>
  <c r="D284" i="17"/>
  <c r="E284" i="17"/>
  <c r="F284" i="17"/>
  <c r="D279" i="17"/>
  <c r="E279" i="17"/>
  <c r="F279" i="17"/>
  <c r="C161" i="17"/>
  <c r="C126" i="17"/>
  <c r="C91" i="17"/>
  <c r="C49" i="17"/>
  <c r="C282" i="17"/>
  <c r="C208" i="17"/>
  <c r="F90" i="17"/>
  <c r="C210" i="17"/>
  <c r="C175" i="17"/>
  <c r="C140" i="17"/>
  <c r="C105" i="17"/>
  <c r="C62" i="17"/>
  <c r="E138" i="17"/>
  <c r="F138" i="17"/>
  <c r="D207" i="17"/>
  <c r="F103" i="17"/>
  <c r="F267" i="17"/>
  <c r="C270" i="17"/>
  <c r="F262" i="17"/>
  <c r="C272" i="17"/>
  <c r="C216" i="17"/>
  <c r="F205" i="17"/>
  <c r="F200" i="17"/>
  <c r="F192" i="17"/>
  <c r="D266" i="17"/>
  <c r="D265" i="17"/>
  <c r="D271" i="17"/>
  <c r="D268" i="17"/>
  <c r="E268" i="17"/>
  <c r="D263" i="17"/>
  <c r="E263" i="17"/>
  <c r="E261" i="17"/>
  <c r="F261" i="17"/>
  <c r="E124" i="17"/>
  <c r="F124" i="17"/>
  <c r="C266" i="17"/>
  <c r="C209" i="17"/>
  <c r="C174" i="17"/>
  <c r="C139" i="17"/>
  <c r="C104" i="17"/>
  <c r="C125" i="17"/>
  <c r="D174" i="17"/>
  <c r="E174" i="17"/>
  <c r="D139" i="17"/>
  <c r="E139" i="17"/>
  <c r="D104" i="17"/>
  <c r="E104" i="17"/>
  <c r="E61" i="17"/>
  <c r="F61" i="17"/>
  <c r="D160" i="17"/>
  <c r="E160" i="17"/>
  <c r="F160" i="17"/>
  <c r="E37" i="17"/>
  <c r="F37" i="17"/>
  <c r="D175" i="17"/>
  <c r="D62" i="17"/>
  <c r="D140" i="17"/>
  <c r="D105" i="17"/>
  <c r="E32" i="17"/>
  <c r="F3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E121" i="10"/>
  <c r="C24" i="8"/>
  <c r="C20" i="8"/>
  <c r="C17" i="8"/>
  <c r="D24" i="8"/>
  <c r="D20" i="8"/>
  <c r="D17" i="8"/>
  <c r="E24" i="8"/>
  <c r="E20" i="8"/>
  <c r="E17" i="8"/>
  <c r="E158" i="8"/>
  <c r="C158" i="8"/>
  <c r="E141" i="8"/>
  <c r="C141" i="8"/>
  <c r="D158" i="8"/>
  <c r="D141" i="8"/>
  <c r="D35" i="5"/>
  <c r="E21" i="5"/>
  <c r="F21" i="5"/>
  <c r="C35" i="5"/>
  <c r="D112" i="22"/>
  <c r="D55" i="22"/>
  <c r="D47" i="22"/>
  <c r="D37" i="22"/>
  <c r="E55" i="22"/>
  <c r="E47" i="22"/>
  <c r="E37" i="22"/>
  <c r="E112" i="22"/>
  <c r="C55" i="22"/>
  <c r="C47" i="22"/>
  <c r="C37" i="22"/>
  <c r="C112" i="22"/>
  <c r="D56" i="22"/>
  <c r="D48" i="22"/>
  <c r="D38" i="22"/>
  <c r="D113" i="22"/>
  <c r="D263" i="18"/>
  <c r="E263" i="18"/>
  <c r="E259" i="18"/>
  <c r="D131" i="18"/>
  <c r="C90" i="18"/>
  <c r="C91" i="18"/>
  <c r="C105" i="18"/>
  <c r="C264" i="18"/>
  <c r="C266" i="18"/>
  <c r="C267" i="18"/>
  <c r="E88" i="18"/>
  <c r="E86" i="18"/>
  <c r="E85" i="18"/>
  <c r="E89" i="18"/>
  <c r="E98" i="18"/>
  <c r="E95" i="18"/>
  <c r="E99" i="18"/>
  <c r="E258" i="18"/>
  <c r="D264" i="18"/>
  <c r="E223" i="18"/>
  <c r="D247" i="18"/>
  <c r="E247" i="18"/>
  <c r="C169" i="18"/>
  <c r="C181" i="18"/>
  <c r="E169" i="18"/>
  <c r="E181" i="18"/>
  <c r="D254" i="18"/>
  <c r="E254" i="18"/>
  <c r="E252" i="18"/>
  <c r="E84" i="18"/>
  <c r="D90" i="18"/>
  <c r="D91" i="18"/>
  <c r="E83" i="18"/>
  <c r="E87" i="18"/>
  <c r="E96" i="18"/>
  <c r="D102" i="18"/>
  <c r="E102" i="18"/>
  <c r="E100" i="18"/>
  <c r="E97" i="18"/>
  <c r="E101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4" i="18"/>
  <c r="E124" i="18"/>
  <c r="C122" i="18"/>
  <c r="C115" i="18"/>
  <c r="E115" i="18"/>
  <c r="C113" i="18"/>
  <c r="E113" i="18"/>
  <c r="C111" i="18"/>
  <c r="E111" i="18"/>
  <c r="C109" i="18"/>
  <c r="E77" i="18"/>
  <c r="D197" i="17"/>
  <c r="E196" i="17"/>
  <c r="F196" i="17"/>
  <c r="E175" i="17"/>
  <c r="F175" i="17"/>
  <c r="D176" i="17"/>
  <c r="E105" i="17"/>
  <c r="D106" i="17"/>
  <c r="D63" i="17"/>
  <c r="E62" i="17"/>
  <c r="F62" i="17"/>
  <c r="F104" i="17"/>
  <c r="F174" i="17"/>
  <c r="D304" i="17"/>
  <c r="D273" i="17"/>
  <c r="E271" i="17"/>
  <c r="F216" i="17"/>
  <c r="D208" i="17"/>
  <c r="E207" i="17"/>
  <c r="F207" i="17"/>
  <c r="C63" i="17"/>
  <c r="C106" i="17"/>
  <c r="F105" i="17"/>
  <c r="C176" i="17"/>
  <c r="F176" i="17"/>
  <c r="C281" i="17"/>
  <c r="C127" i="17"/>
  <c r="E287" i="17"/>
  <c r="F287" i="17"/>
  <c r="D291" i="17"/>
  <c r="D289" i="17"/>
  <c r="E289" i="17"/>
  <c r="F289" i="17"/>
  <c r="E254" i="17"/>
  <c r="F254" i="17"/>
  <c r="E282" i="17"/>
  <c r="F282" i="17"/>
  <c r="D281" i="17"/>
  <c r="E91" i="17"/>
  <c r="D92" i="17"/>
  <c r="D50" i="17"/>
  <c r="E49" i="17"/>
  <c r="F263" i="17"/>
  <c r="F271" i="17"/>
  <c r="C273" i="17"/>
  <c r="C265" i="17"/>
  <c r="F300" i="17"/>
  <c r="E125" i="17"/>
  <c r="F125" i="17"/>
  <c r="E140" i="17"/>
  <c r="D141" i="17"/>
  <c r="F139" i="17"/>
  <c r="E266" i="17"/>
  <c r="F266" i="17"/>
  <c r="C141" i="17"/>
  <c r="F140" i="17"/>
  <c r="F49" i="17"/>
  <c r="C50" i="17"/>
  <c r="C92" i="17"/>
  <c r="F91" i="17"/>
  <c r="C162" i="17"/>
  <c r="F161" i="17"/>
  <c r="E126" i="17"/>
  <c r="F126" i="17"/>
  <c r="D127" i="17"/>
  <c r="E161" i="17"/>
  <c r="D162" i="17"/>
  <c r="C195" i="17"/>
  <c r="C305" i="17"/>
  <c r="F268" i="17"/>
  <c r="E194" i="17"/>
  <c r="F194" i="17"/>
  <c r="D195" i="17"/>
  <c r="E270" i="17"/>
  <c r="F270" i="17"/>
  <c r="E272" i="17"/>
  <c r="F272" i="17"/>
  <c r="D70" i="13"/>
  <c r="D72" i="13"/>
  <c r="D69" i="13"/>
  <c r="D22" i="13"/>
  <c r="D42" i="12"/>
  <c r="E34" i="12"/>
  <c r="F34" i="12"/>
  <c r="C42" i="12"/>
  <c r="E112" i="8"/>
  <c r="E111" i="8"/>
  <c r="E28" i="8"/>
  <c r="D28" i="8"/>
  <c r="D112" i="8"/>
  <c r="D111" i="8"/>
  <c r="C112" i="8"/>
  <c r="C111" i="8"/>
  <c r="C28" i="8"/>
  <c r="D43" i="5"/>
  <c r="E35" i="5"/>
  <c r="F35" i="5"/>
  <c r="C43" i="5"/>
  <c r="E109" i="18"/>
  <c r="C128" i="18"/>
  <c r="E128" i="18"/>
  <c r="E122" i="18"/>
  <c r="C129" i="18"/>
  <c r="E129" i="18"/>
  <c r="E121" i="18"/>
  <c r="E90" i="18"/>
  <c r="D103" i="18"/>
  <c r="E103" i="18"/>
  <c r="C116" i="18"/>
  <c r="E116" i="18"/>
  <c r="E110" i="18"/>
  <c r="E91" i="18"/>
  <c r="D105" i="18"/>
  <c r="E105" i="18"/>
  <c r="E264" i="18"/>
  <c r="D266" i="18"/>
  <c r="C269" i="18"/>
  <c r="C268" i="18"/>
  <c r="C271" i="18"/>
  <c r="D148" i="17"/>
  <c r="E127" i="17"/>
  <c r="C322" i="17"/>
  <c r="C211" i="17"/>
  <c r="D322" i="17"/>
  <c r="E322" i="17"/>
  <c r="E141" i="17"/>
  <c r="F141" i="17"/>
  <c r="E195" i="17"/>
  <c r="F195" i="17"/>
  <c r="C309" i="17"/>
  <c r="C323" i="17"/>
  <c r="F323" i="17"/>
  <c r="C183" i="17"/>
  <c r="F183" i="17"/>
  <c r="F162" i="17"/>
  <c r="C324" i="17"/>
  <c r="C113" i="17"/>
  <c r="D324" i="17"/>
  <c r="E92" i="17"/>
  <c r="F92" i="17"/>
  <c r="D113" i="17"/>
  <c r="E113" i="17"/>
  <c r="E281" i="17"/>
  <c r="C197" i="17"/>
  <c r="C148" i="17"/>
  <c r="F127" i="17"/>
  <c r="E273" i="17"/>
  <c r="F273" i="17"/>
  <c r="E63" i="17"/>
  <c r="F63" i="17"/>
  <c r="E176" i="17"/>
  <c r="D323" i="17"/>
  <c r="E323" i="17"/>
  <c r="E162" i="17"/>
  <c r="D183" i="17"/>
  <c r="C70" i="17"/>
  <c r="D70" i="17"/>
  <c r="E70" i="17"/>
  <c r="E50" i="17"/>
  <c r="F50" i="17"/>
  <c r="E291" i="17"/>
  <c r="F291" i="17"/>
  <c r="D305" i="17"/>
  <c r="F281" i="17"/>
  <c r="E208" i="17"/>
  <c r="F208" i="17"/>
  <c r="D210" i="17"/>
  <c r="D209" i="17"/>
  <c r="E209" i="17"/>
  <c r="F209" i="17"/>
  <c r="E304" i="17"/>
  <c r="F304" i="17"/>
  <c r="E106" i="17"/>
  <c r="F106" i="17"/>
  <c r="E197" i="17"/>
  <c r="E265" i="17"/>
  <c r="F265" i="17"/>
  <c r="D49" i="12"/>
  <c r="E49" i="12"/>
  <c r="E42" i="12"/>
  <c r="F42" i="12"/>
  <c r="C49" i="12"/>
  <c r="D99" i="8"/>
  <c r="D101" i="8"/>
  <c r="D98" i="8"/>
  <c r="D22" i="8"/>
  <c r="C99" i="8"/>
  <c r="C101" i="8"/>
  <c r="C98" i="8"/>
  <c r="C22" i="8"/>
  <c r="E99" i="8"/>
  <c r="E101" i="8"/>
  <c r="E98" i="8"/>
  <c r="E22" i="8"/>
  <c r="D50" i="5"/>
  <c r="E50" i="5"/>
  <c r="E43" i="5"/>
  <c r="F43" i="5"/>
  <c r="C50" i="5"/>
  <c r="E266" i="18"/>
  <c r="D267" i="18"/>
  <c r="C117" i="18"/>
  <c r="F70" i="17"/>
  <c r="E183" i="17"/>
  <c r="F113" i="17"/>
  <c r="C310" i="17"/>
  <c r="F322" i="17"/>
  <c r="E148" i="17"/>
  <c r="F148" i="17"/>
  <c r="D211" i="17"/>
  <c r="E211" i="17"/>
  <c r="F211" i="17"/>
  <c r="E210" i="17"/>
  <c r="F210" i="17"/>
  <c r="D309" i="17"/>
  <c r="E305" i="17"/>
  <c r="F305" i="17"/>
  <c r="F197" i="17"/>
  <c r="D325" i="17"/>
  <c r="E324" i="17"/>
  <c r="F324" i="17"/>
  <c r="C325" i="17"/>
  <c r="F49" i="12"/>
  <c r="F50" i="5"/>
  <c r="C131" i="18"/>
  <c r="E131" i="18"/>
  <c r="E117" i="18"/>
  <c r="D269" i="18"/>
  <c r="E269" i="18"/>
  <c r="E267" i="18"/>
  <c r="D268" i="18"/>
  <c r="E309" i="17"/>
  <c r="F309" i="17"/>
  <c r="D310" i="17"/>
  <c r="E325" i="17"/>
  <c r="F325" i="17"/>
  <c r="C312" i="17"/>
  <c r="D271" i="18"/>
  <c r="E271" i="18"/>
  <c r="E268" i="18"/>
  <c r="D312" i="17"/>
  <c r="E310" i="17"/>
  <c r="F310" i="17"/>
  <c r="C313" i="17"/>
  <c r="C314" i="17"/>
  <c r="C251" i="17"/>
  <c r="C256" i="17"/>
  <c r="C315" i="17"/>
  <c r="E312" i="17"/>
  <c r="F312" i="17"/>
  <c r="D313" i="17"/>
  <c r="D315" i="17"/>
  <c r="E315" i="17"/>
  <c r="F315" i="17"/>
  <c r="D314" i="17"/>
  <c r="E313" i="17"/>
  <c r="F313" i="17"/>
  <c r="D251" i="17"/>
  <c r="E251" i="17"/>
  <c r="D256" i="17"/>
  <c r="F251" i="17"/>
  <c r="C257" i="17"/>
  <c r="C318" i="17"/>
  <c r="D318" i="17"/>
  <c r="E318" i="17"/>
  <c r="F318" i="17"/>
  <c r="E314" i="17"/>
  <c r="F314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<sst xmlns="http://schemas.openxmlformats.org/spreadsheetml/2006/main" count="2335" uniqueCount="1010">
  <si>
    <t>JOHNSON MEMORIAL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</si>
  <si>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</si>
  <si>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</si>
  <si>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</si>
  <si>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</si>
  <si>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</si>
  <si>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</si>
  <si>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</si>
  <si>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</si>
  <si>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</si>
  <si>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</si>
  <si>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</si>
  <si>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</si>
  <si>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</si>
  <si>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</si>
  <si>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</si>
  <si>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</si>
  <si>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</si>
  <si>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</si>
  <si>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</si>
  <si>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</si>
  <si>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</si>
  <si>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</si>
  <si>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</si>
  <si>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</si>
  <si>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</si>
  <si>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</si>
  <si>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</si>
  <si>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</si>
  <si>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</si>
  <si>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</si>
  <si>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</si>
  <si>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</si>
  <si>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</si>
  <si>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</si>
  <si>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</si>
  <si>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</si>
  <si>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</si>
  <si>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</si>
  <si>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</si>
  <si>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</si>
  <si>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</si>
  <si>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</si>
  <si>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</si>
  <si>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</si>
  <si>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</si>
  <si>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</si>
  <si>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</si>
  <si>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</si>
  <si>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</si>
  <si>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</si>
  <si>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</si>
  <si>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</si>
  <si>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</si>
  <si>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</si>
  <si>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</si>
  <si>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</si>
  <si>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</si>
  <si>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</si>
  <si>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</si>
  <si>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</si>
  <si>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</si>
  <si>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</si>
  <si>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</si>
  <si>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</si>
  <si>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</si>
  <si>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</si>
  <si>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</si>
  <si>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</si>
  <si>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</si>
  <si>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</si>
  <si>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</si>
  <si>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</si>
  <si>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</si>
  <si>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</si>
  <si>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</si>
  <si>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</si>
  <si>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</si>
  <si>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</si>
  <si>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</si>
  <si>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</si>
  <si>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</si>
  <si>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</si>
  <si>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</si>
  <si>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</si>
  <si>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</si>
  <si>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</si>
  <si>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</si>
  <si>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</si>
  <si>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</si>
  <si>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</si>
  <si>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</si>
  <si>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</si>
  <si>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</si>
  <si>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</si>
  <si>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</si>
  <si>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</si>
  <si>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</si>
  <si>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</si>
  <si>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</si>
  <si>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</si>
  <si>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</si>
  <si>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</si>
  <si>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</si>
  <si>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</si>
  <si>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</si>
  <si>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</si>
  <si>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</si>
  <si>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</si>
  <si>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</si>
  <si>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</si>
  <si>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</si>
  <si>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</si>
  <si>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</si>
  <si>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</si>
  <si>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</si>
  <si>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</si>
  <si>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</si>
  <si>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</si>
  <si>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</si>
  <si>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</si>
  <si>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</si>
  <si>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</si>
  <si>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</si>
  <si>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</si>
  <si>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</si>
  <si>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</si>
  <si>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</si>
  <si>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</si>
  <si>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</si>
  <si>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</si>
  <si>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</si>
  <si>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</si>
  <si>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</si>
  <si>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</si>
  <si>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</si>
  <si>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</si>
  <si>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</si>
  <si>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</si>
  <si>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</si>
  <si>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</si>
  <si>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</si>
  <si>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</si>
  <si>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</si>
  <si>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</si>
  <si>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</si>
  <si>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</si>
  <si>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</si>
  <si>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</si>
  <si>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</si>
  <si>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</si>
  <si>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</si>
  <si>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</si>
  <si>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</si>
  <si>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</si>
  <si>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</si>
  <si>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</si>
  <si>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</si>
  <si>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</si>
  <si>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</si>
  <si>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</si>
  <si>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</si>
  <si>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</si>
  <si>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</si>
  <si>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</si>
  <si>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</si>
  <si>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</si>
  <si>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</si>
  <si>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</si>
  <si>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</si>
  <si>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</si>
  <si>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</si>
  <si>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</si>
  <si>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</si>
  <si>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</si>
  <si>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</si>
  <si>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</si>
  <si>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</si>
  <si>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</si>
  <si>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</si>
  <si>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</si>
  <si>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</si>
  <si>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</si>
  <si>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</si>
  <si>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</si>
  <si>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</si>
  <si>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</si>
  <si>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</si>
  <si>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</si>
  <si>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</si>
  <si>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</si>
  <si>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</si>
  <si>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</si>
  <si>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</si>
  <si>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</si>
  <si>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</si>
  <si>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</si>
  <si>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</si>
  <si>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</si>
  <si>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</si>
  <si>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</si>
  <si>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</si>
  <si>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</si>
  <si>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</si>
  <si>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</si>
  <si>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</si>
  <si>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</si>
  <si>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</si>
  <si>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</si>
  <si>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</si>
  <si>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</si>
  <si>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</si>
  <si>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</si>
  <si>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</si>
  <si>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</si>
  <si>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</si>
  <si>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</si>
  <si>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</si>
  <si>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</si>
  <si>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</si>
  <si>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</si>
  <si>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</si>
  <si>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</si>
  <si>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</si>
  <si>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</si>
  <si>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</si>
  <si>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</si>
  <si>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</si>
  <si>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</si>
  <si>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</si>
  <si>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</si>
  <si>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</si>
  <si>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</si>
  <si>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</si>
  <si>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</si>
  <si>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</si>
  <si>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</si>
  <si>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</si>
  <si>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</si>
  <si>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</si>
  <si>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</si>
  <si>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</si>
  <si>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</si>
  <si>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</si>
  <si>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</si>
  <si>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</si>
  <si>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</si>
  <si>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</si>
  <si>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</si>
  <si>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</si>
  <si>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</si>
  <si>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</si>
  <si>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</si>
  <si>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</si>
  <si>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</si>
  <si>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</si>
  <si>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</si>
  <si>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</si>
  <si>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</si>
  <si>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</si>
  <si>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</si>
  <si>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</si>
  <si>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</si>
  <si>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</si>
  <si>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</si>
  <si>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</si>
  <si>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</si>
  <si>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</si>
  <si>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</si>
  <si>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</si>
  <si>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</si>
  <si>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</si>
  <si>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</si>
  <si>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</si>
  <si>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</si>
  <si>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</si>
  <si>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</si>
  <si>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</si>
  <si>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</si>
  <si>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</si>
  <si>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</si>
  <si>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</si>
  <si>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</si>
  <si>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</si>
  <si>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</si>
  <si>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</si>
  <si>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</si>
  <si>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</si>
  <si>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</si>
  <si>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</si>
  <si>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</si>
  <si>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</si>
  <si>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</si>
  <si>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</si>
  <si>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</si>
  <si>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</si>
  <si>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</si>
  <si>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</si>
  <si>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</si>
  <si>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</si>
  <si>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</si>
  <si>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</si>
  <si>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</si>
  <si>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</si>
  <si>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</si>
  <si>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</si>
  <si>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</si>
  <si>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</si>
  <si>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</si>
  <si>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</si>
  <si>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</si>
  <si>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</si>
  <si>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</si>
  <si>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</si>
  <si>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</si>
  <si>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</si>
  <si>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</si>
  <si>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</si>
  <si>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</si>
  <si>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</si>
  <si>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</si>
  <si>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</si>
  <si>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</si>
  <si>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</si>
  <si>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</si>
  <si>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</si>
  <si>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</si>
  <si>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</si>
  <si>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</si>
  <si>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</si>
  <si>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</si>
  <si>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</si>
  <si>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</si>
  <si>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</si>
  <si>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</si>
  <si>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</si>
  <si>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</si>
  <si>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</si>
  <si>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</si>
  <si>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</si>
  <si>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</si>
  <si>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</si>
  <si>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</si>
  <si>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</si>
  <si>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</si>
  <si>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</si>
  <si>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</si>
  <si>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</si>
  <si>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</si>
  <si>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</si>
  <si>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</si>
  <si>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</si>
  <si>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</si>
  <si>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</si>
  <si>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</si>
  <si>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</si>
  <si>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</si>
  <si>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</si>
  <si>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</si>
  <si>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</si>
  <si>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</si>
  <si>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</si>
  <si>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</si>
  <si>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</si>
  <si>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</si>
  <si>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</si>
  <si>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</si>
  <si>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</si>
  <si>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</si>
  <si>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</si>
  <si>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</si>
  <si>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</si>
  <si>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</si>
  <si>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</si>
  <si>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</si>
  <si>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</si>
  <si>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</si>
  <si>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</si>
  <si>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</si>
  <si>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</si>
  <si>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</si>
  <si>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</si>
  <si>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</si>
  <si>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</si>
  <si>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</si>
  <si>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</si>
  <si>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</si>
  <si>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</si>
  <si>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</si>
  <si>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</si>
  <si>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</si>
  <si>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</si>
  <si>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</si>
  <si>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</si>
  <si>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</si>
  <si>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</si>
  <si>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</si>
  <si>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</si>
  <si>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</si>
  <si>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</si>
  <si>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</si>
  <si>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</si>
  <si>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</si>
  <si>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</si>
  <si>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</si>
  <si>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</si>
  <si>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</si>
  <si>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</si>
  <si>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</si>
  <si>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</si>
  <si>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</si>
  <si>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</si>
  <si>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</si>
  <si>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</si>
  <si>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</si>
  <si>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</si>
  <si>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</si>
  <si>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</si>
  <si>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</si>
  <si>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</si>
  <si>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</si>
  <si>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</si>
  <si>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</si>
  <si>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</si>
  <si>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</si>
  <si>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</si>
  <si>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</si>
  <si>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</si>
  <si>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</si>
  <si>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</si>
  <si>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</si>
  <si>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</si>
  <si>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</si>
  <si>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</si>
  <si>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</si>
  <si>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</si>
  <si>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</si>
  <si>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</si>
  <si>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</si>
  <si>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</si>
  <si>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</si>
  <si>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</si>
  <si>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</si>
  <si>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</si>
  <si>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</si>
  <si>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</si>
  <si>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</si>
  <si>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</si>
  <si>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</si>
  <si>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</si>
  <si>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</si>
  <si>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</si>
  <si>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</si>
  <si>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</si>
  <si>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</si>
  <si>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</si>
  <si>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</si>
  <si>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</si>
  <si>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</si>
  <si>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</si>
  <si>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</si>
  <si>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</si>
  <si>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</si>
  <si>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</si>
  <si>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</si>
  <si>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</si>
  <si>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</si>
  <si>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</si>
  <si>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</si>
  <si>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</si>
  <si>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</si>
  <si>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</si>
  <si>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</si>
  <si>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</si>
  <si>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</si>
  <si>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</si>
  <si>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</si>
  <si>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</si>
  <si>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</si>
  <si>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</si>
  <si>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</si>
  <si>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</si>
  <si>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</si>
  <si>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</si>
  <si>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</si>
  <si>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</si>
  <si>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</si>
  <si>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</si>
  <si>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</si>
  <si>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</si>
  <si>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</si>
  <si>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</si>
  <si>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</si>
  <si>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</si>
  <si>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</si>
  <si>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</si>
  <si>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</si>
  <si>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</si>
  <si>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</si>
  <si>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</si>
  <si>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JOHNSON MEMORIAL MEDICAL CENTER,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</si>
  <si>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</si>
  <si>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</si>
  <si>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</si>
  <si>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</si>
  <si>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</si>
  <si>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</si>
  <si>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</si>
  <si>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</si>
  <si>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</si>
  <si>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</si>
  <si>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</si>
  <si>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</si>
  <si>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</si>
  <si>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</si>
  <si>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</si>
  <si>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</si>
  <si>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</si>
  <si>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</si>
  <si>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</si>
  <si>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</si>
  <si>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</si>
  <si>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</si>
  <si>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</si>
  <si>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</si>
  <si>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</si>
  <si>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</si>
  <si>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</si>
  <si>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</si>
  <si>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</si>
  <si>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</si>
  <si>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</si>
  <si>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</si>
  <si>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</si>
  <si>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</si>
  <si>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</si>
  <si>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</si>
  <si>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</si>
  <si>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</si>
  <si>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</si>
  <si>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</si>
  <si>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</si>
  <si>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</si>
  <si>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</si>
  <si>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</si>
  <si>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</si>
  <si>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</si>
  <si>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</si>
  <si>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</si>
  <si>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</si>
  <si>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</si>
  <si>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</si>
  <si>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</si>
  <si>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</si>
  <si>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</si>
  <si>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</si>
  <si>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</si>
  <si>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</si>
  <si>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</si>
  <si>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</si>
  <si>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</si>
  <si>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</si>
  <si>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</si>
  <si>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</si>
  <si>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</si>
  <si>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</si>
  <si>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</si>
  <si>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</si>
  <si>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</si>
  <si>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</si>
  <si>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</si>
  <si>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</si>
  <si>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</si>
  <si>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</si>
  <si>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</si>
  <si>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</si>
  <si>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</si>
  <si>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</si>
  <si>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</si>
  <si>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</si>
  <si>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</si>
  <si>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</si>
  <si>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</si>
  <si>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</si>
  <si>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</si>
  <si>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</si>
  <si>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</si>
  <si>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</si>
  <si>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</si>
  <si>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</si>
  <si>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</si>
  <si>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</si>
  <si>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</si>
  <si>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</si>
  <si>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</si>
  <si>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</si>
  <si>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</si>
  <si>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</si>
  <si>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</si>
  <si>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</si>
  <si>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</si>
  <si>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</si>
  <si>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</si>
  <si>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</si>
  <si>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</si>
  <si>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</si>
  <si>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</si>
  <si>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</si>
  <si>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</si>
  <si>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</si>
  <si>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</si>
  <si>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</si>
  <si>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</si>
  <si>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</si>
  <si>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</si>
  <si>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</si>
  <si>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</si>
  <si>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</si>
  <si>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</si>
  <si>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</si>
  <si>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</si>
  <si>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</si>
  <si>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</si>
  <si>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>Total Outpatient Surgical Procedures(A)</t>
  </si>
  <si>
    <t>Offsite Surgical Department - Enfield, CT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</si>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</sst>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188181</v>
      </c>
      <c r="D13" s="22">
        <v>444722</v>
      </c>
      <c r="E13" s="22">
        <f t="shared" ref="E13:E22" si="0">D13-C13</f>
        <v>256541</v>
      </c>
      <c r="F13" s="23">
        <f t="shared" ref="F13:F22" si="1">IF(C13=0,0,E13/C13)</f>
        <v>1.3632672799060479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7312397</v>
      </c>
      <c r="D15" s="22">
        <v>8595481</v>
      </c>
      <c r="E15" s="22">
        <f t="shared" si="0"/>
        <v>1283084</v>
      </c>
      <c r="F15" s="23">
        <f t="shared" si="1"/>
        <v>0.17546695016695621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1317470</v>
      </c>
      <c r="D19" s="22">
        <v>1295797</v>
      </c>
      <c r="E19" s="22">
        <f t="shared" si="0"/>
        <v>-21673</v>
      </c>
      <c r="F19" s="23">
        <f t="shared" si="1"/>
        <v>-1.6450469460405171E-2</v>
      </c>
    </row>
    <row r="20" spans="1:11" ht="24" customHeight="1" x14ac:dyDescent="0.2">
      <c r="A20" s="20">
        <v>8</v>
      </c>
      <c r="B20" s="21" t="s">
        <v>23</v>
      </c>
      <c r="C20" s="22">
        <v>851435</v>
      </c>
      <c r="D20" s="22">
        <v>1653559</v>
      </c>
      <c r="E20" s="22">
        <f t="shared" si="0"/>
        <v>802124</v>
      </c>
      <c r="F20" s="23">
        <f t="shared" si="1"/>
        <v>0.94208483325209791</v>
      </c>
    </row>
    <row r="21" spans="1:11" ht="24" customHeight="1" x14ac:dyDescent="0.2">
      <c r="A21" s="20">
        <v>9</v>
      </c>
      <c r="B21" s="21" t="s">
        <v>24</v>
      </c>
      <c r="C21" s="22">
        <v>1688323</v>
      </c>
      <c r="D21" s="22">
        <v>580488</v>
      </c>
      <c r="E21" s="22">
        <f t="shared" si="0"/>
        <v>-1107835</v>
      </c>
      <c r="F21" s="23">
        <f t="shared" si="1"/>
        <v>-0.65617479593655959</v>
      </c>
    </row>
    <row r="22" spans="1:11" ht="24" customHeight="1" x14ac:dyDescent="0.25">
      <c r="A22" s="24"/>
      <c r="B22" s="25" t="s">
        <v>25</v>
      </c>
      <c r="C22" s="26">
        <f>SUM(C13:C21)</f>
        <v>11357806</v>
      </c>
      <c r="D22" s="26">
        <f>SUM(D13:D21)</f>
        <v>12570047</v>
      </c>
      <c r="E22" s="26">
        <f t="shared" si="0"/>
        <v>1212241</v>
      </c>
      <c r="F22" s="27">
        <f t="shared" si="1"/>
        <v>0.10673196918489364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3729727</v>
      </c>
      <c r="D25" s="22">
        <v>3793323</v>
      </c>
      <c r="E25" s="22">
        <f>D25-C25</f>
        <v>63596</v>
      </c>
      <c r="F25" s="23">
        <f>IF(C25=0,0,E25/C25)</f>
        <v>1.7051113928713817E-2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268338</v>
      </c>
      <c r="D27" s="22">
        <v>224048</v>
      </c>
      <c r="E27" s="22">
        <f>D27-C27</f>
        <v>-44290</v>
      </c>
      <c r="F27" s="23">
        <f>IF(C27=0,0,E27/C27)</f>
        <v>-0.16505303013363742</v>
      </c>
    </row>
    <row r="28" spans="1:11" ht="24" customHeight="1" x14ac:dyDescent="0.2">
      <c r="A28" s="20">
        <v>4</v>
      </c>
      <c r="B28" s="21" t="s">
        <v>31</v>
      </c>
      <c r="C28" s="22">
        <v>843587</v>
      </c>
      <c r="D28" s="22">
        <v>843587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4841652</v>
      </c>
      <c r="D29" s="26">
        <f>SUM(D25:D28)</f>
        <v>4860958</v>
      </c>
      <c r="E29" s="26">
        <f>D29-C29</f>
        <v>19306</v>
      </c>
      <c r="F29" s="27">
        <f>IF(C29=0,0,E29/C29)</f>
        <v>3.9874819586372583E-3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3165915</v>
      </c>
      <c r="D32" s="22">
        <v>3397937</v>
      </c>
      <c r="E32" s="22">
        <f>D32-C32</f>
        <v>232022</v>
      </c>
      <c r="F32" s="23">
        <f>IF(C32=0,0,E32/C32)</f>
        <v>7.3287501401648497E-2</v>
      </c>
    </row>
    <row r="33" spans="1:8" ht="24" customHeight="1" x14ac:dyDescent="0.2">
      <c r="A33" s="20">
        <v>7</v>
      </c>
      <c r="B33" s="21" t="s">
        <v>35</v>
      </c>
      <c r="C33" s="22">
        <v>5742650</v>
      </c>
      <c r="D33" s="22">
        <v>8261131</v>
      </c>
      <c r="E33" s="22">
        <f>D33-C33</f>
        <v>2518481</v>
      </c>
      <c r="F33" s="23">
        <f>IF(C33=0,0,E33/C33)</f>
        <v>0.4385572862702759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58937092</v>
      </c>
      <c r="D36" s="22">
        <v>60542187</v>
      </c>
      <c r="E36" s="22">
        <f>D36-C36</f>
        <v>1605095</v>
      </c>
      <c r="F36" s="23">
        <f>IF(C36=0,0,E36/C36)</f>
        <v>2.7234037946765342E-2</v>
      </c>
    </row>
    <row r="37" spans="1:8" ht="24" customHeight="1" x14ac:dyDescent="0.2">
      <c r="A37" s="20">
        <v>2</v>
      </c>
      <c r="B37" s="21" t="s">
        <v>39</v>
      </c>
      <c r="C37" s="22">
        <v>42014780</v>
      </c>
      <c r="D37" s="22">
        <v>44128525</v>
      </c>
      <c r="E37" s="22">
        <f>D37-C37</f>
        <v>2113745</v>
      </c>
      <c r="F37" s="23">
        <f>IF(C37=0,0,E37/C37)</f>
        <v>5.030955773182675E-2</v>
      </c>
    </row>
    <row r="38" spans="1:8" ht="24" customHeight="1" x14ac:dyDescent="0.25">
      <c r="A38" s="24"/>
      <c r="B38" s="25" t="s">
        <v>40</v>
      </c>
      <c r="C38" s="26">
        <f>C36-C37</f>
        <v>16922312</v>
      </c>
      <c r="D38" s="26">
        <f>D36-D37</f>
        <v>16413662</v>
      </c>
      <c r="E38" s="26">
        <f>D38-C38</f>
        <v>-508650</v>
      </c>
      <c r="F38" s="27">
        <f>IF(C38=0,0,E38/C38)</f>
        <v>-3.0057949528409594E-2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16922312</v>
      </c>
      <c r="D41" s="26">
        <f>+D38+D40</f>
        <v>16413662</v>
      </c>
      <c r="E41" s="26">
        <f>D41-C41</f>
        <v>-508650</v>
      </c>
      <c r="F41" s="27">
        <f>IF(C41=0,0,E41/C41)</f>
        <v>-3.0057949528409594E-2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42030335</v>
      </c>
      <c r="D43" s="26">
        <f>D22+D29+D31+D32+D33+D41</f>
        <v>45503735</v>
      </c>
      <c r="E43" s="26">
        <f>D43-C43</f>
        <v>3473400</v>
      </c>
      <c r="F43" s="27">
        <f>IF(C43=0,0,E43/C43)</f>
        <v>8.264031205080806E-2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4873903</v>
      </c>
      <c r="D49" s="22">
        <v>5855188</v>
      </c>
      <c r="E49" s="22">
        <f t="shared" ref="E49:E56" si="2">D49-C49</f>
        <v>981285</v>
      </c>
      <c r="F49" s="23">
        <f t="shared" ref="F49:F56" si="3">IF(C49=0,0,E49/C49)</f>
        <v>0.2013345362023003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1930115</v>
      </c>
      <c r="D50" s="22">
        <v>1753717</v>
      </c>
      <c r="E50" s="22">
        <f t="shared" si="2"/>
        <v>-176398</v>
      </c>
      <c r="F50" s="23">
        <f t="shared" si="3"/>
        <v>-9.1392481795126199E-2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2564571</v>
      </c>
      <c r="D51" s="22">
        <v>2675513</v>
      </c>
      <c r="E51" s="22">
        <f t="shared" si="2"/>
        <v>110942</v>
      </c>
      <c r="F51" s="23">
        <f t="shared" si="3"/>
        <v>4.3259476926160362E-2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11987500</v>
      </c>
      <c r="D53" s="22">
        <v>11987500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471952</v>
      </c>
      <c r="D54" s="22">
        <v>304886</v>
      </c>
      <c r="E54" s="22">
        <f t="shared" si="2"/>
        <v>-167066</v>
      </c>
      <c r="F54" s="23">
        <f t="shared" si="3"/>
        <v>-0.35398938875139846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4324690</v>
      </c>
      <c r="D55" s="22">
        <v>5754783</v>
      </c>
      <c r="E55" s="22">
        <f t="shared" si="2"/>
        <v>1430093</v>
      </c>
      <c r="F55" s="23">
        <f t="shared" si="3"/>
        <v>0.33068104303429841</v>
      </c>
    </row>
    <row r="56" spans="1:6" ht="24" customHeight="1" x14ac:dyDescent="0.25">
      <c r="A56" s="24"/>
      <c r="B56" s="25" t="s">
        <v>54</v>
      </c>
      <c r="C56" s="26">
        <f>SUM(C49:C55)</f>
        <v>26152731</v>
      </c>
      <c r="D56" s="26">
        <f>SUM(D49:D55)</f>
        <v>28331587</v>
      </c>
      <c r="E56" s="26">
        <f t="shared" si="2"/>
        <v>2178856</v>
      </c>
      <c r="F56" s="27">
        <f t="shared" si="3"/>
        <v>8.3312752308735943E-2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0</v>
      </c>
      <c r="D61" s="26">
        <f>SUM(D59:D60)</f>
        <v>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8965790</v>
      </c>
      <c r="D64" s="22">
        <v>8881173</v>
      </c>
      <c r="E64" s="22">
        <f>D64-C64</f>
        <v>-84617</v>
      </c>
      <c r="F64" s="23">
        <f>IF(C64=0,0,E64/C64)</f>
        <v>-9.4377628742140958E-3</v>
      </c>
    </row>
    <row r="65" spans="1:6" ht="24" customHeight="1" x14ac:dyDescent="0.25">
      <c r="A65" s="24"/>
      <c r="B65" s="25" t="s">
        <v>61</v>
      </c>
      <c r="C65" s="26">
        <f>SUM(C61:C64)</f>
        <v>8965790</v>
      </c>
      <c r="D65" s="26">
        <f>SUM(D61:D64)</f>
        <v>8881173</v>
      </c>
      <c r="E65" s="26">
        <f>D65-C65</f>
        <v>-84617</v>
      </c>
      <c r="F65" s="27">
        <f>IF(C65=0,0,E65/C65)</f>
        <v>-9.4377628742140958E-3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2069573</v>
      </c>
      <c r="D70" s="22">
        <v>3321184</v>
      </c>
      <c r="E70" s="22">
        <f>D70-C70</f>
        <v>1251611</v>
      </c>
      <c r="F70" s="23">
        <f>IF(C70=0,0,E70/C70)</f>
        <v>0.6047677467767506</v>
      </c>
    </row>
    <row r="71" spans="1:6" ht="24" customHeight="1" x14ac:dyDescent="0.2">
      <c r="A71" s="20">
        <v>2</v>
      </c>
      <c r="B71" s="21" t="s">
        <v>65</v>
      </c>
      <c r="C71" s="22">
        <v>268927</v>
      </c>
      <c r="D71" s="22">
        <v>332881</v>
      </c>
      <c r="E71" s="22">
        <f>D71-C71</f>
        <v>63954</v>
      </c>
      <c r="F71" s="23">
        <f>IF(C71=0,0,E71/C71)</f>
        <v>0.23781174816957762</v>
      </c>
    </row>
    <row r="72" spans="1:6" ht="24" customHeight="1" x14ac:dyDescent="0.2">
      <c r="A72" s="20">
        <v>3</v>
      </c>
      <c r="B72" s="21" t="s">
        <v>66</v>
      </c>
      <c r="C72" s="22">
        <v>4573314</v>
      </c>
      <c r="D72" s="22">
        <v>4636910</v>
      </c>
      <c r="E72" s="22">
        <f>D72-C72</f>
        <v>63596</v>
      </c>
      <c r="F72" s="23">
        <f>IF(C72=0,0,E72/C72)</f>
        <v>1.3905889689621137E-2</v>
      </c>
    </row>
    <row r="73" spans="1:6" ht="24" customHeight="1" x14ac:dyDescent="0.25">
      <c r="A73" s="20"/>
      <c r="B73" s="25" t="s">
        <v>67</v>
      </c>
      <c r="C73" s="26">
        <f>SUM(C70:C72)</f>
        <v>6911814</v>
      </c>
      <c r="D73" s="26">
        <f>SUM(D70:D72)</f>
        <v>8290975</v>
      </c>
      <c r="E73" s="26">
        <f>D73-C73</f>
        <v>1379161</v>
      </c>
      <c r="F73" s="27">
        <f>IF(C73=0,0,E73/C73)</f>
        <v>0.19953676415482247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42030335</v>
      </c>
      <c r="D75" s="26">
        <f>D56+D65+D67+D73</f>
        <v>45503735</v>
      </c>
      <c r="E75" s="26">
        <f>D75-C75</f>
        <v>3473400</v>
      </c>
      <c r="F75" s="27">
        <f>IF(C75=0,0,E75/C75)</f>
        <v>8.264031205080806E-2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92870450</v>
      </c>
      <c r="D11" s="76">
        <v>86321671</v>
      </c>
      <c r="E11" s="76">
        <v>92077182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896986</v>
      </c>
      <c r="D12" s="185">
        <v>1356313</v>
      </c>
      <c r="E12" s="185">
        <v>1321902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93767436</v>
      </c>
      <c r="D13" s="76">
        <f>+D11+D12</f>
        <v>87677984</v>
      </c>
      <c r="E13" s="76">
        <f>+E11+E12</f>
        <v>93399084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96980439</v>
      </c>
      <c r="D14" s="185">
        <v>93071797</v>
      </c>
      <c r="E14" s="185">
        <v>94695856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-3213003</v>
      </c>
      <c r="D15" s="76">
        <f>+D13-D14</f>
        <v>-5393813</v>
      </c>
      <c r="E15" s="76">
        <f>+E13-E14</f>
        <v>-1296772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447582</v>
      </c>
      <c r="D16" s="185">
        <v>2589208</v>
      </c>
      <c r="E16" s="185">
        <v>-2067392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-2765421</v>
      </c>
      <c r="D17" s="76">
        <f>D15+D16</f>
        <v>-2804605</v>
      </c>
      <c r="E17" s="76">
        <f>E15+E16</f>
        <v>-3364164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-3.410287519129912E-2</v>
      </c>
      <c r="D20" s="189">
        <f>IF(+D27=0,0,+D24/+D27)</f>
        <v>-5.9753858301031457E-2</v>
      </c>
      <c r="E20" s="189">
        <f>IF(+E27=0,0,+E24/+E27)</f>
        <v>-1.4198488734885148E-2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4.7506438941613324E-3</v>
      </c>
      <c r="D21" s="189">
        <f>IF(+D27=0,0,+D26/+D27)</f>
        <v>2.8683821249252995E-2</v>
      </c>
      <c r="E21" s="189">
        <f>IF(+E27=0,0,+E26/+E27)</f>
        <v>-2.2636085620750354E-2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-2.9352231297137786E-2</v>
      </c>
      <c r="D22" s="189">
        <f>IF(+D27=0,0,+D28/+D27)</f>
        <v>-3.1070037051778458E-2</v>
      </c>
      <c r="E22" s="189">
        <f>IF(+E27=0,0,+E28/+E27)</f>
        <v>-3.6834574355635502E-2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-3213003</v>
      </c>
      <c r="D24" s="76">
        <f>+D15</f>
        <v>-5393813</v>
      </c>
      <c r="E24" s="76">
        <f>+E15</f>
        <v>-1296772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93767436</v>
      </c>
      <c r="D25" s="76">
        <f>+D13</f>
        <v>87677984</v>
      </c>
      <c r="E25" s="76">
        <f>+E13</f>
        <v>93399084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447582</v>
      </c>
      <c r="D26" s="76">
        <f>+D16</f>
        <v>2589208</v>
      </c>
      <c r="E26" s="76">
        <f>+E16</f>
        <v>-2067392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94215018</v>
      </c>
      <c r="D27" s="76">
        <f>SUM(D25:D26)</f>
        <v>90267192</v>
      </c>
      <c r="E27" s="76">
        <f>SUM(E25:E26)</f>
        <v>91331692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-2765421</v>
      </c>
      <c r="D28" s="76">
        <f>+D17</f>
        <v>-2804605</v>
      </c>
      <c r="E28" s="76">
        <f>+E17</f>
        <v>-3364164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-1339902</v>
      </c>
      <c r="D31" s="76">
        <v>-8766006</v>
      </c>
      <c r="E31" s="76">
        <v>-12121840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3591786</v>
      </c>
      <c r="D32" s="76">
        <v>-3686748</v>
      </c>
      <c r="E32" s="76">
        <v>-6904100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-1813998</v>
      </c>
      <c r="D33" s="76">
        <f>+D32-C32</f>
        <v>-7278534</v>
      </c>
      <c r="E33" s="76">
        <f>+E32-D32</f>
        <v>-3217352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0.66439999999999999</v>
      </c>
      <c r="D34" s="193">
        <f>IF(C32=0,0,+D33/C32)</f>
        <v>-2.0264386575369469</v>
      </c>
      <c r="E34" s="193">
        <f>IF(D32=0,0,+E33/D32)</f>
        <v>0.87268020488517251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0.96626949793587624</v>
      </c>
      <c r="D38" s="338">
        <f>IF(+D40=0,0,+D39/+D40)</f>
        <v>0.32653669174260758</v>
      </c>
      <c r="E38" s="338">
        <f>IF(+E40=0,0,+E39/+E40)</f>
        <v>0.35611222344536098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15400869</v>
      </c>
      <c r="D39" s="341">
        <v>15465517</v>
      </c>
      <c r="E39" s="341">
        <v>17849528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15938482</v>
      </c>
      <c r="D40" s="341">
        <v>47362264</v>
      </c>
      <c r="E40" s="341">
        <v>50123323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4.9114947292046081</v>
      </c>
      <c r="D42" s="343">
        <f>IF((D48/365)=0,0,+D45/(D48/365))</f>
        <v>3.5991793950753976</v>
      </c>
      <c r="E42" s="343">
        <f>IF((E48/365)=0,0,+E45/(E48/365))</f>
        <v>6.1003443877513366</v>
      </c>
    </row>
    <row r="43" spans="1:14" ht="24" customHeight="1" x14ac:dyDescent="0.2">
      <c r="A43" s="339">
        <v>5</v>
      </c>
      <c r="B43" s="344" t="s">
        <v>16</v>
      </c>
      <c r="C43" s="345">
        <v>1246131</v>
      </c>
      <c r="D43" s="345">
        <v>875661</v>
      </c>
      <c r="E43" s="345">
        <v>1528751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1246131</v>
      </c>
      <c r="D45" s="341">
        <f>+D43+D44</f>
        <v>875661</v>
      </c>
      <c r="E45" s="341">
        <f>+E43+E44</f>
        <v>1528751</v>
      </c>
    </row>
    <row r="46" spans="1:14" ht="24" customHeight="1" x14ac:dyDescent="0.2">
      <c r="A46" s="339">
        <v>8</v>
      </c>
      <c r="B46" s="340" t="s">
        <v>334</v>
      </c>
      <c r="C46" s="341">
        <f>+C14</f>
        <v>96980439</v>
      </c>
      <c r="D46" s="341">
        <f>+D14</f>
        <v>93071797</v>
      </c>
      <c r="E46" s="341">
        <f>+E14</f>
        <v>94695856</v>
      </c>
    </row>
    <row r="47" spans="1:14" ht="24" customHeight="1" x14ac:dyDescent="0.2">
      <c r="A47" s="339">
        <v>9</v>
      </c>
      <c r="B47" s="340" t="s">
        <v>356</v>
      </c>
      <c r="C47" s="341">
        <v>4373638</v>
      </c>
      <c r="D47" s="341">
        <v>4269259</v>
      </c>
      <c r="E47" s="341">
        <v>3226575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92606801</v>
      </c>
      <c r="D48" s="341">
        <f>+D46-D47</f>
        <v>88802538</v>
      </c>
      <c r="E48" s="341">
        <f>+E46-E47</f>
        <v>91469281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37.554859430529298</v>
      </c>
      <c r="D50" s="350">
        <f>IF((D55/365)=0,0,+D54/(D55/365))</f>
        <v>31.084120927177143</v>
      </c>
      <c r="E50" s="350">
        <f>IF((E55/365)=0,0,+E54/(E55/365))</f>
        <v>34.671359838097565</v>
      </c>
    </row>
    <row r="51" spans="1:5" ht="24" customHeight="1" x14ac:dyDescent="0.2">
      <c r="A51" s="339">
        <v>12</v>
      </c>
      <c r="B51" s="344" t="s">
        <v>359</v>
      </c>
      <c r="C51" s="351">
        <v>11049711</v>
      </c>
      <c r="D51" s="351">
        <v>10135389</v>
      </c>
      <c r="E51" s="351">
        <v>11658028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1494268</v>
      </c>
      <c r="D53" s="341">
        <v>2784065</v>
      </c>
      <c r="E53" s="341">
        <v>2911614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9555443</v>
      </c>
      <c r="D54" s="352">
        <f>+D51+D52-D53</f>
        <v>7351324</v>
      </c>
      <c r="E54" s="352">
        <f>+E51+E52-E53</f>
        <v>8746414</v>
      </c>
    </row>
    <row r="55" spans="1:5" ht="24" customHeight="1" x14ac:dyDescent="0.2">
      <c r="A55" s="339">
        <v>16</v>
      </c>
      <c r="B55" s="340" t="s">
        <v>75</v>
      </c>
      <c r="C55" s="341">
        <f>+C11</f>
        <v>92870450</v>
      </c>
      <c r="D55" s="341">
        <f>+D11</f>
        <v>86321671</v>
      </c>
      <c r="E55" s="341">
        <f>+E11</f>
        <v>92077182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62.819856286796906</v>
      </c>
      <c r="D57" s="355">
        <f>IF((D61/365)=0,0,+D58/(D61/365))</f>
        <v>194.67040863178934</v>
      </c>
      <c r="E57" s="355">
        <f>IF((E61/365)=0,0,+E58/(E61/365))</f>
        <v>200.01264572091694</v>
      </c>
    </row>
    <row r="58" spans="1:5" ht="24" customHeight="1" x14ac:dyDescent="0.2">
      <c r="A58" s="339">
        <v>18</v>
      </c>
      <c r="B58" s="340" t="s">
        <v>54</v>
      </c>
      <c r="C58" s="353">
        <f>+C40</f>
        <v>15938482</v>
      </c>
      <c r="D58" s="353">
        <f>+D40</f>
        <v>47362264</v>
      </c>
      <c r="E58" s="353">
        <f>+E40</f>
        <v>50123323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96980439</v>
      </c>
      <c r="D59" s="353">
        <f t="shared" si="0"/>
        <v>93071797</v>
      </c>
      <c r="E59" s="353">
        <f t="shared" si="0"/>
        <v>94695856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4373638</v>
      </c>
      <c r="D60" s="356">
        <f t="shared" si="0"/>
        <v>4269259</v>
      </c>
      <c r="E60" s="356">
        <f t="shared" si="0"/>
        <v>3226575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92606801</v>
      </c>
      <c r="D61" s="353">
        <f>+D59-D60</f>
        <v>88802538</v>
      </c>
      <c r="E61" s="353">
        <f>+E59-E60</f>
        <v>91469281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6.2542651292539526</v>
      </c>
      <c r="D65" s="357">
        <f>IF(D67=0,0,(D66/D67)*100)</f>
        <v>-7.1617412165788057</v>
      </c>
      <c r="E65" s="357">
        <f>IF(E67=0,0,(E66/E67)*100)</f>
        <v>-13.415264488387521</v>
      </c>
    </row>
    <row r="66" spans="1:5" ht="24" customHeight="1" x14ac:dyDescent="0.2">
      <c r="A66" s="339">
        <v>2</v>
      </c>
      <c r="B66" s="340" t="s">
        <v>67</v>
      </c>
      <c r="C66" s="353">
        <f>+C32</f>
        <v>3591786</v>
      </c>
      <c r="D66" s="353">
        <f>+D32</f>
        <v>-3686748</v>
      </c>
      <c r="E66" s="353">
        <f>+E32</f>
        <v>-6904100</v>
      </c>
    </row>
    <row r="67" spans="1:5" ht="24" customHeight="1" x14ac:dyDescent="0.2">
      <c r="A67" s="339">
        <v>3</v>
      </c>
      <c r="B67" s="340" t="s">
        <v>43</v>
      </c>
      <c r="C67" s="353">
        <v>57429385</v>
      </c>
      <c r="D67" s="353">
        <v>51478375</v>
      </c>
      <c r="E67" s="353">
        <v>51464509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3.6023926963906541</v>
      </c>
      <c r="D69" s="357">
        <f>IF(D75=0,0,(D72/D75)*100)</f>
        <v>3.0924492967650363</v>
      </c>
      <c r="E69" s="357">
        <f>IF(E75=0,0,(E72/E75)*100)</f>
        <v>-0.27450095437606958</v>
      </c>
    </row>
    <row r="70" spans="1:5" ht="24" customHeight="1" x14ac:dyDescent="0.2">
      <c r="A70" s="339">
        <v>5</v>
      </c>
      <c r="B70" s="340" t="s">
        <v>366</v>
      </c>
      <c r="C70" s="353">
        <f>+C28</f>
        <v>-2765421</v>
      </c>
      <c r="D70" s="353">
        <f>+D28</f>
        <v>-2804605</v>
      </c>
      <c r="E70" s="353">
        <f>+E28</f>
        <v>-3364164</v>
      </c>
    </row>
    <row r="71" spans="1:5" ht="24" customHeight="1" x14ac:dyDescent="0.2">
      <c r="A71" s="339">
        <v>6</v>
      </c>
      <c r="B71" s="340" t="s">
        <v>356</v>
      </c>
      <c r="C71" s="356">
        <f>+C47</f>
        <v>4373638</v>
      </c>
      <c r="D71" s="356">
        <f>+D47</f>
        <v>4269259</v>
      </c>
      <c r="E71" s="356">
        <f>+E47</f>
        <v>3226575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1608217</v>
      </c>
      <c r="D72" s="353">
        <f>+D70+D71</f>
        <v>1464654</v>
      </c>
      <c r="E72" s="353">
        <f>+E70+E71</f>
        <v>-137589</v>
      </c>
    </row>
    <row r="73" spans="1:5" ht="24" customHeight="1" x14ac:dyDescent="0.2">
      <c r="A73" s="339">
        <v>8</v>
      </c>
      <c r="B73" s="340" t="s">
        <v>54</v>
      </c>
      <c r="C73" s="341">
        <f>+C40</f>
        <v>15938482</v>
      </c>
      <c r="D73" s="341">
        <f>+D40</f>
        <v>47362264</v>
      </c>
      <c r="E73" s="341">
        <f>+E40</f>
        <v>50123323</v>
      </c>
    </row>
    <row r="74" spans="1:5" ht="24" customHeight="1" x14ac:dyDescent="0.2">
      <c r="A74" s="339">
        <v>9</v>
      </c>
      <c r="B74" s="340" t="s">
        <v>58</v>
      </c>
      <c r="C74" s="353">
        <v>28704541</v>
      </c>
      <c r="D74" s="353">
        <v>0</v>
      </c>
      <c r="E74" s="353">
        <v>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44643023</v>
      </c>
      <c r="D75" s="341">
        <f>+D73+D74</f>
        <v>47362264</v>
      </c>
      <c r="E75" s="341">
        <f>+E73+E74</f>
        <v>50123323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88.878654838985256</v>
      </c>
      <c r="D77" s="359">
        <f>IF(D80=0,0,(D78/D80)*100)</f>
        <v>0</v>
      </c>
      <c r="E77" s="359">
        <f>IF(E80=0,0,(E78/E80)*100)</f>
        <v>0</v>
      </c>
    </row>
    <row r="78" spans="1:5" ht="24" customHeight="1" x14ac:dyDescent="0.2">
      <c r="A78" s="339">
        <v>12</v>
      </c>
      <c r="B78" s="340" t="s">
        <v>58</v>
      </c>
      <c r="C78" s="341">
        <f>+C74</f>
        <v>28704541</v>
      </c>
      <c r="D78" s="341">
        <f>+D74</f>
        <v>0</v>
      </c>
      <c r="E78" s="341">
        <f>+E74</f>
        <v>0</v>
      </c>
    </row>
    <row r="79" spans="1:5" ht="24" customHeight="1" x14ac:dyDescent="0.2">
      <c r="A79" s="339">
        <v>13</v>
      </c>
      <c r="B79" s="340" t="s">
        <v>67</v>
      </c>
      <c r="C79" s="341">
        <f>+C32</f>
        <v>3591786</v>
      </c>
      <c r="D79" s="341">
        <f>+D32</f>
        <v>-3686748</v>
      </c>
      <c r="E79" s="341">
        <f>+E32</f>
        <v>-6904100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32296327</v>
      </c>
      <c r="D80" s="341">
        <f>+D78+D79</f>
        <v>-3686748</v>
      </c>
      <c r="E80" s="341">
        <f>+E78+E79</f>
        <v>-6904100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FILING&amp;R&amp;8JOHNSON MEMORIAL MEDICAL CENTER,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9543</v>
      </c>
      <c r="D11" s="376">
        <v>2138</v>
      </c>
      <c r="E11" s="376">
        <v>1786</v>
      </c>
      <c r="F11" s="377">
        <v>40</v>
      </c>
      <c r="G11" s="377">
        <v>56</v>
      </c>
      <c r="H11" s="378">
        <f>IF(F11=0,0,$C11/(F11*365))</f>
        <v>0.65363013698630135</v>
      </c>
      <c r="I11" s="378">
        <f>IF(G11=0,0,$C11/(G11*365))</f>
        <v>0.46687866927592953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1171</v>
      </c>
      <c r="D13" s="376">
        <v>94</v>
      </c>
      <c r="E13" s="376">
        <v>0</v>
      </c>
      <c r="F13" s="377">
        <v>5</v>
      </c>
      <c r="G13" s="377">
        <v>7</v>
      </c>
      <c r="H13" s="378">
        <f>IF(F13=0,0,$C13/(F13*365))</f>
        <v>0.64164383561643834</v>
      </c>
      <c r="I13" s="378">
        <f>IF(G13=0,0,$C13/(G13*365))</f>
        <v>0.45831702544031311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4409</v>
      </c>
      <c r="D16" s="376">
        <v>586</v>
      </c>
      <c r="E16" s="376">
        <v>572</v>
      </c>
      <c r="F16" s="377">
        <v>17</v>
      </c>
      <c r="G16" s="377">
        <v>20</v>
      </c>
      <c r="H16" s="378">
        <f t="shared" si="0"/>
        <v>0.71055600322320711</v>
      </c>
      <c r="I16" s="378">
        <f t="shared" si="0"/>
        <v>0.60397260273972597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4409</v>
      </c>
      <c r="D17" s="381">
        <f>SUM(D15:D16)</f>
        <v>586</v>
      </c>
      <c r="E17" s="381">
        <f>SUM(E15:E16)</f>
        <v>572</v>
      </c>
      <c r="F17" s="381">
        <f>SUM(F15:F16)</f>
        <v>17</v>
      </c>
      <c r="G17" s="381">
        <f>SUM(G15:G16)</f>
        <v>20</v>
      </c>
      <c r="H17" s="382">
        <f t="shared" si="0"/>
        <v>0.71055600322320711</v>
      </c>
      <c r="I17" s="382">
        <f t="shared" si="0"/>
        <v>0.60397260273972597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613</v>
      </c>
      <c r="D21" s="376">
        <v>235</v>
      </c>
      <c r="E21" s="376">
        <v>233</v>
      </c>
      <c r="F21" s="377">
        <v>4</v>
      </c>
      <c r="G21" s="377">
        <v>6</v>
      </c>
      <c r="H21" s="378">
        <f>IF(F21=0,0,$C21/(F21*365))</f>
        <v>0.41986301369863016</v>
      </c>
      <c r="I21" s="378">
        <f>IF(G21=0,0,$C21/(G21*365))</f>
        <v>0.27990867579908674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534</v>
      </c>
      <c r="D23" s="376">
        <v>232</v>
      </c>
      <c r="E23" s="376">
        <v>227</v>
      </c>
      <c r="F23" s="377">
        <v>4</v>
      </c>
      <c r="G23" s="377">
        <v>6</v>
      </c>
      <c r="H23" s="378">
        <f>IF(F23=0,0,$C23/(F23*365))</f>
        <v>0.36575342465753424</v>
      </c>
      <c r="I23" s="378">
        <f>IF(G23=0,0,$C23/(G23*365))</f>
        <v>0.24383561643835616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15736</v>
      </c>
      <c r="D31" s="384">
        <f>SUM(D10:D29)-D13-D17-D23</f>
        <v>2959</v>
      </c>
      <c r="E31" s="384">
        <f>SUM(E10:E29)-E17-E23</f>
        <v>2591</v>
      </c>
      <c r="F31" s="384">
        <f>SUM(F10:F29)-F17-F23</f>
        <v>66</v>
      </c>
      <c r="G31" s="384">
        <f>SUM(G10:G29)-G17-G23</f>
        <v>89</v>
      </c>
      <c r="H31" s="385">
        <f>IF(F31=0,0,$C31/(F31*365))</f>
        <v>0.65321710253217102</v>
      </c>
      <c r="I31" s="385">
        <f>IF(G31=0,0,$C31/(G31*365))</f>
        <v>0.48440818839464367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16270</v>
      </c>
      <c r="D33" s="384">
        <f>SUM(D10:D29)-D13-D17</f>
        <v>3191</v>
      </c>
      <c r="E33" s="384">
        <f>SUM(E10:E29)-E17</f>
        <v>2818</v>
      </c>
      <c r="F33" s="384">
        <f>SUM(F10:F29)-F17</f>
        <v>70</v>
      </c>
      <c r="G33" s="384">
        <f>SUM(G10:G29)-G17</f>
        <v>95</v>
      </c>
      <c r="H33" s="385">
        <f>IF(F33=0,0,$C33/(F33*365))</f>
        <v>0.63679060665362031</v>
      </c>
      <c r="I33" s="385">
        <f>IF(G33=0,0,$C33/(G33*365))</f>
        <v>0.46921413121845712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16270</v>
      </c>
      <c r="D36" s="384">
        <f t="shared" si="1"/>
        <v>3191</v>
      </c>
      <c r="E36" s="384">
        <f t="shared" si="1"/>
        <v>2818</v>
      </c>
      <c r="F36" s="384">
        <f t="shared" si="1"/>
        <v>70</v>
      </c>
      <c r="G36" s="384">
        <f t="shared" si="1"/>
        <v>95</v>
      </c>
      <c r="H36" s="387">
        <f t="shared" si="1"/>
        <v>0.63679060665362031</v>
      </c>
      <c r="I36" s="387">
        <f t="shared" si="1"/>
        <v>0.46921413121845712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16130</v>
      </c>
      <c r="D37" s="384">
        <v>3139</v>
      </c>
      <c r="E37" s="384">
        <v>3132</v>
      </c>
      <c r="F37" s="386">
        <v>70</v>
      </c>
      <c r="G37" s="386">
        <v>95</v>
      </c>
      <c r="H37" s="385">
        <f>IF(F37=0,0,$C37/(F37*365))</f>
        <v>0.63131115459882581</v>
      </c>
      <c r="I37" s="385">
        <f>IF(G37=0,0,$C37/(G37*365))</f>
        <v>0.46517664023071376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140</v>
      </c>
      <c r="D38" s="384">
        <f t="shared" si="2"/>
        <v>52</v>
      </c>
      <c r="E38" s="384">
        <f t="shared" si="2"/>
        <v>-314</v>
      </c>
      <c r="F38" s="384">
        <f t="shared" si="2"/>
        <v>0</v>
      </c>
      <c r="G38" s="384">
        <f t="shared" si="2"/>
        <v>0</v>
      </c>
      <c r="H38" s="387">
        <f t="shared" si="2"/>
        <v>5.479452054794498E-3</v>
      </c>
      <c r="I38" s="387">
        <f t="shared" si="2"/>
        <v>4.037490987743364E-3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8.679479231246125E-3</v>
      </c>
      <c r="D40" s="389">
        <f t="shared" si="3"/>
        <v>1.6565785281936921E-2</v>
      </c>
      <c r="E40" s="389">
        <f t="shared" si="3"/>
        <v>-0.10025542784163474</v>
      </c>
      <c r="F40" s="389">
        <f t="shared" si="3"/>
        <v>0</v>
      </c>
      <c r="G40" s="389">
        <f t="shared" si="3"/>
        <v>0</v>
      </c>
      <c r="H40" s="389">
        <f t="shared" si="3"/>
        <v>8.6794792312460903E-3</v>
      </c>
      <c r="I40" s="389">
        <f t="shared" si="3"/>
        <v>8.6794792312461962E-3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101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FILING&amp;RJOHNSON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1884</v>
      </c>
      <c r="D12" s="409">
        <v>1782</v>
      </c>
      <c r="E12" s="409">
        <f>+D12-C12</f>
        <v>-102</v>
      </c>
      <c r="F12" s="410">
        <f>IF(C12=0,0,+E12/C12)</f>
        <v>-5.4140127388535034E-2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1707</v>
      </c>
      <c r="D13" s="409">
        <v>1980</v>
      </c>
      <c r="E13" s="409">
        <f>+D13-C13</f>
        <v>273</v>
      </c>
      <c r="F13" s="410">
        <f>IF(C13=0,0,+E13/C13)</f>
        <v>0.15992970123022848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3547</v>
      </c>
      <c r="D14" s="409">
        <v>3574</v>
      </c>
      <c r="E14" s="409">
        <f>+D14-C14</f>
        <v>27</v>
      </c>
      <c r="F14" s="410">
        <f>IF(C14=0,0,+E14/C14)</f>
        <v>7.6120665351000847E-3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7138</v>
      </c>
      <c r="D16" s="401">
        <f>SUM(D12:D15)</f>
        <v>7336</v>
      </c>
      <c r="E16" s="401">
        <f>+D16-C16</f>
        <v>198</v>
      </c>
      <c r="F16" s="402">
        <f>IF(C16=0,0,+E16/C16)</f>
        <v>2.7738862426449986E-2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124</v>
      </c>
      <c r="D19" s="409">
        <v>180</v>
      </c>
      <c r="E19" s="409">
        <f>+D19-C19</f>
        <v>56</v>
      </c>
      <c r="F19" s="410">
        <f>IF(C19=0,0,+E19/C19)</f>
        <v>0.45161290322580644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1241</v>
      </c>
      <c r="D20" s="409">
        <v>887</v>
      </c>
      <c r="E20" s="409">
        <f>+D20-C20</f>
        <v>-354</v>
      </c>
      <c r="F20" s="410">
        <f>IF(C20=0,0,+E20/C20)</f>
        <v>-0.2852538275584206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19</v>
      </c>
      <c r="D21" s="409">
        <v>44</v>
      </c>
      <c r="E21" s="409">
        <f>+D21-C21</f>
        <v>25</v>
      </c>
      <c r="F21" s="410">
        <f>IF(C21=0,0,+E21/C21)</f>
        <v>1.3157894736842106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1384</v>
      </c>
      <c r="D23" s="401">
        <f>SUM(D19:D22)</f>
        <v>1111</v>
      </c>
      <c r="E23" s="401">
        <f>+D23-C23</f>
        <v>-273</v>
      </c>
      <c r="F23" s="402">
        <f>IF(C23=0,0,+E23/C23)</f>
        <v>-0.1972543352601156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492</v>
      </c>
      <c r="D63" s="409">
        <v>473</v>
      </c>
      <c r="E63" s="409">
        <f>+D63-C63</f>
        <v>-19</v>
      </c>
      <c r="F63" s="410">
        <f>IF(C63=0,0,+E63/C63)</f>
        <v>-3.8617886178861791E-2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2058</v>
      </c>
      <c r="D64" s="409">
        <v>1995</v>
      </c>
      <c r="E64" s="409">
        <f>+D64-C64</f>
        <v>-63</v>
      </c>
      <c r="F64" s="410">
        <f>IF(C64=0,0,+E64/C64)</f>
        <v>-3.0612244897959183E-2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2550</v>
      </c>
      <c r="D65" s="401">
        <f>SUM(D63:D64)</f>
        <v>2468</v>
      </c>
      <c r="E65" s="401">
        <f>+D65-C65</f>
        <v>-82</v>
      </c>
      <c r="F65" s="402">
        <f>IF(C65=0,0,+E65/C65)</f>
        <v>-3.215686274509804E-2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121</v>
      </c>
      <c r="D68" s="409">
        <v>81</v>
      </c>
      <c r="E68" s="409">
        <f>+D68-C68</f>
        <v>-40</v>
      </c>
      <c r="F68" s="410">
        <f>IF(C68=0,0,+E68/C68)</f>
        <v>-0.33057851239669422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2068</v>
      </c>
      <c r="D69" s="409">
        <v>2104</v>
      </c>
      <c r="E69" s="409">
        <f>+D69-C69</f>
        <v>36</v>
      </c>
      <c r="F69" s="412">
        <f>IF(C69=0,0,+E69/C69)</f>
        <v>1.7408123791102514E-2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2189</v>
      </c>
      <c r="D70" s="401">
        <f>SUM(D68:D69)</f>
        <v>2185</v>
      </c>
      <c r="E70" s="401">
        <f>+D70-C70</f>
        <v>-4</v>
      </c>
      <c r="F70" s="402">
        <f>IF(C70=0,0,+E70/C70)</f>
        <v>-1.8273184102329831E-3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2309</v>
      </c>
      <c r="D73" s="376">
        <v>2270</v>
      </c>
      <c r="E73" s="409">
        <f>+D73-C73</f>
        <v>-39</v>
      </c>
      <c r="F73" s="410">
        <f>IF(C73=0,0,+E73/C73)</f>
        <v>-1.6890428757037678E-2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17817</v>
      </c>
      <c r="D74" s="376">
        <v>16780</v>
      </c>
      <c r="E74" s="409">
        <f>+D74-C74</f>
        <v>-1037</v>
      </c>
      <c r="F74" s="410">
        <f>IF(C74=0,0,+E74/C74)</f>
        <v>-5.8202839984284674E-2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20126</v>
      </c>
      <c r="D75" s="401">
        <f>SUM(D73:D74)</f>
        <v>19050</v>
      </c>
      <c r="E75" s="401">
        <f>SUM(E73:E74)</f>
        <v>-1076</v>
      </c>
      <c r="F75" s="402">
        <f>IF(C75=0,0,+E75/C75)</f>
        <v>-5.3463181953691742E-2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1806</v>
      </c>
      <c r="D95" s="414">
        <v>1930</v>
      </c>
      <c r="E95" s="415">
        <f t="shared" ref="E95:E100" si="2">+D95-C95</f>
        <v>124</v>
      </c>
      <c r="F95" s="412">
        <f t="shared" ref="F95:F100" si="3">IF(C95=0,0,+E95/C95)</f>
        <v>6.8660022148394242E-2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1629</v>
      </c>
      <c r="D96" s="414">
        <v>1915</v>
      </c>
      <c r="E96" s="409">
        <f t="shared" si="2"/>
        <v>286</v>
      </c>
      <c r="F96" s="410">
        <f t="shared" si="3"/>
        <v>0.17556783302639656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2270</v>
      </c>
      <c r="D97" s="414">
        <v>2315</v>
      </c>
      <c r="E97" s="409">
        <f t="shared" si="2"/>
        <v>45</v>
      </c>
      <c r="F97" s="410">
        <f t="shared" si="3"/>
        <v>1.9823788546255508E-2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951</v>
      </c>
      <c r="D98" s="414">
        <v>932</v>
      </c>
      <c r="E98" s="409">
        <f t="shared" si="2"/>
        <v>-19</v>
      </c>
      <c r="F98" s="410">
        <f t="shared" si="3"/>
        <v>-1.9978969505783387E-2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76269</v>
      </c>
      <c r="D99" s="414">
        <v>81697</v>
      </c>
      <c r="E99" s="409">
        <f t="shared" si="2"/>
        <v>5428</v>
      </c>
      <c r="F99" s="410">
        <f t="shared" si="3"/>
        <v>7.1169151293448196E-2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82925</v>
      </c>
      <c r="D100" s="381">
        <f>SUM(D95:D99)</f>
        <v>88789</v>
      </c>
      <c r="E100" s="401">
        <f t="shared" si="2"/>
        <v>5864</v>
      </c>
      <c r="F100" s="402">
        <f t="shared" si="3"/>
        <v>7.071450105517034E-2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114.2</v>
      </c>
      <c r="D104" s="416">
        <v>115.5</v>
      </c>
      <c r="E104" s="417">
        <f>+D104-C104</f>
        <v>1.2999999999999972</v>
      </c>
      <c r="F104" s="410">
        <f>IF(C104=0,0,+E104/C104)</f>
        <v>1.1383537653239904E-2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0</v>
      </c>
      <c r="D105" s="416">
        <v>0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346.1</v>
      </c>
      <c r="D106" s="416">
        <v>331.7</v>
      </c>
      <c r="E106" s="417">
        <f>+D106-C106</f>
        <v>-14.400000000000034</v>
      </c>
      <c r="F106" s="410">
        <f>IF(C106=0,0,+E106/C106)</f>
        <v>-4.1606472117885103E-2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460.3</v>
      </c>
      <c r="D107" s="418">
        <f>SUM(D104:D106)</f>
        <v>447.2</v>
      </c>
      <c r="E107" s="418">
        <f>+D107-C107</f>
        <v>-13.100000000000023</v>
      </c>
      <c r="F107" s="402">
        <f>IF(C107=0,0,+E107/C107)</f>
        <v>-2.8459700195524705E-2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FILING&amp;RJOHNSON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768</v>
      </c>
      <c r="D12" s="409">
        <v>779</v>
      </c>
      <c r="E12" s="409">
        <f>+D12-C12</f>
        <v>11</v>
      </c>
      <c r="F12" s="410">
        <f>IF(C12=0,0,+E12/C12)</f>
        <v>1.4322916666666666E-2</v>
      </c>
    </row>
    <row r="13" spans="1:6" ht="15.75" customHeight="1" x14ac:dyDescent="0.2">
      <c r="A13" s="374">
        <v>2</v>
      </c>
      <c r="B13" s="408" t="s">
        <v>622</v>
      </c>
      <c r="C13" s="409">
        <v>1290</v>
      </c>
      <c r="D13" s="409">
        <v>1216</v>
      </c>
      <c r="E13" s="409">
        <f>+D13-C13</f>
        <v>-74</v>
      </c>
      <c r="F13" s="410">
        <f>IF(C13=0,0,+E13/C13)</f>
        <v>-5.7364341085271317E-2</v>
      </c>
    </row>
    <row r="14" spans="1:6" ht="15.75" customHeight="1" x14ac:dyDescent="0.25">
      <c r="A14" s="374"/>
      <c r="B14" s="399" t="s">
        <v>623</v>
      </c>
      <c r="C14" s="401">
        <f>SUM(C11:C13)</f>
        <v>2058</v>
      </c>
      <c r="D14" s="401">
        <f>SUM(D11:D13)</f>
        <v>1995</v>
      </c>
      <c r="E14" s="401">
        <f>+D14-C14</f>
        <v>-63</v>
      </c>
      <c r="F14" s="402">
        <f>IF(C14=0,0,+E14/C14)</f>
        <v>-3.0612244897959183E-2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1157</v>
      </c>
      <c r="D17" s="409">
        <v>1166</v>
      </c>
      <c r="E17" s="409">
        <f>+D17-C17</f>
        <v>9</v>
      </c>
      <c r="F17" s="410">
        <f>IF(C17=0,0,+E17/C17)</f>
        <v>7.7787381158167671E-3</v>
      </c>
    </row>
    <row r="18" spans="1:6" ht="15.75" customHeight="1" x14ac:dyDescent="0.2">
      <c r="A18" s="374">
        <v>2</v>
      </c>
      <c r="B18" s="408" t="s">
        <v>624</v>
      </c>
      <c r="C18" s="409">
        <v>911</v>
      </c>
      <c r="D18" s="409">
        <v>938</v>
      </c>
      <c r="E18" s="409">
        <f>+D18-C18</f>
        <v>27</v>
      </c>
      <c r="F18" s="410">
        <f>IF(C18=0,0,+E18/C18)</f>
        <v>2.9637760702524697E-2</v>
      </c>
    </row>
    <row r="19" spans="1:6" ht="15.75" customHeight="1" x14ac:dyDescent="0.25">
      <c r="A19" s="374"/>
      <c r="B19" s="399" t="s">
        <v>625</v>
      </c>
      <c r="C19" s="401">
        <f>SUM(C16:C18)</f>
        <v>2068</v>
      </c>
      <c r="D19" s="401">
        <f>SUM(D16:D18)</f>
        <v>2104</v>
      </c>
      <c r="E19" s="401">
        <f>+D19-C19</f>
        <v>36</v>
      </c>
      <c r="F19" s="402">
        <f>IF(C19=0,0,+E19/C19)</f>
        <v>1.7408123791102514E-2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17817</v>
      </c>
      <c r="D22" s="409">
        <v>16780</v>
      </c>
      <c r="E22" s="409">
        <f>+D22-C22</f>
        <v>-1037</v>
      </c>
      <c r="F22" s="410">
        <f>IF(C22=0,0,+E22/C22)</f>
        <v>-5.8202839984284674E-2</v>
      </c>
    </row>
    <row r="23" spans="1:6" ht="15.75" customHeight="1" x14ac:dyDescent="0.25">
      <c r="A23" s="374"/>
      <c r="B23" s="399" t="s">
        <v>627</v>
      </c>
      <c r="C23" s="401">
        <f>SUM(C21:C22)</f>
        <v>17817</v>
      </c>
      <c r="D23" s="401">
        <f>SUM(D21:D22)</f>
        <v>16780</v>
      </c>
      <c r="E23" s="401">
        <f>+D23-C23</f>
        <v>-1037</v>
      </c>
      <c r="F23" s="402">
        <f>IF(C23=0,0,+E23/C23)</f>
        <v>-5.8202839984284674E-2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FILING&amp;RJOHNSON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40017644</v>
      </c>
      <c r="D15" s="448">
        <v>37794769</v>
      </c>
      <c r="E15" s="448">
        <f t="shared" ref="E15:E24" si="0">D15-C15</f>
        <v>-2222875</v>
      </c>
      <c r="F15" s="449">
        <f t="shared" ref="F15:F24" si="1">IF(C15=0,0,E15/C15)</f>
        <v>-5.5547373053745991E-2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13509060</v>
      </c>
      <c r="D16" s="448">
        <v>14097531</v>
      </c>
      <c r="E16" s="448">
        <f t="shared" si="0"/>
        <v>588471</v>
      </c>
      <c r="F16" s="449">
        <f t="shared" si="1"/>
        <v>4.356121003237827E-2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0.33757759452305586</v>
      </c>
      <c r="D17" s="453">
        <f>IF(LN_IA1=0,0,LN_IA2/LN_IA1)</f>
        <v>0.37300217392517998</v>
      </c>
      <c r="E17" s="454">
        <f t="shared" si="0"/>
        <v>3.5424579402124123E-2</v>
      </c>
      <c r="F17" s="449">
        <f t="shared" si="1"/>
        <v>0.10493759057728193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1633</v>
      </c>
      <c r="D18" s="456">
        <v>1571</v>
      </c>
      <c r="E18" s="456">
        <f t="shared" si="0"/>
        <v>-62</v>
      </c>
      <c r="F18" s="449">
        <f t="shared" si="1"/>
        <v>-3.7966932026944275E-2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1.3169999999999999</v>
      </c>
      <c r="D19" s="459">
        <v>1.2617</v>
      </c>
      <c r="E19" s="460">
        <f t="shared" si="0"/>
        <v>-5.5299999999999905E-2</v>
      </c>
      <c r="F19" s="449">
        <f t="shared" si="1"/>
        <v>-4.1989369779802513E-2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2150.6610000000001</v>
      </c>
      <c r="D20" s="463">
        <f>LN_IA4*LN_IA5</f>
        <v>1982.1307000000002</v>
      </c>
      <c r="E20" s="463">
        <f t="shared" si="0"/>
        <v>-168.5302999999999</v>
      </c>
      <c r="F20" s="449">
        <f t="shared" si="1"/>
        <v>-7.8362094258462814E-2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6281.3525702098095</v>
      </c>
      <c r="D21" s="465">
        <f>IF(LN_IA6=0,0,LN_IA2/LN_IA6)</f>
        <v>7112.311514069178</v>
      </c>
      <c r="E21" s="465">
        <f t="shared" si="0"/>
        <v>830.95894385936845</v>
      </c>
      <c r="F21" s="449">
        <f t="shared" si="1"/>
        <v>0.13228981092389355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9745</v>
      </c>
      <c r="D22" s="456">
        <v>9143</v>
      </c>
      <c r="E22" s="456">
        <f t="shared" si="0"/>
        <v>-602</v>
      </c>
      <c r="F22" s="449">
        <f t="shared" si="1"/>
        <v>-6.1775269368907135E-2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1386.2555156490507</v>
      </c>
      <c r="D23" s="465">
        <f>IF(LN_IA8=0,0,LN_IA2/LN_IA8)</f>
        <v>1541.8933610412337</v>
      </c>
      <c r="E23" s="465">
        <f t="shared" si="0"/>
        <v>155.63784539218295</v>
      </c>
      <c r="F23" s="449">
        <f t="shared" si="1"/>
        <v>0.11227211984748184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5.9675443968156765</v>
      </c>
      <c r="D24" s="466">
        <f>IF(LN_IA4=0,0,LN_IA8/LN_IA4)</f>
        <v>5.819859961807766</v>
      </c>
      <c r="E24" s="466">
        <f t="shared" si="0"/>
        <v>-0.14768443500791051</v>
      </c>
      <c r="F24" s="449">
        <f t="shared" si="1"/>
        <v>-2.4747940725286594E-2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36025736</v>
      </c>
      <c r="D27" s="448">
        <v>41270055</v>
      </c>
      <c r="E27" s="448">
        <f t="shared" ref="E27:E32" si="2">D27-C27</f>
        <v>5244319</v>
      </c>
      <c r="F27" s="449">
        <f t="shared" ref="F27:F32" si="3">IF(C27=0,0,E27/C27)</f>
        <v>0.14557146035822835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8943188</v>
      </c>
      <c r="D28" s="448">
        <v>10574250</v>
      </c>
      <c r="E28" s="448">
        <f t="shared" si="2"/>
        <v>1631062</v>
      </c>
      <c r="F28" s="449">
        <f t="shared" si="3"/>
        <v>0.18238037710937083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0.24824442171007971</v>
      </c>
      <c r="D29" s="453">
        <f>IF(LN_IA11=0,0,LN_IA12/LN_IA11)</f>
        <v>0.25622088460991876</v>
      </c>
      <c r="E29" s="454">
        <f t="shared" si="2"/>
        <v>7.9764628998390541E-3</v>
      </c>
      <c r="F29" s="449">
        <f t="shared" si="3"/>
        <v>3.2131488977241246E-2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0.90024630135647166</v>
      </c>
      <c r="D30" s="453">
        <f>IF(LN_IA1=0,0,LN_IA11/LN_IA1)</f>
        <v>1.0919515078925339</v>
      </c>
      <c r="E30" s="454">
        <f t="shared" si="2"/>
        <v>0.19170520653606227</v>
      </c>
      <c r="F30" s="449">
        <f t="shared" si="3"/>
        <v>0.21294750808440424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1470.1022101151182</v>
      </c>
      <c r="D31" s="463">
        <f>LN_IA14*LN_IA4</f>
        <v>1715.4558188991707</v>
      </c>
      <c r="E31" s="463">
        <f t="shared" si="2"/>
        <v>245.35360878405254</v>
      </c>
      <c r="F31" s="449">
        <f t="shared" si="3"/>
        <v>0.1668956124927122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6083.3783790446059</v>
      </c>
      <c r="D32" s="465">
        <f>IF(LN_IA15=0,0,LN_IA12/LN_IA15)</f>
        <v>6164.1051220926383</v>
      </c>
      <c r="E32" s="465">
        <f t="shared" si="2"/>
        <v>80.726743048032404</v>
      </c>
      <c r="F32" s="449">
        <f t="shared" si="3"/>
        <v>1.3270051280405565E-2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76043380</v>
      </c>
      <c r="D35" s="448">
        <f>LN_IA1+LN_IA11</f>
        <v>79064824</v>
      </c>
      <c r="E35" s="448">
        <f>D35-C35</f>
        <v>3021444</v>
      </c>
      <c r="F35" s="449">
        <f>IF(C35=0,0,E35/C35)</f>
        <v>3.9733162834161236E-2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22452248</v>
      </c>
      <c r="D36" s="448">
        <f>LN_IA2+LN_IA12</f>
        <v>24671781</v>
      </c>
      <c r="E36" s="448">
        <f>D36-C36</f>
        <v>2219533</v>
      </c>
      <c r="F36" s="449">
        <f>IF(C36=0,0,E36/C36)</f>
        <v>9.8855713690673641E-2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53591132</v>
      </c>
      <c r="D37" s="448">
        <f>LN_IA17-LN_IA18</f>
        <v>54393043</v>
      </c>
      <c r="E37" s="448">
        <f>D37-C37</f>
        <v>801911</v>
      </c>
      <c r="F37" s="449">
        <f>IF(C37=0,0,E37/C37)</f>
        <v>1.4963501797274967E-2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13247394</v>
      </c>
      <c r="D42" s="448">
        <v>12784325</v>
      </c>
      <c r="E42" s="448">
        <f t="shared" ref="E42:E53" si="4">D42-C42</f>
        <v>-463069</v>
      </c>
      <c r="F42" s="449">
        <f t="shared" ref="F42:F53" si="5">IF(C42=0,0,E42/C42)</f>
        <v>-3.4955478790771981E-2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7112017</v>
      </c>
      <c r="D43" s="448">
        <v>7906076</v>
      </c>
      <c r="E43" s="448">
        <f t="shared" si="4"/>
        <v>794059</v>
      </c>
      <c r="F43" s="449">
        <f t="shared" si="5"/>
        <v>0.11165032367048616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0.5368615895322506</v>
      </c>
      <c r="D44" s="453">
        <f>IF(LN_IB1=0,0,LN_IB2/LN_IB1)</f>
        <v>0.61841950982942007</v>
      </c>
      <c r="E44" s="454">
        <f t="shared" si="4"/>
        <v>8.1557920297169462E-2</v>
      </c>
      <c r="F44" s="449">
        <f t="shared" si="5"/>
        <v>0.15191610256235341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896</v>
      </c>
      <c r="D45" s="456">
        <v>915</v>
      </c>
      <c r="E45" s="456">
        <f t="shared" si="4"/>
        <v>19</v>
      </c>
      <c r="F45" s="449">
        <f t="shared" si="5"/>
        <v>2.1205357142857144E-2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0.96850000000000003</v>
      </c>
      <c r="D46" s="459">
        <v>1.0093000000000001</v>
      </c>
      <c r="E46" s="460">
        <f t="shared" si="4"/>
        <v>4.0800000000000058E-2</v>
      </c>
      <c r="F46" s="449">
        <f t="shared" si="5"/>
        <v>4.2127000516262322E-2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867.77600000000007</v>
      </c>
      <c r="D47" s="463">
        <f>LN_IB4*LN_IB5</f>
        <v>923.50950000000012</v>
      </c>
      <c r="E47" s="463">
        <f t="shared" si="4"/>
        <v>55.733500000000049</v>
      </c>
      <c r="F47" s="449">
        <f t="shared" si="5"/>
        <v>6.4225675750424122E-2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8195.682987314698</v>
      </c>
      <c r="D48" s="465">
        <f>IF(LN_IB6=0,0,LN_IB2/LN_IB6)</f>
        <v>8560.9038131172438</v>
      </c>
      <c r="E48" s="465">
        <f t="shared" si="4"/>
        <v>365.22082580254573</v>
      </c>
      <c r="F48" s="449">
        <f t="shared" si="5"/>
        <v>4.4562585737861697E-2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-1914.3304171048885</v>
      </c>
      <c r="D49" s="465">
        <f>LN_IA7-LN_IB7</f>
        <v>-1448.5922990480658</v>
      </c>
      <c r="E49" s="465">
        <f t="shared" si="4"/>
        <v>465.73811805682271</v>
      </c>
      <c r="F49" s="449">
        <f t="shared" si="5"/>
        <v>-0.24329035045119088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-1661209.9920336118</v>
      </c>
      <c r="D50" s="479">
        <f>LN_IB8*LN_IB6</f>
        <v>-1337788.7497977298</v>
      </c>
      <c r="E50" s="479">
        <f t="shared" si="4"/>
        <v>323421.24223588197</v>
      </c>
      <c r="F50" s="449">
        <f t="shared" si="5"/>
        <v>-0.19469016186205199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3650</v>
      </c>
      <c r="D51" s="456">
        <v>3657</v>
      </c>
      <c r="E51" s="456">
        <f t="shared" si="4"/>
        <v>7</v>
      </c>
      <c r="F51" s="449">
        <f t="shared" si="5"/>
        <v>1.9178082191780822E-3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1948.4978082191781</v>
      </c>
      <c r="D52" s="465">
        <f>IF(LN_IB10=0,0,LN_IB2/LN_IB10)</f>
        <v>2161.9021055509979</v>
      </c>
      <c r="E52" s="465">
        <f t="shared" si="4"/>
        <v>213.40429733181986</v>
      </c>
      <c r="F52" s="449">
        <f t="shared" si="5"/>
        <v>0.10952247235364349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4.0736607142857144</v>
      </c>
      <c r="D53" s="466">
        <f>IF(LN_IB4=0,0,LN_IB10/LN_IB4)</f>
        <v>3.9967213114754099</v>
      </c>
      <c r="E53" s="466">
        <f t="shared" si="4"/>
        <v>-7.6939402810304536E-2</v>
      </c>
      <c r="F53" s="449">
        <f t="shared" si="5"/>
        <v>-1.8887042443296673E-2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43214603</v>
      </c>
      <c r="D56" s="448">
        <v>46523627</v>
      </c>
      <c r="E56" s="448">
        <f t="shared" ref="E56:E63" si="6">D56-C56</f>
        <v>3309024</v>
      </c>
      <c r="F56" s="449">
        <f t="shared" ref="F56:F63" si="7">IF(C56=0,0,E56/C56)</f>
        <v>7.6571893996110529E-2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21768819</v>
      </c>
      <c r="D57" s="448">
        <v>24094003</v>
      </c>
      <c r="E57" s="448">
        <f t="shared" si="6"/>
        <v>2325184</v>
      </c>
      <c r="F57" s="449">
        <f t="shared" si="7"/>
        <v>0.10681259281911434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0.50373756759954502</v>
      </c>
      <c r="D58" s="453">
        <f>IF(LN_IB13=0,0,LN_IB14/LN_IB13)</f>
        <v>0.51788745963421978</v>
      </c>
      <c r="E58" s="454">
        <f t="shared" si="6"/>
        <v>1.414989203467476E-2</v>
      </c>
      <c r="F58" s="449">
        <f t="shared" si="7"/>
        <v>2.8089808949733654E-2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3.2621210632068465</v>
      </c>
      <c r="D59" s="453">
        <f>IF(LN_IB1=0,0,LN_IB13/LN_IB1)</f>
        <v>3.6391148535413484</v>
      </c>
      <c r="E59" s="454">
        <f t="shared" si="6"/>
        <v>0.37699379033450198</v>
      </c>
      <c r="F59" s="449">
        <f t="shared" si="7"/>
        <v>0.1155670752341411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2922.8604726333342</v>
      </c>
      <c r="D60" s="463">
        <f>LN_IB16*LN_IB4</f>
        <v>3329.7900909903337</v>
      </c>
      <c r="E60" s="463">
        <f t="shared" si="6"/>
        <v>406.92961835699953</v>
      </c>
      <c r="F60" s="449">
        <f t="shared" si="7"/>
        <v>0.1392230734812937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7447.7790520009012</v>
      </c>
      <c r="D61" s="465">
        <f>IF(LN_IB17=0,0,LN_IB14/LN_IB17)</f>
        <v>7235.8924561620197</v>
      </c>
      <c r="E61" s="465">
        <f t="shared" si="6"/>
        <v>-211.88659583888148</v>
      </c>
      <c r="F61" s="449">
        <f t="shared" si="7"/>
        <v>-2.844963503340725E-2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-1364.4006729562952</v>
      </c>
      <c r="D62" s="465">
        <f>LN_IA16-LN_IB18</f>
        <v>-1071.7873340693814</v>
      </c>
      <c r="E62" s="465">
        <f t="shared" si="6"/>
        <v>292.61333888691388</v>
      </c>
      <c r="F62" s="449">
        <f t="shared" si="7"/>
        <v>-0.21446291011635035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-3987952.7958182762</v>
      </c>
      <c r="D63" s="448">
        <f>LN_IB19*LN_IB17</f>
        <v>-3568826.8446331727</v>
      </c>
      <c r="E63" s="448">
        <f t="shared" si="6"/>
        <v>419125.95118510351</v>
      </c>
      <c r="F63" s="449">
        <f t="shared" si="7"/>
        <v>-0.10509802212919732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56461997</v>
      </c>
      <c r="D66" s="448">
        <f>LN_IB1+LN_IB13</f>
        <v>59307952</v>
      </c>
      <c r="E66" s="448">
        <f>D66-C66</f>
        <v>2845955</v>
      </c>
      <c r="F66" s="449">
        <f>IF(C66=0,0,E66/C66)</f>
        <v>5.0404788197626095E-2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28880836</v>
      </c>
      <c r="D67" s="448">
        <f>LN_IB2+LN_IB14</f>
        <v>32000079</v>
      </c>
      <c r="E67" s="448">
        <f>D67-C67</f>
        <v>3119243</v>
      </c>
      <c r="F67" s="449">
        <f>IF(C67=0,0,E67/C67)</f>
        <v>0.10800390265711145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27581161</v>
      </c>
      <c r="D68" s="448">
        <f>LN_IB21-LN_IB22</f>
        <v>27307873</v>
      </c>
      <c r="E68" s="448">
        <f>D68-C68</f>
        <v>-273288</v>
      </c>
      <c r="F68" s="449">
        <f>IF(C68=0,0,E68/C68)</f>
        <v>-9.908502401331112E-3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-5649162.7878518878</v>
      </c>
      <c r="D70" s="441">
        <f>LN_IB9+LN_IB20</f>
        <v>-4906615.594430903</v>
      </c>
      <c r="E70" s="448">
        <f>D70-C70</f>
        <v>742547.19342098478</v>
      </c>
      <c r="F70" s="449">
        <f>IF(C70=0,0,E70/C70)</f>
        <v>-0.13144375924478197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56461997</v>
      </c>
      <c r="D73" s="488">
        <v>59307952</v>
      </c>
      <c r="E73" s="488">
        <f>D73-C73</f>
        <v>2845955</v>
      </c>
      <c r="F73" s="489">
        <f>IF(C73=0,0,E73/C73)</f>
        <v>5.0404788197626095E-2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29684854</v>
      </c>
      <c r="D74" s="488">
        <v>32000079</v>
      </c>
      <c r="E74" s="488">
        <f>D74-C74</f>
        <v>2315225</v>
      </c>
      <c r="F74" s="489">
        <f>IF(C74=0,0,E74/C74)</f>
        <v>7.799347775131385E-2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26777143</v>
      </c>
      <c r="D76" s="441">
        <f>LN_IB32-LN_IB33</f>
        <v>27307873</v>
      </c>
      <c r="E76" s="488">
        <f>D76-C76</f>
        <v>530730</v>
      </c>
      <c r="F76" s="489">
        <f>IF(E76=0,0,E76/C76)</f>
        <v>1.9820262378252976E-2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0.47425072478396396</v>
      </c>
      <c r="D77" s="453">
        <f>IF(LN_IB32=0,0,LN_IB34/LN_IB32)</f>
        <v>0.46044201627464726</v>
      </c>
      <c r="E77" s="493">
        <f>D77-C77</f>
        <v>-1.3808708509316703E-2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647359</v>
      </c>
      <c r="D83" s="448">
        <v>546866</v>
      </c>
      <c r="E83" s="448">
        <f t="shared" ref="E83:E95" si="8">D83-C83</f>
        <v>-100493</v>
      </c>
      <c r="F83" s="449">
        <f t="shared" ref="F83:F95" si="9">IF(C83=0,0,E83/C83)</f>
        <v>-0.15523534854694226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100</v>
      </c>
      <c r="D84" s="448">
        <v>5904</v>
      </c>
      <c r="E84" s="448">
        <f t="shared" si="8"/>
        <v>5804</v>
      </c>
      <c r="F84" s="449">
        <f t="shared" si="9"/>
        <v>58.04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1.5447379274869123E-4</v>
      </c>
      <c r="D85" s="453">
        <f>IF(LN_IC1=0,0,LN_IC2/LN_IC1)</f>
        <v>1.0796063386643164E-2</v>
      </c>
      <c r="E85" s="454">
        <f t="shared" si="8"/>
        <v>1.0641589593894472E-2</v>
      </c>
      <c r="F85" s="449">
        <f t="shared" si="9"/>
        <v>68.889287979139311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48</v>
      </c>
      <c r="D86" s="456">
        <v>42</v>
      </c>
      <c r="E86" s="456">
        <f t="shared" si="8"/>
        <v>-6</v>
      </c>
      <c r="F86" s="449">
        <f t="shared" si="9"/>
        <v>-0.125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1.0148999999999999</v>
      </c>
      <c r="D87" s="459">
        <v>1.0101</v>
      </c>
      <c r="E87" s="460">
        <f t="shared" si="8"/>
        <v>-4.7999999999999154E-3</v>
      </c>
      <c r="F87" s="449">
        <f t="shared" si="9"/>
        <v>-4.7295300029558734E-3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48.715199999999996</v>
      </c>
      <c r="D88" s="463">
        <f>LN_IC4*LN_IC5</f>
        <v>42.424199999999999</v>
      </c>
      <c r="E88" s="463">
        <f t="shared" si="8"/>
        <v>-6.2909999999999968</v>
      </c>
      <c r="F88" s="449">
        <f t="shared" si="9"/>
        <v>-0.1291383387525864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2.0527473971163008</v>
      </c>
      <c r="D89" s="465">
        <f>IF(LN_IC6=0,0,LN_IC2/LN_IC6)</f>
        <v>139.16585345156773</v>
      </c>
      <c r="E89" s="465">
        <f t="shared" si="8"/>
        <v>137.11310605445144</v>
      </c>
      <c r="F89" s="449">
        <f t="shared" si="9"/>
        <v>66.79492384063812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8193.630239917582</v>
      </c>
      <c r="D90" s="465">
        <f>LN_IB7-LN_IC7</f>
        <v>8421.7379596656756</v>
      </c>
      <c r="E90" s="465">
        <f t="shared" si="8"/>
        <v>228.10771974809359</v>
      </c>
      <c r="F90" s="449">
        <f t="shared" si="9"/>
        <v>2.7839640436396855E-2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6279.2998228126935</v>
      </c>
      <c r="D91" s="465">
        <f>LN_IA7-LN_IC7</f>
        <v>6973.1456606176107</v>
      </c>
      <c r="E91" s="465">
        <f t="shared" si="8"/>
        <v>693.84583780491721</v>
      </c>
      <c r="F91" s="449">
        <f t="shared" si="9"/>
        <v>0.11049732571841459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305897.3467282849</v>
      </c>
      <c r="D92" s="441">
        <f>LN_IC9*LN_IC6</f>
        <v>295830.12613517366</v>
      </c>
      <c r="E92" s="441">
        <f t="shared" si="8"/>
        <v>-10067.22059311124</v>
      </c>
      <c r="F92" s="449">
        <f t="shared" si="9"/>
        <v>-3.2910454114051232E-2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180</v>
      </c>
      <c r="D93" s="456">
        <v>169</v>
      </c>
      <c r="E93" s="456">
        <f t="shared" si="8"/>
        <v>-11</v>
      </c>
      <c r="F93" s="449">
        <f t="shared" si="9"/>
        <v>-6.1111111111111109E-2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0.55555555555555558</v>
      </c>
      <c r="D94" s="499">
        <f>IF(LN_IC11=0,0,LN_IC2/LN_IC11)</f>
        <v>34.934911242603548</v>
      </c>
      <c r="E94" s="499">
        <f t="shared" si="8"/>
        <v>34.37935568704799</v>
      </c>
      <c r="F94" s="449">
        <f t="shared" si="9"/>
        <v>61.882840236686377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3.75</v>
      </c>
      <c r="D95" s="466">
        <f>IF(LN_IC4=0,0,LN_IC11/LN_IC4)</f>
        <v>4.0238095238095237</v>
      </c>
      <c r="E95" s="466">
        <f t="shared" si="8"/>
        <v>0.27380952380952372</v>
      </c>
      <c r="F95" s="449">
        <f t="shared" si="9"/>
        <v>7.3015873015872992E-2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1890367</v>
      </c>
      <c r="D98" s="448">
        <v>1966567</v>
      </c>
      <c r="E98" s="448">
        <f t="shared" ref="E98:E106" si="10">D98-C98</f>
        <v>76200</v>
      </c>
      <c r="F98" s="449">
        <f t="shared" ref="F98:F106" si="11">IF(C98=0,0,E98/C98)</f>
        <v>4.0309632997190495E-2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95389</v>
      </c>
      <c r="D99" s="448">
        <v>284363</v>
      </c>
      <c r="E99" s="448">
        <f t="shared" si="10"/>
        <v>188974</v>
      </c>
      <c r="F99" s="449">
        <f t="shared" si="11"/>
        <v>1.9810879661176866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5.0460571941850448E-2</v>
      </c>
      <c r="D100" s="453">
        <f>IF(LN_IC14=0,0,LN_IC15/LN_IC14)</f>
        <v>0.14459868389940439</v>
      </c>
      <c r="E100" s="454">
        <f t="shared" si="10"/>
        <v>9.4138111957553949E-2</v>
      </c>
      <c r="F100" s="449">
        <f t="shared" si="11"/>
        <v>1.865577585328134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2.9201216017696519</v>
      </c>
      <c r="D101" s="453">
        <f>IF(LN_IC1=0,0,LN_IC14/LN_IC1)</f>
        <v>3.5960674095665119</v>
      </c>
      <c r="E101" s="454">
        <f t="shared" si="10"/>
        <v>0.67594580779686009</v>
      </c>
      <c r="F101" s="449">
        <f t="shared" si="11"/>
        <v>0.23147865054223202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140.1658368849433</v>
      </c>
      <c r="D102" s="463">
        <f>LN_IC17*LN_IC4</f>
        <v>151.03483120179351</v>
      </c>
      <c r="E102" s="463">
        <f t="shared" si="10"/>
        <v>10.868994316850205</v>
      </c>
      <c r="F102" s="449">
        <f t="shared" si="11"/>
        <v>7.754381922445297E-2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680.54386232717411</v>
      </c>
      <c r="D103" s="465">
        <f>IF(LN_IC18=0,0,LN_IC15/LN_IC18)</f>
        <v>1882.7643778412303</v>
      </c>
      <c r="E103" s="465">
        <f t="shared" si="10"/>
        <v>1202.2205155140562</v>
      </c>
      <c r="F103" s="449">
        <f t="shared" si="11"/>
        <v>1.7665584572359041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6767.2351896737273</v>
      </c>
      <c r="D104" s="465">
        <f>LN_IB18-LN_IC19</f>
        <v>5353.1280783207894</v>
      </c>
      <c r="E104" s="465">
        <f t="shared" si="10"/>
        <v>-1414.1071113529379</v>
      </c>
      <c r="F104" s="449">
        <f t="shared" si="11"/>
        <v>-0.20896378974839752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5402.8345167174321</v>
      </c>
      <c r="D105" s="465">
        <f>LN_IA16-LN_IC19</f>
        <v>4281.3407442514081</v>
      </c>
      <c r="E105" s="465">
        <f t="shared" si="10"/>
        <v>-1121.493772466024</v>
      </c>
      <c r="F105" s="449">
        <f t="shared" si="11"/>
        <v>-0.20757507360181063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757292.82158655708</v>
      </c>
      <c r="D106" s="448">
        <f>LN_IC21*LN_IC18</f>
        <v>646631.5766253724</v>
      </c>
      <c r="E106" s="448">
        <f t="shared" si="10"/>
        <v>-110661.24496118468</v>
      </c>
      <c r="F106" s="449">
        <f t="shared" si="11"/>
        <v>-0.14612741836023904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2537726</v>
      </c>
      <c r="D109" s="448">
        <f>LN_IC1+LN_IC14</f>
        <v>2513433</v>
      </c>
      <c r="E109" s="448">
        <f>D109-C109</f>
        <v>-24293</v>
      </c>
      <c r="F109" s="449">
        <f>IF(C109=0,0,E109/C109)</f>
        <v>-9.5727434719114664E-3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95489</v>
      </c>
      <c r="D110" s="448">
        <f>LN_IC2+LN_IC15</f>
        <v>290267</v>
      </c>
      <c r="E110" s="448">
        <f>D110-C110</f>
        <v>194778</v>
      </c>
      <c r="F110" s="449">
        <f>IF(C110=0,0,E110/C110)</f>
        <v>2.0397951596518973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2442237</v>
      </c>
      <c r="D111" s="448">
        <f>LN_IC23-LN_IC24</f>
        <v>2223166</v>
      </c>
      <c r="E111" s="448">
        <f>D111-C111</f>
        <v>-219071</v>
      </c>
      <c r="F111" s="449">
        <f>IF(C111=0,0,E111/C111)</f>
        <v>-8.9700958588376151E-2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1063190.168314842</v>
      </c>
      <c r="D113" s="448">
        <f>LN_IC10+LN_IC22</f>
        <v>942461.702760546</v>
      </c>
      <c r="E113" s="448">
        <f>D113-C113</f>
        <v>-120728.46555429604</v>
      </c>
      <c r="F113" s="449">
        <f>IF(C113=0,0,E113/C113)</f>
        <v>-0.11355303044764874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8611611</v>
      </c>
      <c r="D118" s="448">
        <v>10503345</v>
      </c>
      <c r="E118" s="448">
        <f t="shared" ref="E118:E130" si="12">D118-C118</f>
        <v>1891734</v>
      </c>
      <c r="F118" s="449">
        <f t="shared" ref="F118:F130" si="13">IF(C118=0,0,E118/C118)</f>
        <v>0.21967248636753331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1929397</v>
      </c>
      <c r="D119" s="448">
        <v>5211995</v>
      </c>
      <c r="E119" s="448">
        <f t="shared" si="12"/>
        <v>3282598</v>
      </c>
      <c r="F119" s="449">
        <f t="shared" si="13"/>
        <v>1.7013595439404126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0.22404600021993562</v>
      </c>
      <c r="D120" s="453">
        <f>IF(LN_ID1=0,0,LN_1D2/LN_ID1)</f>
        <v>0.49622239391355799</v>
      </c>
      <c r="E120" s="454">
        <f t="shared" si="12"/>
        <v>0.27217639369362234</v>
      </c>
      <c r="F120" s="449">
        <f t="shared" si="13"/>
        <v>1.2148237122128462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581</v>
      </c>
      <c r="D121" s="456">
        <v>681</v>
      </c>
      <c r="E121" s="456">
        <f t="shared" si="12"/>
        <v>100</v>
      </c>
      <c r="F121" s="449">
        <f t="shared" si="13"/>
        <v>0.1721170395869191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0.94340000000000002</v>
      </c>
      <c r="D122" s="459">
        <v>0.94079999999999997</v>
      </c>
      <c r="E122" s="460">
        <f t="shared" si="12"/>
        <v>-2.6000000000000467E-3</v>
      </c>
      <c r="F122" s="449">
        <f t="shared" si="13"/>
        <v>-2.7559889760441453E-3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548.11540000000002</v>
      </c>
      <c r="D123" s="463">
        <f>LN_ID4*LN_ID5</f>
        <v>640.6848</v>
      </c>
      <c r="E123" s="463">
        <f t="shared" si="12"/>
        <v>92.569399999999973</v>
      </c>
      <c r="F123" s="449">
        <f t="shared" si="13"/>
        <v>0.16888669794718406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3520.0561779508475</v>
      </c>
      <c r="D124" s="465">
        <f>IF(LN_ID6=0,0,LN_1D2/LN_ID6)</f>
        <v>8135.0376971640344</v>
      </c>
      <c r="E124" s="465">
        <f t="shared" si="12"/>
        <v>4614.9815192131864</v>
      </c>
      <c r="F124" s="449">
        <f t="shared" si="13"/>
        <v>1.3110533712844705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4675.62680936385</v>
      </c>
      <c r="D125" s="465">
        <f>LN_IB7-LN_ID7</f>
        <v>425.86611595320937</v>
      </c>
      <c r="E125" s="465">
        <f t="shared" si="12"/>
        <v>-4249.7606934106407</v>
      </c>
      <c r="F125" s="449">
        <f t="shared" si="13"/>
        <v>-0.90891785565513272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2761.296392258962</v>
      </c>
      <c r="D126" s="465">
        <f>LN_IA7-LN_ID7</f>
        <v>-1022.7261830948564</v>
      </c>
      <c r="E126" s="465">
        <f t="shared" si="12"/>
        <v>-3784.0225753538184</v>
      </c>
      <c r="F126" s="449">
        <f t="shared" si="13"/>
        <v>-1.3703789951567584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1513509.0765615779</v>
      </c>
      <c r="D127" s="479">
        <f>LN_ID9*LN_ID6</f>
        <v>-655245.12007089145</v>
      </c>
      <c r="E127" s="479">
        <f t="shared" si="12"/>
        <v>-2168754.1966324691</v>
      </c>
      <c r="F127" s="449">
        <f t="shared" si="13"/>
        <v>-1.4329310806377793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2623</v>
      </c>
      <c r="D128" s="456">
        <v>3369</v>
      </c>
      <c r="E128" s="456">
        <f t="shared" si="12"/>
        <v>746</v>
      </c>
      <c r="F128" s="449">
        <f t="shared" si="13"/>
        <v>0.28440716736561189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735.5688143347312</v>
      </c>
      <c r="D129" s="465">
        <f>IF(LN_ID11=0,0,LN_1D2/LN_ID11)</f>
        <v>1547.0451172454734</v>
      </c>
      <c r="E129" s="465">
        <f t="shared" si="12"/>
        <v>811.47630291074222</v>
      </c>
      <c r="F129" s="449">
        <f t="shared" si="13"/>
        <v>1.1031956318657472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4.5146299483648882</v>
      </c>
      <c r="D130" s="466">
        <f>IF(LN_ID4=0,0,LN_ID11/LN_ID4)</f>
        <v>4.9471365638766516</v>
      </c>
      <c r="E130" s="466">
        <f t="shared" si="12"/>
        <v>0.43250661551176339</v>
      </c>
      <c r="F130" s="449">
        <f t="shared" si="13"/>
        <v>9.5801122231160704E-2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17040706</v>
      </c>
      <c r="D133" s="448">
        <v>20760315</v>
      </c>
      <c r="E133" s="448">
        <f t="shared" ref="E133:E141" si="14">D133-C133</f>
        <v>3719609</v>
      </c>
      <c r="F133" s="449">
        <f t="shared" ref="F133:F141" si="15">IF(C133=0,0,E133/C133)</f>
        <v>0.21827786947324834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4033829</v>
      </c>
      <c r="D134" s="448">
        <v>4425841</v>
      </c>
      <c r="E134" s="448">
        <f t="shared" si="14"/>
        <v>392012</v>
      </c>
      <c r="F134" s="449">
        <f t="shared" si="15"/>
        <v>9.7181115015039066E-2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0.23671724633944158</v>
      </c>
      <c r="D135" s="453">
        <f>IF(LN_ID14=0,0,LN_ID15/LN_ID14)</f>
        <v>0.21318756483222917</v>
      </c>
      <c r="E135" s="454">
        <f t="shared" si="14"/>
        <v>-2.3529681507212408E-2</v>
      </c>
      <c r="F135" s="449">
        <f t="shared" si="15"/>
        <v>-9.9399946016066498E-2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1.9788058239044937</v>
      </c>
      <c r="D136" s="453">
        <f>IF(LN_ID1=0,0,LN_ID14/LN_ID1)</f>
        <v>1.9765431869561554</v>
      </c>
      <c r="E136" s="454">
        <f t="shared" si="14"/>
        <v>-2.2626369483382813E-3</v>
      </c>
      <c r="F136" s="449">
        <f t="shared" si="15"/>
        <v>-1.1434355614911948E-3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1149.6861836885107</v>
      </c>
      <c r="D137" s="463">
        <f>LN_ID17*LN_ID4</f>
        <v>1346.0259103171418</v>
      </c>
      <c r="E137" s="463">
        <f t="shared" si="14"/>
        <v>196.33972662863107</v>
      </c>
      <c r="F137" s="449">
        <f t="shared" si="15"/>
        <v>0.17077679928162573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3508.6348407339842</v>
      </c>
      <c r="D138" s="465">
        <f>IF(LN_ID18=0,0,LN_ID15/LN_ID18)</f>
        <v>3288.0800927206615</v>
      </c>
      <c r="E138" s="465">
        <f t="shared" si="14"/>
        <v>-220.55474801332275</v>
      </c>
      <c r="F138" s="449">
        <f t="shared" si="15"/>
        <v>-6.2860559170410585E-2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3939.144211266917</v>
      </c>
      <c r="D139" s="465">
        <f>LN_IB18-LN_ID19</f>
        <v>3947.8123634413582</v>
      </c>
      <c r="E139" s="465">
        <f t="shared" si="14"/>
        <v>8.6681521744412748</v>
      </c>
      <c r="F139" s="449">
        <f t="shared" si="15"/>
        <v>2.2005165867368445E-3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2574.7435383106217</v>
      </c>
      <c r="D140" s="465">
        <f>LN_IA16-LN_ID19</f>
        <v>2876.0250293719769</v>
      </c>
      <c r="E140" s="465">
        <f t="shared" si="14"/>
        <v>301.28149106135515</v>
      </c>
      <c r="F140" s="449">
        <f t="shared" si="15"/>
        <v>0.11701417503470515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2960147.0725369914</v>
      </c>
      <c r="D141" s="441">
        <f>LN_ID21*LN_ID18</f>
        <v>3871204.2082552994</v>
      </c>
      <c r="E141" s="441">
        <f t="shared" si="14"/>
        <v>911057.13571830792</v>
      </c>
      <c r="F141" s="449">
        <f t="shared" si="15"/>
        <v>0.30777428059933765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25652317</v>
      </c>
      <c r="D144" s="448">
        <f>LN_ID1+LN_ID14</f>
        <v>31263660</v>
      </c>
      <c r="E144" s="448">
        <f>D144-C144</f>
        <v>5611343</v>
      </c>
      <c r="F144" s="449">
        <f>IF(C144=0,0,E144/C144)</f>
        <v>0.21874604933347735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5963226</v>
      </c>
      <c r="D145" s="448">
        <f>LN_1D2+LN_ID15</f>
        <v>9637836</v>
      </c>
      <c r="E145" s="448">
        <f>D145-C145</f>
        <v>3674610</v>
      </c>
      <c r="F145" s="449">
        <f>IF(C145=0,0,E145/C145)</f>
        <v>0.61621176188861537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19689091</v>
      </c>
      <c r="D146" s="448">
        <f>LN_ID23-LN_ID24</f>
        <v>21625824</v>
      </c>
      <c r="E146" s="448">
        <f>D146-C146</f>
        <v>1936733</v>
      </c>
      <c r="F146" s="449">
        <f>IF(C146=0,0,E146/C146)</f>
        <v>9.8365790477579693E-2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4473656.1490985695</v>
      </c>
      <c r="D148" s="448">
        <f>LN_ID10+LN_ID22</f>
        <v>3215959.0881844079</v>
      </c>
      <c r="E148" s="448">
        <f>D148-C148</f>
        <v>-1257697.0609141616</v>
      </c>
      <c r="F148" s="503">
        <f>IF(C148=0,0,E148/C148)</f>
        <v>-0.28113404763296002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0.85</v>
      </c>
      <c r="D157" s="459">
        <v>0</v>
      </c>
      <c r="E157" s="460">
        <f t="shared" si="16"/>
        <v>-0.85</v>
      </c>
      <c r="F157" s="449">
        <f t="shared" si="17"/>
        <v>-1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8195.682987314698</v>
      </c>
      <c r="D160" s="465">
        <f>LN_IB7-LN_IE7</f>
        <v>8560.9038131172438</v>
      </c>
      <c r="E160" s="465">
        <f t="shared" si="16"/>
        <v>365.22082580254573</v>
      </c>
      <c r="F160" s="449">
        <f t="shared" si="17"/>
        <v>4.4562585737861697E-2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6281.3525702098095</v>
      </c>
      <c r="D161" s="465">
        <f>LN_IA7-LN_IE7</f>
        <v>7112.311514069178</v>
      </c>
      <c r="E161" s="465">
        <f t="shared" si="16"/>
        <v>830.95894385936845</v>
      </c>
      <c r="F161" s="449">
        <f t="shared" si="17"/>
        <v>0.13228981092389355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7447.7790520009012</v>
      </c>
      <c r="D174" s="465">
        <f>LN_IB18-LN_IE19</f>
        <v>7235.8924561620197</v>
      </c>
      <c r="E174" s="465">
        <f t="shared" si="18"/>
        <v>-211.88659583888148</v>
      </c>
      <c r="F174" s="449">
        <f t="shared" si="19"/>
        <v>-2.844963503340725E-2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6083.3783790446059</v>
      </c>
      <c r="D175" s="465">
        <f>LN_IA16-LN_IE19</f>
        <v>6164.1051220926383</v>
      </c>
      <c r="E175" s="465">
        <f t="shared" si="18"/>
        <v>80.726743048032404</v>
      </c>
      <c r="F175" s="449">
        <f t="shared" si="19"/>
        <v>1.3270051280405565E-2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8611611</v>
      </c>
      <c r="D188" s="448">
        <f>LN_ID1+LN_IE1</f>
        <v>10503345</v>
      </c>
      <c r="E188" s="448">
        <f t="shared" ref="E188:E200" si="20">D188-C188</f>
        <v>1891734</v>
      </c>
      <c r="F188" s="449">
        <f t="shared" ref="F188:F200" si="21">IF(C188=0,0,E188/C188)</f>
        <v>0.21967248636753331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1929397</v>
      </c>
      <c r="D189" s="448">
        <f>LN_1D2+LN_IE2</f>
        <v>5211995</v>
      </c>
      <c r="E189" s="448">
        <f t="shared" si="20"/>
        <v>3282598</v>
      </c>
      <c r="F189" s="449">
        <f t="shared" si="21"/>
        <v>1.7013595439404126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0.22404600021993562</v>
      </c>
      <c r="D190" s="453">
        <f>IF(LN_IF1=0,0,LN_IF2/LN_IF1)</f>
        <v>0.49622239391355799</v>
      </c>
      <c r="E190" s="454">
        <f t="shared" si="20"/>
        <v>0.27217639369362234</v>
      </c>
      <c r="F190" s="449">
        <f t="shared" si="21"/>
        <v>1.2148237122128462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581</v>
      </c>
      <c r="D191" s="456">
        <f>LN_ID4+LN_IE4</f>
        <v>681</v>
      </c>
      <c r="E191" s="456">
        <f t="shared" si="20"/>
        <v>100</v>
      </c>
      <c r="F191" s="449">
        <f t="shared" si="21"/>
        <v>0.1721170395869191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0.94340000000000002</v>
      </c>
      <c r="D192" s="459">
        <f>IF((LN_ID4+LN_IE4)=0,0,(LN_ID6+LN_IE6)/(LN_ID4+LN_IE4))</f>
        <v>0.94079999999999997</v>
      </c>
      <c r="E192" s="460">
        <f t="shared" si="20"/>
        <v>-2.6000000000000467E-3</v>
      </c>
      <c r="F192" s="449">
        <f t="shared" si="21"/>
        <v>-2.7559889760441453E-3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548.11540000000002</v>
      </c>
      <c r="D193" s="463">
        <f>LN_IF4*LN_IF5</f>
        <v>640.6848</v>
      </c>
      <c r="E193" s="463">
        <f t="shared" si="20"/>
        <v>92.569399999999973</v>
      </c>
      <c r="F193" s="449">
        <f t="shared" si="21"/>
        <v>0.16888669794718406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3520.0561779508475</v>
      </c>
      <c r="D194" s="465">
        <f>IF(LN_IF6=0,0,LN_IF2/LN_IF6)</f>
        <v>8135.0376971640344</v>
      </c>
      <c r="E194" s="465">
        <f t="shared" si="20"/>
        <v>4614.9815192131864</v>
      </c>
      <c r="F194" s="449">
        <f t="shared" si="21"/>
        <v>1.3110533712844705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4675.62680936385</v>
      </c>
      <c r="D195" s="465">
        <f>LN_IB7-LN_IF7</f>
        <v>425.86611595320937</v>
      </c>
      <c r="E195" s="465">
        <f t="shared" si="20"/>
        <v>-4249.7606934106407</v>
      </c>
      <c r="F195" s="449">
        <f t="shared" si="21"/>
        <v>-0.90891785565513272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2761.296392258962</v>
      </c>
      <c r="D196" s="465">
        <f>LN_IA7-LN_IF7</f>
        <v>-1022.7261830948564</v>
      </c>
      <c r="E196" s="465">
        <f t="shared" si="20"/>
        <v>-3784.0225753538184</v>
      </c>
      <c r="F196" s="449">
        <f t="shared" si="21"/>
        <v>-1.3703789951567584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1513509.0765615779</v>
      </c>
      <c r="D197" s="479">
        <f>LN_IF9*LN_IF6</f>
        <v>-655245.12007089145</v>
      </c>
      <c r="E197" s="479">
        <f t="shared" si="20"/>
        <v>-2168754.1966324691</v>
      </c>
      <c r="F197" s="449">
        <f t="shared" si="21"/>
        <v>-1.4329310806377793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2623</v>
      </c>
      <c r="D198" s="456">
        <f>LN_ID11+LN_IE11</f>
        <v>3369</v>
      </c>
      <c r="E198" s="456">
        <f t="shared" si="20"/>
        <v>746</v>
      </c>
      <c r="F198" s="449">
        <f t="shared" si="21"/>
        <v>0.28440716736561189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735.5688143347312</v>
      </c>
      <c r="D199" s="519">
        <f>IF(LN_IF11=0,0,LN_IF2/LN_IF11)</f>
        <v>1547.0451172454734</v>
      </c>
      <c r="E199" s="519">
        <f t="shared" si="20"/>
        <v>811.47630291074222</v>
      </c>
      <c r="F199" s="449">
        <f t="shared" si="21"/>
        <v>1.1031956318657472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4.5146299483648882</v>
      </c>
      <c r="D200" s="466">
        <f>IF(LN_IF4=0,0,LN_IF11/LN_IF4)</f>
        <v>4.9471365638766516</v>
      </c>
      <c r="E200" s="466">
        <f t="shared" si="20"/>
        <v>0.43250661551176339</v>
      </c>
      <c r="F200" s="449">
        <f t="shared" si="21"/>
        <v>9.5801122231160704E-2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17040706</v>
      </c>
      <c r="D203" s="448">
        <f>LN_ID14+LN_IE14</f>
        <v>20760315</v>
      </c>
      <c r="E203" s="448">
        <f t="shared" ref="E203:E211" si="22">D203-C203</f>
        <v>3719609</v>
      </c>
      <c r="F203" s="449">
        <f t="shared" ref="F203:F211" si="23">IF(C203=0,0,E203/C203)</f>
        <v>0.21827786947324834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4033829</v>
      </c>
      <c r="D204" s="448">
        <f>LN_ID15+LN_IE15</f>
        <v>4425841</v>
      </c>
      <c r="E204" s="448">
        <f t="shared" si="22"/>
        <v>392012</v>
      </c>
      <c r="F204" s="449">
        <f t="shared" si="23"/>
        <v>9.7181115015039066E-2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0.23671724633944158</v>
      </c>
      <c r="D205" s="453">
        <f>IF(LN_IF14=0,0,LN_IF15/LN_IF14)</f>
        <v>0.21318756483222917</v>
      </c>
      <c r="E205" s="454">
        <f t="shared" si="22"/>
        <v>-2.3529681507212408E-2</v>
      </c>
      <c r="F205" s="449">
        <f t="shared" si="23"/>
        <v>-9.9399946016066498E-2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1.9788058239044937</v>
      </c>
      <c r="D206" s="453">
        <f>IF(LN_IF1=0,0,LN_IF14/LN_IF1)</f>
        <v>1.9765431869561554</v>
      </c>
      <c r="E206" s="454">
        <f t="shared" si="22"/>
        <v>-2.2626369483382813E-3</v>
      </c>
      <c r="F206" s="449">
        <f t="shared" si="23"/>
        <v>-1.1434355614911948E-3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1149.6861836885107</v>
      </c>
      <c r="D207" s="463">
        <f>LN_ID18+LN_IE18</f>
        <v>1346.0259103171418</v>
      </c>
      <c r="E207" s="463">
        <f t="shared" si="22"/>
        <v>196.33972662863107</v>
      </c>
      <c r="F207" s="449">
        <f t="shared" si="23"/>
        <v>0.17077679928162573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3508.6348407339842</v>
      </c>
      <c r="D208" s="465">
        <f>IF(LN_IF18=0,0,LN_IF15/LN_IF18)</f>
        <v>3288.0800927206615</v>
      </c>
      <c r="E208" s="465">
        <f t="shared" si="22"/>
        <v>-220.55474801332275</v>
      </c>
      <c r="F208" s="449">
        <f t="shared" si="23"/>
        <v>-6.2860559170410585E-2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3939.144211266917</v>
      </c>
      <c r="D209" s="465">
        <f>LN_IB18-LN_IF19</f>
        <v>3947.8123634413582</v>
      </c>
      <c r="E209" s="465">
        <f t="shared" si="22"/>
        <v>8.6681521744412748</v>
      </c>
      <c r="F209" s="449">
        <f t="shared" si="23"/>
        <v>2.2005165867368445E-3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2574.7435383106217</v>
      </c>
      <c r="D210" s="465">
        <f>LN_IA16-LN_IF19</f>
        <v>2876.0250293719769</v>
      </c>
      <c r="E210" s="465">
        <f t="shared" si="22"/>
        <v>301.28149106135515</v>
      </c>
      <c r="F210" s="449">
        <f t="shared" si="23"/>
        <v>0.11701417503470515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2960147.0725369914</v>
      </c>
      <c r="D211" s="441">
        <f>LN_IF21*LN_IF18</f>
        <v>3871204.2082552994</v>
      </c>
      <c r="E211" s="441">
        <f t="shared" si="22"/>
        <v>911057.13571830792</v>
      </c>
      <c r="F211" s="449">
        <f t="shared" si="23"/>
        <v>0.30777428059933765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25652317</v>
      </c>
      <c r="D214" s="448">
        <f>LN_IF1+LN_IF14</f>
        <v>31263660</v>
      </c>
      <c r="E214" s="448">
        <f>D214-C214</f>
        <v>5611343</v>
      </c>
      <c r="F214" s="449">
        <f>IF(C214=0,0,E214/C214)</f>
        <v>0.21874604933347735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5963226</v>
      </c>
      <c r="D215" s="448">
        <f>LN_IF2+LN_IF15</f>
        <v>9637836</v>
      </c>
      <c r="E215" s="448">
        <f>D215-C215</f>
        <v>3674610</v>
      </c>
      <c r="F215" s="449">
        <f>IF(C215=0,0,E215/C215)</f>
        <v>0.61621176188861537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19689091</v>
      </c>
      <c r="D216" s="448">
        <f>LN_IF23-LN_IF24</f>
        <v>21625824</v>
      </c>
      <c r="E216" s="448">
        <f>D216-C216</f>
        <v>1936733</v>
      </c>
      <c r="F216" s="449">
        <f>IF(C216=0,0,E216/C216)</f>
        <v>9.8365790477579693E-2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411547</v>
      </c>
      <c r="D221" s="448">
        <v>370688</v>
      </c>
      <c r="E221" s="448">
        <f t="shared" ref="E221:E230" si="24">D221-C221</f>
        <v>-40859</v>
      </c>
      <c r="F221" s="449">
        <f t="shared" ref="F221:F230" si="25">IF(C221=0,0,E221/C221)</f>
        <v>-9.928149154288575E-2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159823</v>
      </c>
      <c r="D222" s="448">
        <v>155890</v>
      </c>
      <c r="E222" s="448">
        <f t="shared" si="24"/>
        <v>-3933</v>
      </c>
      <c r="F222" s="449">
        <f t="shared" si="25"/>
        <v>-2.4608473123392753E-2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0.38834689598028899</v>
      </c>
      <c r="D223" s="453">
        <f>IF(LN_IG1=0,0,LN_IG2/LN_IG1)</f>
        <v>0.42054234288674031</v>
      </c>
      <c r="E223" s="454">
        <f t="shared" si="24"/>
        <v>3.2195446906451319E-2</v>
      </c>
      <c r="F223" s="449">
        <f t="shared" si="25"/>
        <v>8.2903834792297237E-2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29</v>
      </c>
      <c r="D224" s="456">
        <v>24</v>
      </c>
      <c r="E224" s="456">
        <f t="shared" si="24"/>
        <v>-5</v>
      </c>
      <c r="F224" s="449">
        <f t="shared" si="25"/>
        <v>-0.17241379310344829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1.0887</v>
      </c>
      <c r="D225" s="459">
        <v>0.91200000000000003</v>
      </c>
      <c r="E225" s="460">
        <f t="shared" si="24"/>
        <v>-0.17669999999999997</v>
      </c>
      <c r="F225" s="449">
        <f t="shared" si="25"/>
        <v>-0.16230366492146595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31.572299999999998</v>
      </c>
      <c r="D226" s="463">
        <f>LN_IG3*LN_IG4</f>
        <v>21.888000000000002</v>
      </c>
      <c r="E226" s="463">
        <f t="shared" si="24"/>
        <v>-9.6842999999999968</v>
      </c>
      <c r="F226" s="449">
        <f t="shared" si="25"/>
        <v>-0.30673406752121313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5062.1272444516244</v>
      </c>
      <c r="D227" s="465">
        <f>IF(LN_IG5=0,0,LN_IG2/LN_IG5)</f>
        <v>7122.1673976608181</v>
      </c>
      <c r="E227" s="465">
        <f t="shared" si="24"/>
        <v>2060.0401532091937</v>
      </c>
      <c r="F227" s="449">
        <f t="shared" si="25"/>
        <v>0.40695147587748082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112</v>
      </c>
      <c r="D228" s="456">
        <v>101</v>
      </c>
      <c r="E228" s="456">
        <f t="shared" si="24"/>
        <v>-11</v>
      </c>
      <c r="F228" s="449">
        <f t="shared" si="25"/>
        <v>-9.8214285714285712E-2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1426.9910714285713</v>
      </c>
      <c r="D229" s="465">
        <f>IF(LN_IG6=0,0,LN_IG2/LN_IG6)</f>
        <v>1543.4653465346535</v>
      </c>
      <c r="E229" s="465">
        <f t="shared" si="24"/>
        <v>116.47427510608213</v>
      </c>
      <c r="F229" s="449">
        <f t="shared" si="25"/>
        <v>8.1622287229505139E-2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3.8620689655172415</v>
      </c>
      <c r="D230" s="466">
        <f>IF(LN_IG3=0,0,LN_IG6/LN_IG3)</f>
        <v>4.208333333333333</v>
      </c>
      <c r="E230" s="466">
        <f t="shared" si="24"/>
        <v>0.34626436781609149</v>
      </c>
      <c r="F230" s="449">
        <f t="shared" si="25"/>
        <v>8.9657738095237971E-2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562072</v>
      </c>
      <c r="D233" s="448">
        <v>593638</v>
      </c>
      <c r="E233" s="448">
        <f>D233-C233</f>
        <v>31566</v>
      </c>
      <c r="F233" s="449">
        <f>IF(C233=0,0,E233/C233)</f>
        <v>5.6160064902717091E-2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171552</v>
      </c>
      <c r="D234" s="448">
        <v>183266</v>
      </c>
      <c r="E234" s="448">
        <f>D234-C234</f>
        <v>11714</v>
      </c>
      <c r="F234" s="449">
        <f>IF(C234=0,0,E234/C234)</f>
        <v>6.8282503264316355E-2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973619</v>
      </c>
      <c r="D237" s="448">
        <f>LN_IG1+LN_IG9</f>
        <v>964326</v>
      </c>
      <c r="E237" s="448">
        <f>D237-C237</f>
        <v>-9293</v>
      </c>
      <c r="F237" s="449">
        <f>IF(C237=0,0,E237/C237)</f>
        <v>-9.5448014058887518E-3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331375</v>
      </c>
      <c r="D238" s="448">
        <f>LN_IG2+LN_IG10</f>
        <v>339156</v>
      </c>
      <c r="E238" s="448">
        <f>D238-C238</f>
        <v>7781</v>
      </c>
      <c r="F238" s="449">
        <f>IF(C238=0,0,E238/C238)</f>
        <v>2.3480950584685023E-2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642244</v>
      </c>
      <c r="D239" s="448">
        <f>LN_IG13-LN_IG14</f>
        <v>625170</v>
      </c>
      <c r="E239" s="448">
        <f>D239-C239</f>
        <v>-17074</v>
      </c>
      <c r="F239" s="449">
        <f>IF(C239=0,0,E239/C239)</f>
        <v>-2.6584911653514863E-2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275135</v>
      </c>
      <c r="D243" s="448">
        <v>473373</v>
      </c>
      <c r="E243" s="441">
        <f>D243-C243</f>
        <v>198238</v>
      </c>
      <c r="F243" s="503">
        <f>IF(C243=0,0,E243/C243)</f>
        <v>0.72051174877787272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63578052</v>
      </c>
      <c r="D244" s="448">
        <v>66456723</v>
      </c>
      <c r="E244" s="441">
        <f>D244-C244</f>
        <v>2878671</v>
      </c>
      <c r="F244" s="503">
        <f>IF(C244=0,0,E244/C244)</f>
        <v>4.5277747735963977E-2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310398</v>
      </c>
      <c r="D248" s="441">
        <v>387404</v>
      </c>
      <c r="E248" s="441">
        <f>D248-C248</f>
        <v>77006</v>
      </c>
      <c r="F248" s="449">
        <f>IF(C248=0,0,E248/C248)</f>
        <v>0.24808793871094531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4455452</v>
      </c>
      <c r="D249" s="441">
        <v>4119249</v>
      </c>
      <c r="E249" s="441">
        <f>D249-C249</f>
        <v>-336203</v>
      </c>
      <c r="F249" s="449">
        <f>IF(C249=0,0,E249/C249)</f>
        <v>-7.5458786224158622E-2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4765850</v>
      </c>
      <c r="D250" s="441">
        <f>LN_IH4+LN_IH5</f>
        <v>4506653</v>
      </c>
      <c r="E250" s="441">
        <f>D250-C250</f>
        <v>-259197</v>
      </c>
      <c r="F250" s="449">
        <f>IF(C250=0,0,E250/C250)</f>
        <v>-5.438631094138506E-2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1607247.5033248169</v>
      </c>
      <c r="D251" s="441">
        <f>LN_IH6*LN_III10</f>
        <v>1641571.375571857</v>
      </c>
      <c r="E251" s="441">
        <f>D251-C251</f>
        <v>34323.872247040039</v>
      </c>
      <c r="F251" s="449">
        <f>IF(C251=0,0,E251/C251)</f>
        <v>2.1355685528231524E-2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25652317</v>
      </c>
      <c r="D254" s="441">
        <f>LN_IF23</f>
        <v>31263660</v>
      </c>
      <c r="E254" s="441">
        <f>D254-C254</f>
        <v>5611343</v>
      </c>
      <c r="F254" s="449">
        <f>IF(C254=0,0,E254/C254)</f>
        <v>0.21874604933347735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5963226</v>
      </c>
      <c r="D255" s="441">
        <f>LN_IF24</f>
        <v>9637836</v>
      </c>
      <c r="E255" s="441">
        <f>D255-C255</f>
        <v>3674610</v>
      </c>
      <c r="F255" s="449">
        <f>IF(C255=0,0,E255/C255)</f>
        <v>0.61621176188861537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8651053.31740335</v>
      </c>
      <c r="D256" s="441">
        <f>LN_IH8*LN_III10</f>
        <v>11387947.852122372</v>
      </c>
      <c r="E256" s="441">
        <f>D256-C256</f>
        <v>2736894.534719022</v>
      </c>
      <c r="F256" s="449">
        <f>IF(C256=0,0,E256/C256)</f>
        <v>0.3163654683774984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2687827.31740335</v>
      </c>
      <c r="D257" s="441">
        <f>LN_IH10-LN_IH9</f>
        <v>1750111.852122372</v>
      </c>
      <c r="E257" s="441">
        <f>D257-C257</f>
        <v>-937715.46528097801</v>
      </c>
      <c r="F257" s="449">
        <f>IF(C257=0,0,E257/C257)</f>
        <v>-0.34887489207710115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62288196</v>
      </c>
      <c r="D261" s="448">
        <f>LN_IA1+LN_IB1+LN_IF1+LN_IG1</f>
        <v>61453127</v>
      </c>
      <c r="E261" s="448">
        <f t="shared" ref="E261:E274" si="26">D261-C261</f>
        <v>-835069</v>
      </c>
      <c r="F261" s="503">
        <f t="shared" ref="F261:F274" si="27">IF(C261=0,0,E261/C261)</f>
        <v>-1.3406536930367995E-2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22710297</v>
      </c>
      <c r="D262" s="448">
        <f>+LN_IA2+LN_IB2+LN_IF2+LN_IG2</f>
        <v>27371492</v>
      </c>
      <c r="E262" s="448">
        <f t="shared" si="26"/>
        <v>4661195</v>
      </c>
      <c r="F262" s="503">
        <f t="shared" si="27"/>
        <v>0.20524588471916505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0.3646003329426975</v>
      </c>
      <c r="D263" s="453">
        <f>IF(LN_IIA1=0,0,LN_IIA2/LN_IIA1)</f>
        <v>0.44540438113100411</v>
      </c>
      <c r="E263" s="454">
        <f t="shared" si="26"/>
        <v>8.080404818830661E-2</v>
      </c>
      <c r="F263" s="458">
        <f t="shared" si="27"/>
        <v>0.22162362698940868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3139</v>
      </c>
      <c r="D264" s="456">
        <f>LN_IA4+LN_IB4+LN_IF4+LN_IG3</f>
        <v>3191</v>
      </c>
      <c r="E264" s="456">
        <f t="shared" si="26"/>
        <v>52</v>
      </c>
      <c r="F264" s="503">
        <f t="shared" si="27"/>
        <v>1.6565785281936921E-2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1.1462646384198789</v>
      </c>
      <c r="D265" s="525">
        <f>IF(LN_IIA4=0,0,LN_IIA6/LN_IIA4)</f>
        <v>1.1182115324349735</v>
      </c>
      <c r="E265" s="525">
        <f t="shared" si="26"/>
        <v>-2.8053105984905402E-2</v>
      </c>
      <c r="F265" s="503">
        <f t="shared" si="27"/>
        <v>-2.447349856624426E-2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3598.1246999999998</v>
      </c>
      <c r="D266" s="463">
        <f>LN_IA6+LN_IB6+LN_IF6+LN_IG5</f>
        <v>3568.2130000000002</v>
      </c>
      <c r="E266" s="463">
        <f t="shared" si="26"/>
        <v>-29.911699999999655</v>
      </c>
      <c r="F266" s="503">
        <f t="shared" si="27"/>
        <v>-8.3131360066535931E-3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96843117</v>
      </c>
      <c r="D267" s="448">
        <f>LN_IA11+LN_IB13+LN_IF14+LN_IG9</f>
        <v>109147635</v>
      </c>
      <c r="E267" s="448">
        <f t="shared" si="26"/>
        <v>12304518</v>
      </c>
      <c r="F267" s="503">
        <f t="shared" si="27"/>
        <v>0.12705619543410607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1.5547587379156076</v>
      </c>
      <c r="D268" s="453">
        <f>IF(LN_IIA1=0,0,LN_IIA7/LN_IIA1)</f>
        <v>1.7761119788094755</v>
      </c>
      <c r="E268" s="454">
        <f t="shared" si="26"/>
        <v>0.22135324089386788</v>
      </c>
      <c r="F268" s="458">
        <f t="shared" si="27"/>
        <v>0.1423714403371843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34917388</v>
      </c>
      <c r="D269" s="448">
        <f>LN_IA12+LN_IB14+LN_IF15+LN_IG10</f>
        <v>39277360</v>
      </c>
      <c r="E269" s="448">
        <f t="shared" si="26"/>
        <v>4359972</v>
      </c>
      <c r="F269" s="503">
        <f t="shared" si="27"/>
        <v>0.12486535361694294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0.36055621794990345</v>
      </c>
      <c r="D270" s="453">
        <f>IF(LN_IIA7=0,0,LN_IIA9/LN_IIA7)</f>
        <v>0.35985534638473843</v>
      </c>
      <c r="E270" s="454">
        <f t="shared" si="26"/>
        <v>-7.008715651650177E-4</v>
      </c>
      <c r="F270" s="458">
        <f t="shared" si="27"/>
        <v>-1.9438620949324427E-3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159131313</v>
      </c>
      <c r="D271" s="441">
        <f>LN_IIA1+LN_IIA7</f>
        <v>170600762</v>
      </c>
      <c r="E271" s="441">
        <f t="shared" si="26"/>
        <v>11469449</v>
      </c>
      <c r="F271" s="503">
        <f t="shared" si="27"/>
        <v>7.2075374631013073E-2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57627685</v>
      </c>
      <c r="D272" s="441">
        <f>LN_IIA2+LN_IIA9</f>
        <v>66648852</v>
      </c>
      <c r="E272" s="441">
        <f t="shared" si="26"/>
        <v>9021167</v>
      </c>
      <c r="F272" s="503">
        <f t="shared" si="27"/>
        <v>0.15654224180617354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0.36213919129794397</v>
      </c>
      <c r="D273" s="453">
        <f>IF(LN_IIA11=0,0,LN_IIA12/LN_IIA11)</f>
        <v>0.39067147894685256</v>
      </c>
      <c r="E273" s="454">
        <f t="shared" si="26"/>
        <v>2.8532287648908583E-2</v>
      </c>
      <c r="F273" s="458">
        <f t="shared" si="27"/>
        <v>7.8788179613054135E-2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16130</v>
      </c>
      <c r="D274" s="508">
        <f>LN_IA8+LN_IB10+LN_IF11+LN_IG6</f>
        <v>16270</v>
      </c>
      <c r="E274" s="528">
        <f t="shared" si="26"/>
        <v>140</v>
      </c>
      <c r="F274" s="458">
        <f t="shared" si="27"/>
        <v>8.679479231246125E-3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49040802</v>
      </c>
      <c r="D277" s="448">
        <f>LN_IA1+LN_IF1+LN_IG1</f>
        <v>48668802</v>
      </c>
      <c r="E277" s="448">
        <f t="shared" ref="E277:E291" si="28">D277-C277</f>
        <v>-372000</v>
      </c>
      <c r="F277" s="503">
        <f t="shared" ref="F277:F291" si="29">IF(C277=0,0,E277/C277)</f>
        <v>-7.585520318366735E-3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15598280</v>
      </c>
      <c r="D278" s="448">
        <f>LN_IA2+LN_IF2+LN_IG2</f>
        <v>19465416</v>
      </c>
      <c r="E278" s="448">
        <f t="shared" si="28"/>
        <v>3867136</v>
      </c>
      <c r="F278" s="503">
        <f t="shared" si="29"/>
        <v>0.24792066817623482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0.31806739212788565</v>
      </c>
      <c r="D279" s="453">
        <f>IF(D277=0,0,LN_IIB2/D277)</f>
        <v>0.39995675258248603</v>
      </c>
      <c r="E279" s="454">
        <f t="shared" si="28"/>
        <v>8.1889360454600379E-2</v>
      </c>
      <c r="F279" s="458">
        <f t="shared" si="29"/>
        <v>0.25745915010890225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2243</v>
      </c>
      <c r="D280" s="456">
        <f>LN_IA4+LN_IF4+LN_IG3</f>
        <v>2276</v>
      </c>
      <c r="E280" s="456">
        <f t="shared" si="28"/>
        <v>33</v>
      </c>
      <c r="F280" s="503">
        <f t="shared" si="29"/>
        <v>1.4712438698172091E-2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1.2172753901025413</v>
      </c>
      <c r="D281" s="525">
        <f>IF(LN_IIB4=0,0,LN_IIB6/LN_IIB4)</f>
        <v>1.1619962653778559</v>
      </c>
      <c r="E281" s="525">
        <f t="shared" si="28"/>
        <v>-5.5279124724685325E-2</v>
      </c>
      <c r="F281" s="503">
        <f t="shared" si="29"/>
        <v>-4.5412176385188158E-2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2730.3487</v>
      </c>
      <c r="D282" s="463">
        <f>LN_IA6+LN_IF6+LN_IG5</f>
        <v>2644.7035000000001</v>
      </c>
      <c r="E282" s="463">
        <f t="shared" si="28"/>
        <v>-85.645199999999932</v>
      </c>
      <c r="F282" s="503">
        <f t="shared" si="29"/>
        <v>-3.1367861548233719E-2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53628514</v>
      </c>
      <c r="D283" s="448">
        <f>LN_IA11+LN_IF14+LN_IG9</f>
        <v>62624008</v>
      </c>
      <c r="E283" s="448">
        <f t="shared" si="28"/>
        <v>8995494</v>
      </c>
      <c r="F283" s="503">
        <f t="shared" si="29"/>
        <v>0.1677371481894874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1.0935488779322982</v>
      </c>
      <c r="D284" s="453">
        <f>IF(D277=0,0,LN_IIB7/D277)</f>
        <v>1.2867382270884744</v>
      </c>
      <c r="E284" s="454">
        <f t="shared" si="28"/>
        <v>0.19318934915617625</v>
      </c>
      <c r="F284" s="458">
        <f t="shared" si="29"/>
        <v>0.17666274736750875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13148569</v>
      </c>
      <c r="D285" s="448">
        <f>LN_IA12+LN_IF15+LN_IG10</f>
        <v>15183357</v>
      </c>
      <c r="E285" s="448">
        <f t="shared" si="28"/>
        <v>2034788</v>
      </c>
      <c r="F285" s="503">
        <f t="shared" si="29"/>
        <v>0.15475357052162864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0.2451786935584305</v>
      </c>
      <c r="D286" s="453">
        <f>IF(LN_IIB7=0,0,LN_IIB9/LN_IIB7)</f>
        <v>0.24245265489874107</v>
      </c>
      <c r="E286" s="454">
        <f t="shared" si="28"/>
        <v>-2.7260386596894282E-3</v>
      </c>
      <c r="F286" s="458">
        <f t="shared" si="29"/>
        <v>-1.1118578943890832E-2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102669316</v>
      </c>
      <c r="D287" s="441">
        <f>D277+LN_IIB7</f>
        <v>111292810</v>
      </c>
      <c r="E287" s="441">
        <f t="shared" si="28"/>
        <v>8623494</v>
      </c>
      <c r="F287" s="503">
        <f t="shared" si="29"/>
        <v>8.3992903975322095E-2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28746849</v>
      </c>
      <c r="D288" s="441">
        <f>LN_IIB2+LN_IIB9</f>
        <v>34648773</v>
      </c>
      <c r="E288" s="441">
        <f t="shared" si="28"/>
        <v>5901924</v>
      </c>
      <c r="F288" s="503">
        <f t="shared" si="29"/>
        <v>0.20530681467036613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0.27999455066010182</v>
      </c>
      <c r="D289" s="453">
        <f>IF(LN_IIB11=0,0,LN_IIB12/LN_IIB11)</f>
        <v>0.31132984242198575</v>
      </c>
      <c r="E289" s="454">
        <f t="shared" si="28"/>
        <v>3.1335291761883932E-2</v>
      </c>
      <c r="F289" s="458">
        <f t="shared" si="29"/>
        <v>0.11191393435339846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12480</v>
      </c>
      <c r="D290" s="508">
        <f>LN_IA8+LN_IF11+LN_IG6</f>
        <v>12613</v>
      </c>
      <c r="E290" s="528">
        <f t="shared" si="28"/>
        <v>133</v>
      </c>
      <c r="F290" s="458">
        <f t="shared" si="29"/>
        <v>1.0657051282051282E-2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73922467</v>
      </c>
      <c r="D291" s="516">
        <f>LN_IIB11-LN_IIB12</f>
        <v>76644037</v>
      </c>
      <c r="E291" s="441">
        <f t="shared" si="28"/>
        <v>2721570</v>
      </c>
      <c r="F291" s="503">
        <f t="shared" si="29"/>
        <v>3.6816547261605867E-2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5.9675443968156765</v>
      </c>
      <c r="D294" s="466">
        <f>IF(LN_IA4=0,0,LN_IA8/LN_IA4)</f>
        <v>5.819859961807766</v>
      </c>
      <c r="E294" s="466">
        <f t="shared" ref="E294:E300" si="30">D294-C294</f>
        <v>-0.14768443500791051</v>
      </c>
      <c r="F294" s="503">
        <f t="shared" ref="F294:F300" si="31">IF(C294=0,0,E294/C294)</f>
        <v>-2.4747940725286594E-2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4.0736607142857144</v>
      </c>
      <c r="D295" s="466">
        <f>IF(LN_IB4=0,0,(LN_IB10)/(LN_IB4))</f>
        <v>3.9967213114754099</v>
      </c>
      <c r="E295" s="466">
        <f t="shared" si="30"/>
        <v>-7.6939402810304536E-2</v>
      </c>
      <c r="F295" s="503">
        <f t="shared" si="31"/>
        <v>-1.8887042443296673E-2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3.75</v>
      </c>
      <c r="D296" s="466">
        <f>IF(LN_IC4=0,0,LN_IC11/LN_IC4)</f>
        <v>4.0238095238095237</v>
      </c>
      <c r="E296" s="466">
        <f t="shared" si="30"/>
        <v>0.27380952380952372</v>
      </c>
      <c r="F296" s="503">
        <f t="shared" si="31"/>
        <v>7.3015873015872992E-2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4.5146299483648882</v>
      </c>
      <c r="D297" s="466">
        <f>IF(LN_ID4=0,0,LN_ID11/LN_ID4)</f>
        <v>4.9471365638766516</v>
      </c>
      <c r="E297" s="466">
        <f t="shared" si="30"/>
        <v>0.43250661551176339</v>
      </c>
      <c r="F297" s="503">
        <f t="shared" si="31"/>
        <v>9.5801122231160704E-2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3.8620689655172415</v>
      </c>
      <c r="D299" s="466">
        <f>IF(LN_IG3=0,0,LN_IG6/LN_IG3)</f>
        <v>4.208333333333333</v>
      </c>
      <c r="E299" s="466">
        <f t="shared" si="30"/>
        <v>0.34626436781609149</v>
      </c>
      <c r="F299" s="503">
        <f t="shared" si="31"/>
        <v>8.9657738095237971E-2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5.1385791653392801</v>
      </c>
      <c r="D300" s="466">
        <f>IF(LN_IIA4=0,0,LN_IIA14/LN_IIA4)</f>
        <v>5.0987151363209025</v>
      </c>
      <c r="E300" s="466">
        <f t="shared" si="30"/>
        <v>-3.98640290183776E-2</v>
      </c>
      <c r="F300" s="503">
        <f t="shared" si="31"/>
        <v>-7.7577921319706934E-3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159131313</v>
      </c>
      <c r="D304" s="441">
        <f>LN_IIA11</f>
        <v>170600762</v>
      </c>
      <c r="E304" s="441">
        <f t="shared" ref="E304:E316" si="32">D304-C304</f>
        <v>11469449</v>
      </c>
      <c r="F304" s="449">
        <f>IF(C304=0,0,E304/C304)</f>
        <v>7.2075374631013073E-2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73922467</v>
      </c>
      <c r="D305" s="441">
        <f>LN_IIB14</f>
        <v>76644037</v>
      </c>
      <c r="E305" s="441">
        <f t="shared" si="32"/>
        <v>2721570</v>
      </c>
      <c r="F305" s="449">
        <f>IF(C305=0,0,E305/C305)</f>
        <v>3.6816547261605867E-2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4765850</v>
      </c>
      <c r="D306" s="441">
        <f>LN_IH6</f>
        <v>4506653</v>
      </c>
      <c r="E306" s="441">
        <f t="shared" si="32"/>
        <v>-259197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26777143</v>
      </c>
      <c r="D307" s="441">
        <f>LN_IB32-LN_IB33</f>
        <v>27307873</v>
      </c>
      <c r="E307" s="441">
        <f t="shared" si="32"/>
        <v>530730</v>
      </c>
      <c r="F307" s="449">
        <f t="shared" ref="F307:F316" si="33">IF(C307=0,0,E307/C307)</f>
        <v>1.9820262378252976E-2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105465460</v>
      </c>
      <c r="D309" s="441">
        <f>LN_III2+LN_III3+LN_III4+LN_III5</f>
        <v>108458563</v>
      </c>
      <c r="E309" s="441">
        <f t="shared" si="32"/>
        <v>2993103</v>
      </c>
      <c r="F309" s="449">
        <f t="shared" si="33"/>
        <v>2.8379935952490987E-2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53665853</v>
      </c>
      <c r="D310" s="441">
        <f>LN_III1-LN_III6</f>
        <v>62142199</v>
      </c>
      <c r="E310" s="441">
        <f t="shared" si="32"/>
        <v>8476346</v>
      </c>
      <c r="F310" s="449">
        <f t="shared" si="33"/>
        <v>0.15794673011160373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53665853</v>
      </c>
      <c r="D312" s="441">
        <f>LN_III7+LN_III8</f>
        <v>62142199</v>
      </c>
      <c r="E312" s="441">
        <f t="shared" si="32"/>
        <v>8476346</v>
      </c>
      <c r="F312" s="449">
        <f t="shared" si="33"/>
        <v>0.15794673011160373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0.33724257022877702</v>
      </c>
      <c r="D313" s="532">
        <f>IF(LN_III1=0,0,LN_III9/LN_III1)</f>
        <v>0.36425510807507411</v>
      </c>
      <c r="E313" s="532">
        <f t="shared" si="32"/>
        <v>2.7012537846297091E-2</v>
      </c>
      <c r="F313" s="449">
        <f t="shared" si="33"/>
        <v>8.0098244500901694E-2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1607247.5033248169</v>
      </c>
      <c r="D314" s="441">
        <f>D313*LN_III5</f>
        <v>1641571.375571857</v>
      </c>
      <c r="E314" s="441">
        <f t="shared" si="32"/>
        <v>34323.872247040039</v>
      </c>
      <c r="F314" s="449">
        <f t="shared" si="33"/>
        <v>2.1355685528231524E-2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2687827.31740335</v>
      </c>
      <c r="D315" s="441">
        <f>D313*LN_IH8-LN_IH9</f>
        <v>1750111.852122372</v>
      </c>
      <c r="E315" s="441">
        <f t="shared" si="32"/>
        <v>-937715.46528097801</v>
      </c>
      <c r="F315" s="449">
        <f t="shared" si="33"/>
        <v>-0.34887489207710115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4295074.820728167</v>
      </c>
      <c r="D318" s="441">
        <f>D314+D315+D316</f>
        <v>3391683.2276942292</v>
      </c>
      <c r="E318" s="441">
        <f>D318-C318</f>
        <v>-903391.59303393774</v>
      </c>
      <c r="F318" s="449">
        <f>IF(C318=0,0,E318/C318)</f>
        <v>-0.21033198040558951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2960147.0725369914</v>
      </c>
      <c r="D322" s="441">
        <f>LN_ID22</f>
        <v>3871204.2082552994</v>
      </c>
      <c r="E322" s="441">
        <f>LN_IV2-C322</f>
        <v>911057.13571830792</v>
      </c>
      <c r="F322" s="449">
        <f>IF(C322=0,0,E322/C322)</f>
        <v>0.30777428059933765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1063190.168314842</v>
      </c>
      <c r="D324" s="441">
        <f>LN_IC10+LN_IC22</f>
        <v>942461.702760546</v>
      </c>
      <c r="E324" s="441">
        <f>LN_IV1-C324</f>
        <v>-120728.46555429604</v>
      </c>
      <c r="F324" s="449">
        <f>IF(C324=0,0,E324/C324)</f>
        <v>-0.11355303044764874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4023337.2408518335</v>
      </c>
      <c r="D325" s="516">
        <f>LN_IV1+LN_IV2+LN_IV3</f>
        <v>4813665.9110158458</v>
      </c>
      <c r="E325" s="441">
        <f>LN_IV4-C325</f>
        <v>790328.67016401235</v>
      </c>
      <c r="F325" s="449">
        <f>IF(C325=0,0,E325/C325)</f>
        <v>0.19643609840587997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2005899</v>
      </c>
      <c r="D330" s="516">
        <v>0</v>
      </c>
      <c r="E330" s="518">
        <f t="shared" si="34"/>
        <v>-2005899</v>
      </c>
      <c r="F330" s="543">
        <f t="shared" si="35"/>
        <v>-1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59633584</v>
      </c>
      <c r="D331" s="516">
        <v>66648825</v>
      </c>
      <c r="E331" s="518">
        <f t="shared" si="34"/>
        <v>7015241</v>
      </c>
      <c r="F331" s="542">
        <f t="shared" si="35"/>
        <v>0.1176390974589084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159131313</v>
      </c>
      <c r="D333" s="516">
        <v>170600764</v>
      </c>
      <c r="E333" s="518">
        <f t="shared" si="34"/>
        <v>11469451</v>
      </c>
      <c r="F333" s="542">
        <f t="shared" si="35"/>
        <v>7.2075387199249719E-2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4765850</v>
      </c>
      <c r="D335" s="516">
        <v>4506653</v>
      </c>
      <c r="E335" s="516">
        <f t="shared" si="34"/>
        <v>-259197</v>
      </c>
      <c r="F335" s="542">
        <f t="shared" si="35"/>
        <v>-5.438631094138506E-2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FILING&amp;RJOHNSON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13247394</v>
      </c>
      <c r="D14" s="589">
        <v>12784325</v>
      </c>
      <c r="E14" s="590">
        <f t="shared" ref="E14:E22" si="0">D14-C14</f>
        <v>-463069</v>
      </c>
    </row>
    <row r="15" spans="1:5" s="421" customFormat="1" x14ac:dyDescent="0.2">
      <c r="A15" s="588">
        <v>2</v>
      </c>
      <c r="B15" s="587" t="s">
        <v>637</v>
      </c>
      <c r="C15" s="589">
        <v>40017644</v>
      </c>
      <c r="D15" s="591">
        <v>37794769</v>
      </c>
      <c r="E15" s="590">
        <f t="shared" si="0"/>
        <v>-2222875</v>
      </c>
    </row>
    <row r="16" spans="1:5" s="421" customFormat="1" x14ac:dyDescent="0.2">
      <c r="A16" s="588">
        <v>3</v>
      </c>
      <c r="B16" s="587" t="s">
        <v>779</v>
      </c>
      <c r="C16" s="589">
        <v>8611611</v>
      </c>
      <c r="D16" s="591">
        <v>10503345</v>
      </c>
      <c r="E16" s="590">
        <f t="shared" si="0"/>
        <v>1891734</v>
      </c>
    </row>
    <row r="17" spans="1:5" s="421" customFormat="1" x14ac:dyDescent="0.2">
      <c r="A17" s="588">
        <v>4</v>
      </c>
      <c r="B17" s="587" t="s">
        <v>115</v>
      </c>
      <c r="C17" s="589">
        <v>8611611</v>
      </c>
      <c r="D17" s="591">
        <v>10503345</v>
      </c>
      <c r="E17" s="590">
        <f t="shared" si="0"/>
        <v>1891734</v>
      </c>
    </row>
    <row r="18" spans="1:5" s="421" customFormat="1" x14ac:dyDescent="0.2">
      <c r="A18" s="588">
        <v>5</v>
      </c>
      <c r="B18" s="587" t="s">
        <v>745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411547</v>
      </c>
      <c r="D19" s="591">
        <v>370688</v>
      </c>
      <c r="E19" s="590">
        <f t="shared" si="0"/>
        <v>-40859</v>
      </c>
    </row>
    <row r="20" spans="1:5" s="421" customFormat="1" x14ac:dyDescent="0.2">
      <c r="A20" s="588">
        <v>7</v>
      </c>
      <c r="B20" s="587" t="s">
        <v>760</v>
      </c>
      <c r="C20" s="589">
        <v>647359</v>
      </c>
      <c r="D20" s="591">
        <v>546866</v>
      </c>
      <c r="E20" s="590">
        <f t="shared" si="0"/>
        <v>-100493</v>
      </c>
    </row>
    <row r="21" spans="1:5" s="421" customFormat="1" x14ac:dyDescent="0.2">
      <c r="A21" s="588"/>
      <c r="B21" s="592" t="s">
        <v>780</v>
      </c>
      <c r="C21" s="593">
        <f>SUM(C15+C16+C19)</f>
        <v>49040802</v>
      </c>
      <c r="D21" s="593">
        <f>SUM(D15+D16+D19)</f>
        <v>48668802</v>
      </c>
      <c r="E21" s="593">
        <f t="shared" si="0"/>
        <v>-372000</v>
      </c>
    </row>
    <row r="22" spans="1:5" s="421" customFormat="1" x14ac:dyDescent="0.2">
      <c r="A22" s="588"/>
      <c r="B22" s="592" t="s">
        <v>465</v>
      </c>
      <c r="C22" s="593">
        <f>SUM(C14+C21)</f>
        <v>62288196</v>
      </c>
      <c r="D22" s="593">
        <f>SUM(D14+D21)</f>
        <v>61453127</v>
      </c>
      <c r="E22" s="593">
        <f t="shared" si="0"/>
        <v>-835069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43214603</v>
      </c>
      <c r="D25" s="589">
        <v>46523627</v>
      </c>
      <c r="E25" s="590">
        <f t="shared" ref="E25:E33" si="1">D25-C25</f>
        <v>3309024</v>
      </c>
    </row>
    <row r="26" spans="1:5" s="421" customFormat="1" x14ac:dyDescent="0.2">
      <c r="A26" s="588">
        <v>2</v>
      </c>
      <c r="B26" s="587" t="s">
        <v>637</v>
      </c>
      <c r="C26" s="589">
        <v>36025736</v>
      </c>
      <c r="D26" s="591">
        <v>41270055</v>
      </c>
      <c r="E26" s="590">
        <f t="shared" si="1"/>
        <v>5244319</v>
      </c>
    </row>
    <row r="27" spans="1:5" s="421" customFormat="1" x14ac:dyDescent="0.2">
      <c r="A27" s="588">
        <v>3</v>
      </c>
      <c r="B27" s="587" t="s">
        <v>779</v>
      </c>
      <c r="C27" s="589">
        <v>17040706</v>
      </c>
      <c r="D27" s="591">
        <v>20760315</v>
      </c>
      <c r="E27" s="590">
        <f t="shared" si="1"/>
        <v>3719609</v>
      </c>
    </row>
    <row r="28" spans="1:5" s="421" customFormat="1" x14ac:dyDescent="0.2">
      <c r="A28" s="588">
        <v>4</v>
      </c>
      <c r="B28" s="587" t="s">
        <v>115</v>
      </c>
      <c r="C28" s="589">
        <v>17040706</v>
      </c>
      <c r="D28" s="591">
        <v>20760315</v>
      </c>
      <c r="E28" s="590">
        <f t="shared" si="1"/>
        <v>3719609</v>
      </c>
    </row>
    <row r="29" spans="1:5" s="421" customFormat="1" x14ac:dyDescent="0.2">
      <c r="A29" s="588">
        <v>5</v>
      </c>
      <c r="B29" s="587" t="s">
        <v>745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562072</v>
      </c>
      <c r="D30" s="591">
        <v>593638</v>
      </c>
      <c r="E30" s="590">
        <f t="shared" si="1"/>
        <v>31566</v>
      </c>
    </row>
    <row r="31" spans="1:5" s="421" customFormat="1" x14ac:dyDescent="0.2">
      <c r="A31" s="588">
        <v>7</v>
      </c>
      <c r="B31" s="587" t="s">
        <v>760</v>
      </c>
      <c r="C31" s="590">
        <v>1890367</v>
      </c>
      <c r="D31" s="594">
        <v>1966567</v>
      </c>
      <c r="E31" s="590">
        <f t="shared" si="1"/>
        <v>76200</v>
      </c>
    </row>
    <row r="32" spans="1:5" s="421" customFormat="1" x14ac:dyDescent="0.2">
      <c r="A32" s="588"/>
      <c r="B32" s="592" t="s">
        <v>782</v>
      </c>
      <c r="C32" s="593">
        <f>SUM(C26+C27+C30)</f>
        <v>53628514</v>
      </c>
      <c r="D32" s="593">
        <f>SUM(D26+D27+D30)</f>
        <v>62624008</v>
      </c>
      <c r="E32" s="593">
        <f t="shared" si="1"/>
        <v>8995494</v>
      </c>
    </row>
    <row r="33" spans="1:5" s="421" customFormat="1" x14ac:dyDescent="0.2">
      <c r="A33" s="588"/>
      <c r="B33" s="592" t="s">
        <v>467</v>
      </c>
      <c r="C33" s="593">
        <f>SUM(C25+C32)</f>
        <v>96843117</v>
      </c>
      <c r="D33" s="593">
        <f>SUM(D25+D32)</f>
        <v>109147635</v>
      </c>
      <c r="E33" s="593">
        <f t="shared" si="1"/>
        <v>12304518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56461997</v>
      </c>
      <c r="D36" s="590">
        <f t="shared" si="2"/>
        <v>59307952</v>
      </c>
      <c r="E36" s="590">
        <f t="shared" ref="E36:E44" si="3">D36-C36</f>
        <v>2845955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76043380</v>
      </c>
      <c r="D37" s="590">
        <f t="shared" si="2"/>
        <v>79064824</v>
      </c>
      <c r="E37" s="590">
        <f t="shared" si="3"/>
        <v>3021444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25652317</v>
      </c>
      <c r="D38" s="590">
        <f t="shared" si="2"/>
        <v>31263660</v>
      </c>
      <c r="E38" s="590">
        <f t="shared" si="3"/>
        <v>5611343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25652317</v>
      </c>
      <c r="D39" s="590">
        <f t="shared" si="2"/>
        <v>31263660</v>
      </c>
      <c r="E39" s="590">
        <f t="shared" si="3"/>
        <v>5611343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973619</v>
      </c>
      <c r="D41" s="590">
        <f t="shared" si="2"/>
        <v>964326</v>
      </c>
      <c r="E41" s="590">
        <f t="shared" si="3"/>
        <v>-9293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2537726</v>
      </c>
      <c r="D42" s="590">
        <f t="shared" si="2"/>
        <v>2513433</v>
      </c>
      <c r="E42" s="590">
        <f t="shared" si="3"/>
        <v>-24293</v>
      </c>
    </row>
    <row r="43" spans="1:5" s="421" customFormat="1" x14ac:dyDescent="0.2">
      <c r="A43" s="588"/>
      <c r="B43" s="592" t="s">
        <v>790</v>
      </c>
      <c r="C43" s="593">
        <f>SUM(C37+C38+C41)</f>
        <v>102669316</v>
      </c>
      <c r="D43" s="593">
        <f>SUM(D37+D38+D41)</f>
        <v>111292810</v>
      </c>
      <c r="E43" s="593">
        <f t="shared" si="3"/>
        <v>8623494</v>
      </c>
    </row>
    <row r="44" spans="1:5" s="421" customFormat="1" x14ac:dyDescent="0.2">
      <c r="A44" s="588"/>
      <c r="B44" s="592" t="s">
        <v>727</v>
      </c>
      <c r="C44" s="593">
        <f>SUM(C36+C43)</f>
        <v>159131313</v>
      </c>
      <c r="D44" s="593">
        <f>SUM(D36+D43)</f>
        <v>170600762</v>
      </c>
      <c r="E44" s="593">
        <f t="shared" si="3"/>
        <v>11469449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7112017</v>
      </c>
      <c r="D47" s="589">
        <v>7906076</v>
      </c>
      <c r="E47" s="590">
        <f t="shared" ref="E47:E55" si="4">D47-C47</f>
        <v>794059</v>
      </c>
    </row>
    <row r="48" spans="1:5" s="421" customFormat="1" x14ac:dyDescent="0.2">
      <c r="A48" s="588">
        <v>2</v>
      </c>
      <c r="B48" s="587" t="s">
        <v>637</v>
      </c>
      <c r="C48" s="589">
        <v>13509060</v>
      </c>
      <c r="D48" s="591">
        <v>14097531</v>
      </c>
      <c r="E48" s="590">
        <f t="shared" si="4"/>
        <v>588471</v>
      </c>
    </row>
    <row r="49" spans="1:5" s="421" customFormat="1" x14ac:dyDescent="0.2">
      <c r="A49" s="588">
        <v>3</v>
      </c>
      <c r="B49" s="587" t="s">
        <v>779</v>
      </c>
      <c r="C49" s="589">
        <v>1929397</v>
      </c>
      <c r="D49" s="591">
        <v>5211995</v>
      </c>
      <c r="E49" s="590">
        <f t="shared" si="4"/>
        <v>3282598</v>
      </c>
    </row>
    <row r="50" spans="1:5" s="421" customFormat="1" x14ac:dyDescent="0.2">
      <c r="A50" s="588">
        <v>4</v>
      </c>
      <c r="B50" s="587" t="s">
        <v>115</v>
      </c>
      <c r="C50" s="589">
        <v>1929397</v>
      </c>
      <c r="D50" s="591">
        <v>5211995</v>
      </c>
      <c r="E50" s="590">
        <f t="shared" si="4"/>
        <v>3282598</v>
      </c>
    </row>
    <row r="51" spans="1:5" s="421" customFormat="1" x14ac:dyDescent="0.2">
      <c r="A51" s="588">
        <v>5</v>
      </c>
      <c r="B51" s="587" t="s">
        <v>745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159823</v>
      </c>
      <c r="D52" s="591">
        <v>155890</v>
      </c>
      <c r="E52" s="590">
        <f t="shared" si="4"/>
        <v>-3933</v>
      </c>
    </row>
    <row r="53" spans="1:5" s="421" customFormat="1" x14ac:dyDescent="0.2">
      <c r="A53" s="588">
        <v>7</v>
      </c>
      <c r="B53" s="587" t="s">
        <v>760</v>
      </c>
      <c r="C53" s="589">
        <v>100</v>
      </c>
      <c r="D53" s="591">
        <v>5904</v>
      </c>
      <c r="E53" s="590">
        <f t="shared" si="4"/>
        <v>5804</v>
      </c>
    </row>
    <row r="54" spans="1:5" s="421" customFormat="1" x14ac:dyDescent="0.2">
      <c r="A54" s="588"/>
      <c r="B54" s="592" t="s">
        <v>792</v>
      </c>
      <c r="C54" s="593">
        <f>SUM(C48+C49+C52)</f>
        <v>15598280</v>
      </c>
      <c r="D54" s="593">
        <f>SUM(D48+D49+D52)</f>
        <v>19465416</v>
      </c>
      <c r="E54" s="593">
        <f t="shared" si="4"/>
        <v>3867136</v>
      </c>
    </row>
    <row r="55" spans="1:5" s="421" customFormat="1" x14ac:dyDescent="0.2">
      <c r="A55" s="588"/>
      <c r="B55" s="592" t="s">
        <v>466</v>
      </c>
      <c r="C55" s="593">
        <f>SUM(C47+C54)</f>
        <v>22710297</v>
      </c>
      <c r="D55" s="593">
        <f>SUM(D47+D54)</f>
        <v>27371492</v>
      </c>
      <c r="E55" s="593">
        <f t="shared" si="4"/>
        <v>4661195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21768819</v>
      </c>
      <c r="D58" s="589">
        <v>24094003</v>
      </c>
      <c r="E58" s="590">
        <f t="shared" ref="E58:E66" si="5">D58-C58</f>
        <v>2325184</v>
      </c>
    </row>
    <row r="59" spans="1:5" s="421" customFormat="1" x14ac:dyDescent="0.2">
      <c r="A59" s="588">
        <v>2</v>
      </c>
      <c r="B59" s="587" t="s">
        <v>637</v>
      </c>
      <c r="C59" s="589">
        <v>8943188</v>
      </c>
      <c r="D59" s="591">
        <v>10574250</v>
      </c>
      <c r="E59" s="590">
        <f t="shared" si="5"/>
        <v>1631062</v>
      </c>
    </row>
    <row r="60" spans="1:5" s="421" customFormat="1" x14ac:dyDescent="0.2">
      <c r="A60" s="588">
        <v>3</v>
      </c>
      <c r="B60" s="587" t="s">
        <v>779</v>
      </c>
      <c r="C60" s="589">
        <f>C61+C62</f>
        <v>4033829</v>
      </c>
      <c r="D60" s="591">
        <f>D61+D62</f>
        <v>4425841</v>
      </c>
      <c r="E60" s="590">
        <f t="shared" si="5"/>
        <v>392012</v>
      </c>
    </row>
    <row r="61" spans="1:5" s="421" customFormat="1" x14ac:dyDescent="0.2">
      <c r="A61" s="588">
        <v>4</v>
      </c>
      <c r="B61" s="587" t="s">
        <v>115</v>
      </c>
      <c r="C61" s="589">
        <v>4033829</v>
      </c>
      <c r="D61" s="591">
        <v>4425841</v>
      </c>
      <c r="E61" s="590">
        <f t="shared" si="5"/>
        <v>392012</v>
      </c>
    </row>
    <row r="62" spans="1:5" s="421" customFormat="1" x14ac:dyDescent="0.2">
      <c r="A62" s="588">
        <v>5</v>
      </c>
      <c r="B62" s="587" t="s">
        <v>745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171552</v>
      </c>
      <c r="D63" s="591">
        <v>183266</v>
      </c>
      <c r="E63" s="590">
        <f t="shared" si="5"/>
        <v>11714</v>
      </c>
    </row>
    <row r="64" spans="1:5" s="421" customFormat="1" x14ac:dyDescent="0.2">
      <c r="A64" s="588">
        <v>7</v>
      </c>
      <c r="B64" s="587" t="s">
        <v>760</v>
      </c>
      <c r="C64" s="589">
        <v>95389</v>
      </c>
      <c r="D64" s="591">
        <v>284363</v>
      </c>
      <c r="E64" s="590">
        <f t="shared" si="5"/>
        <v>188974</v>
      </c>
    </row>
    <row r="65" spans="1:5" s="421" customFormat="1" x14ac:dyDescent="0.2">
      <c r="A65" s="588"/>
      <c r="B65" s="592" t="s">
        <v>794</v>
      </c>
      <c r="C65" s="593">
        <f>SUM(C59+C60+C63)</f>
        <v>13148569</v>
      </c>
      <c r="D65" s="593">
        <f>SUM(D59+D60+D63)</f>
        <v>15183357</v>
      </c>
      <c r="E65" s="593">
        <f t="shared" si="5"/>
        <v>2034788</v>
      </c>
    </row>
    <row r="66" spans="1:5" s="421" customFormat="1" x14ac:dyDescent="0.2">
      <c r="A66" s="588"/>
      <c r="B66" s="592" t="s">
        <v>468</v>
      </c>
      <c r="C66" s="593">
        <f>SUM(C58+C65)</f>
        <v>34917388</v>
      </c>
      <c r="D66" s="593">
        <f>SUM(D58+D65)</f>
        <v>39277360</v>
      </c>
      <c r="E66" s="593">
        <f t="shared" si="5"/>
        <v>4359972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28880836</v>
      </c>
      <c r="D69" s="590">
        <f t="shared" si="6"/>
        <v>32000079</v>
      </c>
      <c r="E69" s="590">
        <f t="shared" ref="E69:E77" si="7">D69-C69</f>
        <v>3119243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22452248</v>
      </c>
      <c r="D70" s="590">
        <f t="shared" si="6"/>
        <v>24671781</v>
      </c>
      <c r="E70" s="590">
        <f t="shared" si="7"/>
        <v>2219533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5963226</v>
      </c>
      <c r="D71" s="590">
        <f t="shared" si="6"/>
        <v>9637836</v>
      </c>
      <c r="E71" s="590">
        <f t="shared" si="7"/>
        <v>3674610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5963226</v>
      </c>
      <c r="D72" s="590">
        <f t="shared" si="6"/>
        <v>9637836</v>
      </c>
      <c r="E72" s="590">
        <f t="shared" si="7"/>
        <v>3674610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331375</v>
      </c>
      <c r="D74" s="590">
        <f t="shared" si="6"/>
        <v>339156</v>
      </c>
      <c r="E74" s="590">
        <f t="shared" si="7"/>
        <v>7781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95489</v>
      </c>
      <c r="D75" s="590">
        <f t="shared" si="6"/>
        <v>290267</v>
      </c>
      <c r="E75" s="590">
        <f t="shared" si="7"/>
        <v>194778</v>
      </c>
    </row>
    <row r="76" spans="1:5" s="421" customFormat="1" x14ac:dyDescent="0.2">
      <c r="A76" s="588"/>
      <c r="B76" s="592" t="s">
        <v>795</v>
      </c>
      <c r="C76" s="593">
        <f>SUM(C70+C71+C74)</f>
        <v>28746849</v>
      </c>
      <c r="D76" s="593">
        <f>SUM(D70+D71+D74)</f>
        <v>34648773</v>
      </c>
      <c r="E76" s="593">
        <f t="shared" si="7"/>
        <v>5901924</v>
      </c>
    </row>
    <row r="77" spans="1:5" s="421" customFormat="1" x14ac:dyDescent="0.2">
      <c r="A77" s="588"/>
      <c r="B77" s="592" t="s">
        <v>728</v>
      </c>
      <c r="C77" s="593">
        <f>SUM(C69+C76)</f>
        <v>57627685</v>
      </c>
      <c r="D77" s="593">
        <f>SUM(D69+D76)</f>
        <v>66648852</v>
      </c>
      <c r="E77" s="593">
        <f t="shared" si="7"/>
        <v>9021167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8.3248191385186396E-2</v>
      </c>
      <c r="D83" s="599">
        <f t="shared" si="8"/>
        <v>7.4937092016036835E-2</v>
      </c>
      <c r="E83" s="599">
        <f t="shared" ref="E83:E91" si="9">D83-C83</f>
        <v>-8.3110993691495605E-3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0.25147560995741924</v>
      </c>
      <c r="D84" s="599">
        <f t="shared" si="8"/>
        <v>0.22153927425013495</v>
      </c>
      <c r="E84" s="599">
        <f t="shared" si="9"/>
        <v>-2.9936335707284295E-2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5.4116382487210422E-2</v>
      </c>
      <c r="D85" s="599">
        <f t="shared" si="8"/>
        <v>6.1566811759023676E-2</v>
      </c>
      <c r="E85" s="599">
        <f t="shared" si="9"/>
        <v>7.4504292718132539E-3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5.4116382487210422E-2</v>
      </c>
      <c r="D86" s="599">
        <f t="shared" si="8"/>
        <v>6.1566811759023676E-2</v>
      </c>
      <c r="E86" s="599">
        <f t="shared" si="9"/>
        <v>7.4504292718132539E-3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2.5862100440282297E-3</v>
      </c>
      <c r="D88" s="599">
        <f t="shared" si="8"/>
        <v>2.172839063872411E-3</v>
      </c>
      <c r="E88" s="599">
        <f t="shared" si="9"/>
        <v>-4.1337098015581863E-4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4.0680805543281103E-3</v>
      </c>
      <c r="D89" s="599">
        <f t="shared" si="8"/>
        <v>3.2055308170311691E-3</v>
      </c>
      <c r="E89" s="599">
        <f t="shared" si="9"/>
        <v>-8.6254973729694116E-4</v>
      </c>
    </row>
    <row r="90" spans="1:5" s="421" customFormat="1" x14ac:dyDescent="0.2">
      <c r="A90" s="588"/>
      <c r="B90" s="592" t="s">
        <v>798</v>
      </c>
      <c r="C90" s="600">
        <f>SUM(C84+C85+C88)</f>
        <v>0.30817820248865785</v>
      </c>
      <c r="D90" s="600">
        <f>SUM(D84+D85+D88)</f>
        <v>0.28527892507303104</v>
      </c>
      <c r="E90" s="601">
        <f t="shared" si="9"/>
        <v>-2.2899277415626806E-2</v>
      </c>
    </row>
    <row r="91" spans="1:5" s="421" customFormat="1" x14ac:dyDescent="0.2">
      <c r="A91" s="588"/>
      <c r="B91" s="592" t="s">
        <v>799</v>
      </c>
      <c r="C91" s="600">
        <f>SUM(C83+C90)</f>
        <v>0.39142639387384426</v>
      </c>
      <c r="D91" s="600">
        <f>SUM(D83+D90)</f>
        <v>0.36021601708906786</v>
      </c>
      <c r="E91" s="601">
        <f t="shared" si="9"/>
        <v>-3.1210376784776395E-2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0.27156567859149128</v>
      </c>
      <c r="D95" s="599">
        <f t="shared" si="10"/>
        <v>0.27270468463675446</v>
      </c>
      <c r="E95" s="599">
        <f t="shared" ref="E95:E103" si="11">D95-C95</f>
        <v>1.1390060452631801E-3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0.22638998774552938</v>
      </c>
      <c r="D96" s="599">
        <f t="shared" si="10"/>
        <v>0.24191014457485249</v>
      </c>
      <c r="E96" s="599">
        <f t="shared" si="11"/>
        <v>1.5520156829323117E-2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0.10708581283433513</v>
      </c>
      <c r="D97" s="599">
        <f t="shared" si="10"/>
        <v>0.12168946232491036</v>
      </c>
      <c r="E97" s="599">
        <f t="shared" si="11"/>
        <v>1.460364949057523E-2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0.10708581283433513</v>
      </c>
      <c r="D98" s="599">
        <f t="shared" si="10"/>
        <v>0.12168946232491036</v>
      </c>
      <c r="E98" s="599">
        <f t="shared" si="11"/>
        <v>1.460364949057523E-2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3.5321269547999015E-3</v>
      </c>
      <c r="D100" s="599">
        <f t="shared" si="10"/>
        <v>3.4796913744148459E-3</v>
      </c>
      <c r="E100" s="599">
        <f t="shared" si="11"/>
        <v>-5.2435580385055535E-5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1.1879289904432573E-2</v>
      </c>
      <c r="D101" s="599">
        <f t="shared" si="10"/>
        <v>1.1527304901486899E-2</v>
      </c>
      <c r="E101" s="599">
        <f t="shared" si="11"/>
        <v>-3.5198500294567406E-4</v>
      </c>
    </row>
    <row r="102" spans="1:5" s="421" customFormat="1" x14ac:dyDescent="0.2">
      <c r="A102" s="588"/>
      <c r="B102" s="592" t="s">
        <v>801</v>
      </c>
      <c r="C102" s="600">
        <f>SUM(C96+C97+C100)</f>
        <v>0.33700792753466435</v>
      </c>
      <c r="D102" s="600">
        <f>SUM(D96+D97+D100)</f>
        <v>0.36707929827417768</v>
      </c>
      <c r="E102" s="601">
        <f t="shared" si="11"/>
        <v>3.0071370739513326E-2</v>
      </c>
    </row>
    <row r="103" spans="1:5" s="421" customFormat="1" x14ac:dyDescent="0.2">
      <c r="A103" s="588"/>
      <c r="B103" s="592" t="s">
        <v>802</v>
      </c>
      <c r="C103" s="600">
        <f>SUM(C95+C102)</f>
        <v>0.60857360612615563</v>
      </c>
      <c r="D103" s="600">
        <f>SUM(D95+D102)</f>
        <v>0.63978398291093219</v>
      </c>
      <c r="E103" s="601">
        <f t="shared" si="11"/>
        <v>3.1210376784776561E-2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0.12341319974939129</v>
      </c>
      <c r="D109" s="599">
        <f t="shared" si="12"/>
        <v>0.11862283839487588</v>
      </c>
      <c r="E109" s="599">
        <f t="shared" ref="E109:E117" si="13">D109-C109</f>
        <v>-4.79036135451541E-3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0.23441961966717906</v>
      </c>
      <c r="D110" s="599">
        <f t="shared" si="12"/>
        <v>0.21151948723737957</v>
      </c>
      <c r="E110" s="599">
        <f t="shared" si="13"/>
        <v>-2.2900132429799491E-2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3.3480383603818199E-2</v>
      </c>
      <c r="D111" s="599">
        <f t="shared" si="12"/>
        <v>7.82008218236077E-2</v>
      </c>
      <c r="E111" s="599">
        <f t="shared" si="13"/>
        <v>4.47204382197895E-2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3.3480383603818199E-2</v>
      </c>
      <c r="D112" s="599">
        <f t="shared" si="12"/>
        <v>7.82008218236077E-2</v>
      </c>
      <c r="E112" s="599">
        <f t="shared" si="13"/>
        <v>4.47204382197895E-2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2.7733718611115473E-3</v>
      </c>
      <c r="D114" s="599">
        <f t="shared" si="12"/>
        <v>2.3389750209050863E-3</v>
      </c>
      <c r="E114" s="599">
        <f t="shared" si="13"/>
        <v>-4.3439684020646092E-4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1.7352770634461543E-6</v>
      </c>
      <c r="D115" s="599">
        <f t="shared" si="12"/>
        <v>8.8583671328652447E-5</v>
      </c>
      <c r="E115" s="599">
        <f t="shared" si="13"/>
        <v>8.6848394265206291E-5</v>
      </c>
    </row>
    <row r="116" spans="1:5" s="421" customFormat="1" x14ac:dyDescent="0.2">
      <c r="A116" s="588"/>
      <c r="B116" s="592" t="s">
        <v>798</v>
      </c>
      <c r="C116" s="600">
        <f>SUM(C110+C111+C114)</f>
        <v>0.27067337513210882</v>
      </c>
      <c r="D116" s="600">
        <f>SUM(D110+D111+D114)</f>
        <v>0.29205928408189236</v>
      </c>
      <c r="E116" s="601">
        <f t="shared" si="13"/>
        <v>2.1385908949783539E-2</v>
      </c>
    </row>
    <row r="117" spans="1:5" s="421" customFormat="1" x14ac:dyDescent="0.2">
      <c r="A117" s="588"/>
      <c r="B117" s="592" t="s">
        <v>799</v>
      </c>
      <c r="C117" s="600">
        <f>SUM(C109+C116)</f>
        <v>0.39408657488150012</v>
      </c>
      <c r="D117" s="600">
        <f>SUM(D109+D116)</f>
        <v>0.41068212247676822</v>
      </c>
      <c r="E117" s="601">
        <f t="shared" si="13"/>
        <v>1.6595547595268101E-2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0.3777493230901085</v>
      </c>
      <c r="D121" s="599">
        <f t="shared" si="14"/>
        <v>0.36150664680615952</v>
      </c>
      <c r="E121" s="599">
        <f t="shared" ref="E121:E129" si="15">D121-C121</f>
        <v>-1.6242676283948987E-2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0.15518909010486887</v>
      </c>
      <c r="D122" s="599">
        <f t="shared" si="14"/>
        <v>0.15865614609535961</v>
      </c>
      <c r="E122" s="599">
        <f t="shared" si="15"/>
        <v>3.4670559904907416E-3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6.9998109415639373E-2</v>
      </c>
      <c r="D123" s="599">
        <f t="shared" si="14"/>
        <v>6.6405359840256514E-2</v>
      </c>
      <c r="E123" s="599">
        <f t="shared" si="15"/>
        <v>-3.5927495753828587E-3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6.9998109415639373E-2</v>
      </c>
      <c r="D124" s="599">
        <f t="shared" si="14"/>
        <v>6.6405359840256514E-2</v>
      </c>
      <c r="E124" s="599">
        <f t="shared" si="15"/>
        <v>-3.5927495753828587E-3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2.9769025078831466E-3</v>
      </c>
      <c r="D126" s="599">
        <f t="shared" si="14"/>
        <v>2.7497247814561006E-3</v>
      </c>
      <c r="E126" s="599">
        <f t="shared" si="15"/>
        <v>-2.2717772642704597E-4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1.6552634380506523E-3</v>
      </c>
      <c r="D127" s="599">
        <f t="shared" si="14"/>
        <v>4.2665851168749314E-3</v>
      </c>
      <c r="E127" s="599">
        <f t="shared" si="15"/>
        <v>2.6113216788242791E-3</v>
      </c>
    </row>
    <row r="128" spans="1:5" s="421" customFormat="1" x14ac:dyDescent="0.2">
      <c r="A128" s="588"/>
      <c r="B128" s="592" t="s">
        <v>801</v>
      </c>
      <c r="C128" s="600">
        <f>SUM(C122+C123+C126)</f>
        <v>0.22816410202839141</v>
      </c>
      <c r="D128" s="600">
        <f>SUM(D122+D123+D126)</f>
        <v>0.22781123071707224</v>
      </c>
      <c r="E128" s="601">
        <f t="shared" si="15"/>
        <v>-3.5287131131916949E-4</v>
      </c>
    </row>
    <row r="129" spans="1:5" s="421" customFormat="1" x14ac:dyDescent="0.2">
      <c r="A129" s="588"/>
      <c r="B129" s="592" t="s">
        <v>802</v>
      </c>
      <c r="C129" s="600">
        <f>SUM(C121+C128)</f>
        <v>0.60591342511849988</v>
      </c>
      <c r="D129" s="600">
        <f>SUM(D121+D128)</f>
        <v>0.58931787752323173</v>
      </c>
      <c r="E129" s="601">
        <f t="shared" si="15"/>
        <v>-1.6595547595268156E-2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896</v>
      </c>
      <c r="D137" s="606">
        <v>915</v>
      </c>
      <c r="E137" s="607">
        <f t="shared" ref="E137:E145" si="16">D137-C137</f>
        <v>19</v>
      </c>
    </row>
    <row r="138" spans="1:5" s="421" customFormat="1" x14ac:dyDescent="0.2">
      <c r="A138" s="588">
        <v>2</v>
      </c>
      <c r="B138" s="587" t="s">
        <v>637</v>
      </c>
      <c r="C138" s="606">
        <v>1633</v>
      </c>
      <c r="D138" s="606">
        <v>1571</v>
      </c>
      <c r="E138" s="607">
        <f t="shared" si="16"/>
        <v>-62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581</v>
      </c>
      <c r="D139" s="606">
        <f>D140+D141</f>
        <v>681</v>
      </c>
      <c r="E139" s="607">
        <f t="shared" si="16"/>
        <v>100</v>
      </c>
    </row>
    <row r="140" spans="1:5" s="421" customFormat="1" x14ac:dyDescent="0.2">
      <c r="A140" s="588">
        <v>4</v>
      </c>
      <c r="B140" s="587" t="s">
        <v>115</v>
      </c>
      <c r="C140" s="606">
        <v>581</v>
      </c>
      <c r="D140" s="606">
        <v>681</v>
      </c>
      <c r="E140" s="607">
        <f t="shared" si="16"/>
        <v>100</v>
      </c>
    </row>
    <row r="141" spans="1:5" s="421" customFormat="1" x14ac:dyDescent="0.2">
      <c r="A141" s="588">
        <v>5</v>
      </c>
      <c r="B141" s="587" t="s">
        <v>745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29</v>
      </c>
      <c r="D142" s="606">
        <v>24</v>
      </c>
      <c r="E142" s="607">
        <f t="shared" si="16"/>
        <v>-5</v>
      </c>
    </row>
    <row r="143" spans="1:5" s="421" customFormat="1" x14ac:dyDescent="0.2">
      <c r="A143" s="588">
        <v>7</v>
      </c>
      <c r="B143" s="587" t="s">
        <v>760</v>
      </c>
      <c r="C143" s="606">
        <v>48</v>
      </c>
      <c r="D143" s="606">
        <v>42</v>
      </c>
      <c r="E143" s="607">
        <f t="shared" si="16"/>
        <v>-6</v>
      </c>
    </row>
    <row r="144" spans="1:5" s="421" customFormat="1" x14ac:dyDescent="0.2">
      <c r="A144" s="588"/>
      <c r="B144" s="592" t="s">
        <v>809</v>
      </c>
      <c r="C144" s="608">
        <f>SUM(C138+C139+C142)</f>
        <v>2243</v>
      </c>
      <c r="D144" s="608">
        <f>SUM(D138+D139+D142)</f>
        <v>2276</v>
      </c>
      <c r="E144" s="609">
        <f t="shared" si="16"/>
        <v>33</v>
      </c>
    </row>
    <row r="145" spans="1:5" s="421" customFormat="1" x14ac:dyDescent="0.2">
      <c r="A145" s="588"/>
      <c r="B145" s="592" t="s">
        <v>138</v>
      </c>
      <c r="C145" s="608">
        <f>SUM(C137+C144)</f>
        <v>3139</v>
      </c>
      <c r="D145" s="608">
        <f>SUM(D137+D144)</f>
        <v>3191</v>
      </c>
      <c r="E145" s="609">
        <f t="shared" si="16"/>
        <v>52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3650</v>
      </c>
      <c r="D149" s="610">
        <v>3657</v>
      </c>
      <c r="E149" s="607">
        <f t="shared" ref="E149:E157" si="17">D149-C149</f>
        <v>7</v>
      </c>
    </row>
    <row r="150" spans="1:5" s="421" customFormat="1" x14ac:dyDescent="0.2">
      <c r="A150" s="588">
        <v>2</v>
      </c>
      <c r="B150" s="587" t="s">
        <v>637</v>
      </c>
      <c r="C150" s="610">
        <v>9745</v>
      </c>
      <c r="D150" s="610">
        <v>9143</v>
      </c>
      <c r="E150" s="607">
        <f t="shared" si="17"/>
        <v>-602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2623</v>
      </c>
      <c r="D151" s="610">
        <f>D152+D153</f>
        <v>3369</v>
      </c>
      <c r="E151" s="607">
        <f t="shared" si="17"/>
        <v>746</v>
      </c>
    </row>
    <row r="152" spans="1:5" s="421" customFormat="1" x14ac:dyDescent="0.2">
      <c r="A152" s="588">
        <v>4</v>
      </c>
      <c r="B152" s="587" t="s">
        <v>115</v>
      </c>
      <c r="C152" s="610">
        <v>2623</v>
      </c>
      <c r="D152" s="610">
        <v>3369</v>
      </c>
      <c r="E152" s="607">
        <f t="shared" si="17"/>
        <v>746</v>
      </c>
    </row>
    <row r="153" spans="1:5" s="421" customFormat="1" x14ac:dyDescent="0.2">
      <c r="A153" s="588">
        <v>5</v>
      </c>
      <c r="B153" s="587" t="s">
        <v>745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112</v>
      </c>
      <c r="D154" s="610">
        <v>101</v>
      </c>
      <c r="E154" s="607">
        <f t="shared" si="17"/>
        <v>-11</v>
      </c>
    </row>
    <row r="155" spans="1:5" s="421" customFormat="1" x14ac:dyDescent="0.2">
      <c r="A155" s="588">
        <v>7</v>
      </c>
      <c r="B155" s="587" t="s">
        <v>760</v>
      </c>
      <c r="C155" s="610">
        <v>180</v>
      </c>
      <c r="D155" s="610">
        <v>169</v>
      </c>
      <c r="E155" s="607">
        <f t="shared" si="17"/>
        <v>-11</v>
      </c>
    </row>
    <row r="156" spans="1:5" s="421" customFormat="1" x14ac:dyDescent="0.2">
      <c r="A156" s="588"/>
      <c r="B156" s="592" t="s">
        <v>810</v>
      </c>
      <c r="C156" s="608">
        <f>SUM(C150+C151+C154)</f>
        <v>12480</v>
      </c>
      <c r="D156" s="608">
        <f>SUM(D150+D151+D154)</f>
        <v>12613</v>
      </c>
      <c r="E156" s="609">
        <f t="shared" si="17"/>
        <v>133</v>
      </c>
    </row>
    <row r="157" spans="1:5" s="421" customFormat="1" x14ac:dyDescent="0.2">
      <c r="A157" s="588"/>
      <c r="B157" s="592" t="s">
        <v>140</v>
      </c>
      <c r="C157" s="608">
        <f>SUM(C149+C156)</f>
        <v>16130</v>
      </c>
      <c r="D157" s="608">
        <f>SUM(D149+D156)</f>
        <v>16270</v>
      </c>
      <c r="E157" s="609">
        <f t="shared" si="17"/>
        <v>140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4.0736607142857144</v>
      </c>
      <c r="D161" s="612">
        <f t="shared" si="18"/>
        <v>3.9967213114754099</v>
      </c>
      <c r="E161" s="613">
        <f t="shared" ref="E161:E169" si="19">D161-C161</f>
        <v>-7.6939402810304536E-2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5.9675443968156765</v>
      </c>
      <c r="D162" s="612">
        <f t="shared" si="18"/>
        <v>5.819859961807766</v>
      </c>
      <c r="E162" s="613">
        <f t="shared" si="19"/>
        <v>-0.14768443500791051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4.5146299483648882</v>
      </c>
      <c r="D163" s="612">
        <f t="shared" si="18"/>
        <v>4.9471365638766516</v>
      </c>
      <c r="E163" s="613">
        <f t="shared" si="19"/>
        <v>0.43250661551176339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4.5146299483648882</v>
      </c>
      <c r="D164" s="612">
        <f t="shared" si="18"/>
        <v>4.9471365638766516</v>
      </c>
      <c r="E164" s="613">
        <f t="shared" si="19"/>
        <v>0.43250661551176339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3.8620689655172415</v>
      </c>
      <c r="D166" s="612">
        <f t="shared" si="18"/>
        <v>4.208333333333333</v>
      </c>
      <c r="E166" s="613">
        <f t="shared" si="19"/>
        <v>0.34626436781609149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3.75</v>
      </c>
      <c r="D167" s="612">
        <f t="shared" si="18"/>
        <v>4.0238095238095237</v>
      </c>
      <c r="E167" s="613">
        <f t="shared" si="19"/>
        <v>0.27380952380952372</v>
      </c>
    </row>
    <row r="168" spans="1:5" s="421" customFormat="1" x14ac:dyDescent="0.2">
      <c r="A168" s="588"/>
      <c r="B168" s="592" t="s">
        <v>812</v>
      </c>
      <c r="C168" s="614">
        <f t="shared" si="18"/>
        <v>5.5639768167632635</v>
      </c>
      <c r="D168" s="614">
        <f t="shared" si="18"/>
        <v>5.5417398945518457</v>
      </c>
      <c r="E168" s="615">
        <f t="shared" si="19"/>
        <v>-2.223692221141782E-2</v>
      </c>
    </row>
    <row r="169" spans="1:5" s="421" customFormat="1" x14ac:dyDescent="0.2">
      <c r="A169" s="588"/>
      <c r="B169" s="592" t="s">
        <v>746</v>
      </c>
      <c r="C169" s="614">
        <f t="shared" si="18"/>
        <v>5.1385791653392801</v>
      </c>
      <c r="D169" s="614">
        <f t="shared" si="18"/>
        <v>5.0987151363209025</v>
      </c>
      <c r="E169" s="615">
        <f t="shared" si="19"/>
        <v>-3.98640290183776E-2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0.96850000000000003</v>
      </c>
      <c r="D173" s="617">
        <f t="shared" si="20"/>
        <v>1.0093000000000001</v>
      </c>
      <c r="E173" s="618">
        <f t="shared" ref="E173:E181" si="21">D173-C173</f>
        <v>4.0800000000000058E-2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1.3169999999999999</v>
      </c>
      <c r="D174" s="617">
        <f t="shared" si="20"/>
        <v>1.2617</v>
      </c>
      <c r="E174" s="618">
        <f t="shared" si="21"/>
        <v>-5.5299999999999905E-2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0.94340000000000002</v>
      </c>
      <c r="D175" s="617">
        <f t="shared" si="20"/>
        <v>0.94079999999999997</v>
      </c>
      <c r="E175" s="618">
        <f t="shared" si="21"/>
        <v>-2.6000000000000467E-3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0.94340000000000002</v>
      </c>
      <c r="D176" s="617">
        <f t="shared" si="20"/>
        <v>0.94079999999999997</v>
      </c>
      <c r="E176" s="618">
        <f t="shared" si="21"/>
        <v>-2.6000000000000467E-3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1.0887</v>
      </c>
      <c r="D178" s="617">
        <f t="shared" si="20"/>
        <v>0.91200000000000003</v>
      </c>
      <c r="E178" s="618">
        <f t="shared" si="21"/>
        <v>-0.17669999999999997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1.0148999999999999</v>
      </c>
      <c r="D179" s="617">
        <f t="shared" si="20"/>
        <v>1.0101</v>
      </c>
      <c r="E179" s="618">
        <f t="shared" si="21"/>
        <v>-4.7999999999999154E-3</v>
      </c>
    </row>
    <row r="180" spans="1:5" s="421" customFormat="1" x14ac:dyDescent="0.2">
      <c r="A180" s="588"/>
      <c r="B180" s="592" t="s">
        <v>814</v>
      </c>
      <c r="C180" s="619">
        <f t="shared" si="20"/>
        <v>1.2172753901025413</v>
      </c>
      <c r="D180" s="619">
        <f t="shared" si="20"/>
        <v>1.1619962653778559</v>
      </c>
      <c r="E180" s="620">
        <f t="shared" si="21"/>
        <v>-5.5279124724685325E-2</v>
      </c>
    </row>
    <row r="181" spans="1:5" s="421" customFormat="1" x14ac:dyDescent="0.2">
      <c r="A181" s="588"/>
      <c r="B181" s="592" t="s">
        <v>725</v>
      </c>
      <c r="C181" s="619">
        <f t="shared" si="20"/>
        <v>1.1462646384198791</v>
      </c>
      <c r="D181" s="619">
        <f t="shared" si="20"/>
        <v>1.1182115324349735</v>
      </c>
      <c r="E181" s="620">
        <f t="shared" si="21"/>
        <v>-2.8053105984905624E-2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56461997</v>
      </c>
      <c r="D185" s="589">
        <v>59307952</v>
      </c>
      <c r="E185" s="590">
        <f>D185-C185</f>
        <v>2845955</v>
      </c>
    </row>
    <row r="186" spans="1:5" s="421" customFormat="1" ht="25.5" x14ac:dyDescent="0.2">
      <c r="A186" s="588">
        <v>2</v>
      </c>
      <c r="B186" s="587" t="s">
        <v>817</v>
      </c>
      <c r="C186" s="589">
        <v>29684854</v>
      </c>
      <c r="D186" s="589">
        <v>32000079</v>
      </c>
      <c r="E186" s="590">
        <f>D186-C186</f>
        <v>2315225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26777143</v>
      </c>
      <c r="D188" s="622">
        <f>+D185-D186</f>
        <v>27307873</v>
      </c>
      <c r="E188" s="590">
        <f t="shared" ref="E188:E197" si="22">D188-C188</f>
        <v>530730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0.47425072478396396</v>
      </c>
      <c r="D189" s="623">
        <f>IF(D185=0,0,+D188/D185)</f>
        <v>0.46044201627464726</v>
      </c>
      <c r="E189" s="599">
        <f t="shared" si="22"/>
        <v>-1.3808708509316703E-2</v>
      </c>
    </row>
    <row r="190" spans="1:5" s="421" customFormat="1" x14ac:dyDescent="0.2">
      <c r="A190" s="588">
        <v>5</v>
      </c>
      <c r="B190" s="587" t="s">
        <v>764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750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310398</v>
      </c>
      <c r="D193" s="589">
        <v>387404</v>
      </c>
      <c r="E193" s="622">
        <f t="shared" si="22"/>
        <v>77006</v>
      </c>
    </row>
    <row r="194" spans="1:5" s="421" customFormat="1" x14ac:dyDescent="0.2">
      <c r="A194" s="588">
        <v>9</v>
      </c>
      <c r="B194" s="587" t="s">
        <v>820</v>
      </c>
      <c r="C194" s="589">
        <v>4455452</v>
      </c>
      <c r="D194" s="589">
        <v>4119249</v>
      </c>
      <c r="E194" s="622">
        <f t="shared" si="22"/>
        <v>-336203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4765850</v>
      </c>
      <c r="D195" s="589">
        <f>+D193+D194</f>
        <v>4506653</v>
      </c>
      <c r="E195" s="625">
        <f t="shared" si="22"/>
        <v>-259197</v>
      </c>
    </row>
    <row r="196" spans="1:5" s="421" customFormat="1" x14ac:dyDescent="0.2">
      <c r="A196" s="588">
        <v>11</v>
      </c>
      <c r="B196" s="587" t="s">
        <v>822</v>
      </c>
      <c r="C196" s="589">
        <v>275135</v>
      </c>
      <c r="D196" s="589">
        <v>473373</v>
      </c>
      <c r="E196" s="622">
        <f t="shared" si="22"/>
        <v>198238</v>
      </c>
    </row>
    <row r="197" spans="1:5" s="421" customFormat="1" x14ac:dyDescent="0.2">
      <c r="A197" s="588">
        <v>12</v>
      </c>
      <c r="B197" s="587" t="s">
        <v>712</v>
      </c>
      <c r="C197" s="589">
        <v>63578052</v>
      </c>
      <c r="D197" s="589">
        <v>66456723</v>
      </c>
      <c r="E197" s="622">
        <f t="shared" si="22"/>
        <v>2878671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867.77600000000007</v>
      </c>
      <c r="D203" s="629">
        <v>923.50950000000012</v>
      </c>
      <c r="E203" s="630">
        <f t="shared" ref="E203:E211" si="23">D203-C203</f>
        <v>55.733500000000049</v>
      </c>
    </row>
    <row r="204" spans="1:5" s="421" customFormat="1" x14ac:dyDescent="0.2">
      <c r="A204" s="588">
        <v>2</v>
      </c>
      <c r="B204" s="587" t="s">
        <v>637</v>
      </c>
      <c r="C204" s="629">
        <v>2150.6610000000001</v>
      </c>
      <c r="D204" s="629">
        <v>1982.1307000000002</v>
      </c>
      <c r="E204" s="630">
        <f t="shared" si="23"/>
        <v>-168.5302999999999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548.11540000000002</v>
      </c>
      <c r="D205" s="629">
        <f>D206+D207</f>
        <v>640.6848</v>
      </c>
      <c r="E205" s="630">
        <f t="shared" si="23"/>
        <v>92.569399999999973</v>
      </c>
    </row>
    <row r="206" spans="1:5" s="421" customFormat="1" x14ac:dyDescent="0.2">
      <c r="A206" s="588">
        <v>4</v>
      </c>
      <c r="B206" s="587" t="s">
        <v>115</v>
      </c>
      <c r="C206" s="629">
        <v>548.11540000000002</v>
      </c>
      <c r="D206" s="629">
        <v>640.6848</v>
      </c>
      <c r="E206" s="630">
        <f t="shared" si="23"/>
        <v>92.569399999999973</v>
      </c>
    </row>
    <row r="207" spans="1:5" s="421" customFormat="1" x14ac:dyDescent="0.2">
      <c r="A207" s="588">
        <v>5</v>
      </c>
      <c r="B207" s="587" t="s">
        <v>745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31.572299999999998</v>
      </c>
      <c r="D208" s="629">
        <v>21.888000000000002</v>
      </c>
      <c r="E208" s="630">
        <f t="shared" si="23"/>
        <v>-9.6842999999999968</v>
      </c>
    </row>
    <row r="209" spans="1:5" s="421" customFormat="1" x14ac:dyDescent="0.2">
      <c r="A209" s="588">
        <v>7</v>
      </c>
      <c r="B209" s="587" t="s">
        <v>760</v>
      </c>
      <c r="C209" s="629">
        <v>48.715199999999996</v>
      </c>
      <c r="D209" s="629">
        <v>42.424199999999999</v>
      </c>
      <c r="E209" s="630">
        <f t="shared" si="23"/>
        <v>-6.2909999999999968</v>
      </c>
    </row>
    <row r="210" spans="1:5" s="421" customFormat="1" x14ac:dyDescent="0.2">
      <c r="A210" s="588"/>
      <c r="B210" s="592" t="s">
        <v>825</v>
      </c>
      <c r="C210" s="631">
        <f>C204+C205+C208</f>
        <v>2730.3487</v>
      </c>
      <c r="D210" s="631">
        <f>D204+D205+D208</f>
        <v>2644.7035000000001</v>
      </c>
      <c r="E210" s="632">
        <f t="shared" si="23"/>
        <v>-85.645199999999932</v>
      </c>
    </row>
    <row r="211" spans="1:5" s="421" customFormat="1" x14ac:dyDescent="0.2">
      <c r="A211" s="588"/>
      <c r="B211" s="592" t="s">
        <v>726</v>
      </c>
      <c r="C211" s="631">
        <f>C210+C203</f>
        <v>3598.1247000000003</v>
      </c>
      <c r="D211" s="631">
        <f>D210+D203</f>
        <v>3568.2130000000002</v>
      </c>
      <c r="E211" s="632">
        <f t="shared" si="23"/>
        <v>-29.91170000000011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2922.8604726333342</v>
      </c>
      <c r="D215" s="633">
        <f>IF(D14*D137=0,0,D25/D14*D137)</f>
        <v>3329.7900909903337</v>
      </c>
      <c r="E215" s="633">
        <f t="shared" ref="E215:E223" si="24">D215-C215</f>
        <v>406.92961835699953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1470.1022101151182</v>
      </c>
      <c r="D216" s="633">
        <f>IF(D15*D138=0,0,D26/D15*D138)</f>
        <v>1715.4558188991707</v>
      </c>
      <c r="E216" s="633">
        <f t="shared" si="24"/>
        <v>245.35360878405254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1149.6861836885107</v>
      </c>
      <c r="D217" s="633">
        <f>D218+D219</f>
        <v>1346.0259103171418</v>
      </c>
      <c r="E217" s="633">
        <f t="shared" si="24"/>
        <v>196.33972662863107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1149.6861836885107</v>
      </c>
      <c r="D218" s="633">
        <f t="shared" si="25"/>
        <v>1346.0259103171418</v>
      </c>
      <c r="E218" s="633">
        <f t="shared" si="24"/>
        <v>196.33972662863107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39.60686871730325</v>
      </c>
      <c r="D220" s="633">
        <f t="shared" si="25"/>
        <v>38.434780732044203</v>
      </c>
      <c r="E220" s="633">
        <f t="shared" si="24"/>
        <v>-1.1720879852590471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140.1658368849433</v>
      </c>
      <c r="D221" s="633">
        <f t="shared" si="25"/>
        <v>151.03483120179351</v>
      </c>
      <c r="E221" s="633">
        <f t="shared" si="24"/>
        <v>10.868994316850205</v>
      </c>
    </row>
    <row r="222" spans="1:5" s="421" customFormat="1" x14ac:dyDescent="0.2">
      <c r="A222" s="588"/>
      <c r="B222" s="592" t="s">
        <v>827</v>
      </c>
      <c r="C222" s="634">
        <f>C216+C218+C219+C220</f>
        <v>2659.3952625209322</v>
      </c>
      <c r="D222" s="634">
        <f>D216+D218+D219+D220</f>
        <v>3099.9165099483566</v>
      </c>
      <c r="E222" s="634">
        <f t="shared" si="24"/>
        <v>440.52124742742444</v>
      </c>
    </row>
    <row r="223" spans="1:5" s="421" customFormat="1" x14ac:dyDescent="0.2">
      <c r="A223" s="588"/>
      <c r="B223" s="592" t="s">
        <v>828</v>
      </c>
      <c r="C223" s="634">
        <f>C215+C222</f>
        <v>5582.2557351542664</v>
      </c>
      <c r="D223" s="634">
        <f>D215+D222</f>
        <v>6429.7066009386908</v>
      </c>
      <c r="E223" s="634">
        <f t="shared" si="24"/>
        <v>847.45086578442442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8195.682987314698</v>
      </c>
      <c r="D227" s="636">
        <f t="shared" si="26"/>
        <v>8560.9038131172438</v>
      </c>
      <c r="E227" s="636">
        <f t="shared" ref="E227:E235" si="27">D227-C227</f>
        <v>365.22082580254573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6281.3525702098095</v>
      </c>
      <c r="D228" s="636">
        <f t="shared" si="26"/>
        <v>7112.311514069178</v>
      </c>
      <c r="E228" s="636">
        <f t="shared" si="27"/>
        <v>830.95894385936845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3520.0561779508475</v>
      </c>
      <c r="D229" s="636">
        <f t="shared" si="26"/>
        <v>8135.0376971640344</v>
      </c>
      <c r="E229" s="636">
        <f t="shared" si="27"/>
        <v>4614.9815192131864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3520.0561779508475</v>
      </c>
      <c r="D230" s="636">
        <f t="shared" si="26"/>
        <v>8135.0376971640344</v>
      </c>
      <c r="E230" s="636">
        <f t="shared" si="27"/>
        <v>4614.9815192131864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5062.1272444516244</v>
      </c>
      <c r="D232" s="636">
        <f t="shared" si="26"/>
        <v>7122.1673976608181</v>
      </c>
      <c r="E232" s="636">
        <f t="shared" si="27"/>
        <v>2060.0401532091937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2.0527473971163008</v>
      </c>
      <c r="D233" s="636">
        <f t="shared" si="26"/>
        <v>139.16585345156773</v>
      </c>
      <c r="E233" s="636">
        <f t="shared" si="27"/>
        <v>137.11310605445144</v>
      </c>
    </row>
    <row r="234" spans="1:5" x14ac:dyDescent="0.2">
      <c r="A234" s="588"/>
      <c r="B234" s="592" t="s">
        <v>830</v>
      </c>
      <c r="C234" s="637">
        <f t="shared" si="26"/>
        <v>5712.9259716899896</v>
      </c>
      <c r="D234" s="637">
        <f t="shared" si="26"/>
        <v>7360.1505802068168</v>
      </c>
      <c r="E234" s="637">
        <f t="shared" si="27"/>
        <v>1647.2246085168272</v>
      </c>
    </row>
    <row r="235" spans="1:5" s="421" customFormat="1" x14ac:dyDescent="0.2">
      <c r="A235" s="588"/>
      <c r="B235" s="592" t="s">
        <v>831</v>
      </c>
      <c r="C235" s="637">
        <f t="shared" si="26"/>
        <v>6311.7037049883229</v>
      </c>
      <c r="D235" s="637">
        <f t="shared" si="26"/>
        <v>7670.9243534508723</v>
      </c>
      <c r="E235" s="637">
        <f t="shared" si="27"/>
        <v>1359.2206484625494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7447.7790520009012</v>
      </c>
      <c r="D239" s="636">
        <f t="shared" si="28"/>
        <v>7235.8924561620197</v>
      </c>
      <c r="E239" s="638">
        <f t="shared" ref="E239:E247" si="29">D239-C239</f>
        <v>-211.88659583888148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6083.3783790446059</v>
      </c>
      <c r="D240" s="636">
        <f t="shared" si="28"/>
        <v>6164.1051220926383</v>
      </c>
      <c r="E240" s="638">
        <f t="shared" si="29"/>
        <v>80.726743048032404</v>
      </c>
    </row>
    <row r="241" spans="1:5" x14ac:dyDescent="0.2">
      <c r="A241" s="588">
        <v>3</v>
      </c>
      <c r="B241" s="587" t="s">
        <v>779</v>
      </c>
      <c r="C241" s="636">
        <f t="shared" si="28"/>
        <v>3508.6348407339842</v>
      </c>
      <c r="D241" s="636">
        <f t="shared" si="28"/>
        <v>3288.0800927206615</v>
      </c>
      <c r="E241" s="638">
        <f t="shared" si="29"/>
        <v>-220.55474801332275</v>
      </c>
    </row>
    <row r="242" spans="1:5" x14ac:dyDescent="0.2">
      <c r="A242" s="588">
        <v>4</v>
      </c>
      <c r="B242" s="587" t="s">
        <v>115</v>
      </c>
      <c r="C242" s="636">
        <f t="shared" si="28"/>
        <v>3508.6348407339842</v>
      </c>
      <c r="D242" s="636">
        <f t="shared" si="28"/>
        <v>3288.0800927206615</v>
      </c>
      <c r="E242" s="638">
        <f t="shared" si="29"/>
        <v>-220.55474801332275</v>
      </c>
    </row>
    <row r="243" spans="1:5" x14ac:dyDescent="0.2">
      <c r="A243" s="588">
        <v>5</v>
      </c>
      <c r="B243" s="587" t="s">
        <v>745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4331.3699253648201</v>
      </c>
      <c r="D244" s="636">
        <f t="shared" si="28"/>
        <v>4768.2332644922772</v>
      </c>
      <c r="E244" s="638">
        <f t="shared" si="29"/>
        <v>436.86333912745704</v>
      </c>
    </row>
    <row r="245" spans="1:5" x14ac:dyDescent="0.2">
      <c r="A245" s="588">
        <v>7</v>
      </c>
      <c r="B245" s="587" t="s">
        <v>760</v>
      </c>
      <c r="C245" s="636">
        <f t="shared" si="28"/>
        <v>680.54386232717411</v>
      </c>
      <c r="D245" s="636">
        <f t="shared" si="28"/>
        <v>1882.7643778412303</v>
      </c>
      <c r="E245" s="638">
        <f t="shared" si="29"/>
        <v>1202.2205155140562</v>
      </c>
    </row>
    <row r="246" spans="1:5" ht="25.5" x14ac:dyDescent="0.2">
      <c r="A246" s="588"/>
      <c r="B246" s="592" t="s">
        <v>833</v>
      </c>
      <c r="C246" s="637">
        <f t="shared" si="28"/>
        <v>4944.1950902537219</v>
      </c>
      <c r="D246" s="637">
        <f t="shared" si="28"/>
        <v>4897.9890107598249</v>
      </c>
      <c r="E246" s="639">
        <f t="shared" si="29"/>
        <v>-46.20607949389705</v>
      </c>
    </row>
    <row r="247" spans="1:5" x14ac:dyDescent="0.2">
      <c r="A247" s="588"/>
      <c r="B247" s="592" t="s">
        <v>834</v>
      </c>
      <c r="C247" s="637">
        <f t="shared" si="28"/>
        <v>6255.0677820271976</v>
      </c>
      <c r="D247" s="637">
        <f t="shared" si="28"/>
        <v>6108.7328610400027</v>
      </c>
      <c r="E247" s="639">
        <f t="shared" si="29"/>
        <v>-146.33492098719489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2960147.0725369914</v>
      </c>
      <c r="D251" s="622">
        <f>((IF((IF(D15=0,0,D26/D15)*D138)=0,0,D59/(IF(D15=0,0,D26/D15)*D138)))-(IF((IF(D17=0,0,D28/D17)*D140)=0,0,D61/(IF(D17=0,0,D28/D17)*D140))))*(IF(D17=0,0,D28/D17)*D140)</f>
        <v>3871204.2082552994</v>
      </c>
      <c r="E251" s="622">
        <f>D251-C251</f>
        <v>911057.13571830792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1063190.168314842</v>
      </c>
      <c r="D253" s="622">
        <f>IF(D233=0,0,(D228-D233)*D209+IF(D221=0,0,(D240-D245)*D221))</f>
        <v>942461.702760546</v>
      </c>
      <c r="E253" s="622">
        <f>D253-C253</f>
        <v>-120728.46555429604</v>
      </c>
    </row>
    <row r="254" spans="1:5" ht="15" customHeight="1" x14ac:dyDescent="0.2">
      <c r="A254" s="588"/>
      <c r="B254" s="592" t="s">
        <v>761</v>
      </c>
      <c r="C254" s="640">
        <f>+C251+C252+C253</f>
        <v>4023337.2408518335</v>
      </c>
      <c r="D254" s="640">
        <f>+D251+D252+D253</f>
        <v>4813665.9110158458</v>
      </c>
      <c r="E254" s="640">
        <f>D254-C254</f>
        <v>790328.67016401235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159131313</v>
      </c>
      <c r="D258" s="625">
        <f>+D44</f>
        <v>170600762</v>
      </c>
      <c r="E258" s="622">
        <f t="shared" ref="E258:E271" si="30">D258-C258</f>
        <v>11469449</v>
      </c>
    </row>
    <row r="259" spans="1:5" x14ac:dyDescent="0.2">
      <c r="A259" s="588">
        <v>2</v>
      </c>
      <c r="B259" s="587" t="s">
        <v>744</v>
      </c>
      <c r="C259" s="622">
        <f>+(C43-C76)</f>
        <v>73922467</v>
      </c>
      <c r="D259" s="625">
        <f>+(D43-D76)</f>
        <v>76644037</v>
      </c>
      <c r="E259" s="622">
        <f t="shared" si="30"/>
        <v>2721570</v>
      </c>
    </row>
    <row r="260" spans="1:5" x14ac:dyDescent="0.2">
      <c r="A260" s="588">
        <v>3</v>
      </c>
      <c r="B260" s="587" t="s">
        <v>748</v>
      </c>
      <c r="C260" s="622">
        <f>C195</f>
        <v>4765850</v>
      </c>
      <c r="D260" s="622">
        <f>D195</f>
        <v>4506653</v>
      </c>
      <c r="E260" s="622">
        <f t="shared" si="30"/>
        <v>-259197</v>
      </c>
    </row>
    <row r="261" spans="1:5" x14ac:dyDescent="0.2">
      <c r="A261" s="588">
        <v>4</v>
      </c>
      <c r="B261" s="587" t="s">
        <v>749</v>
      </c>
      <c r="C261" s="622">
        <f>C188</f>
        <v>26777143</v>
      </c>
      <c r="D261" s="622">
        <f>D188</f>
        <v>27307873</v>
      </c>
      <c r="E261" s="622">
        <f t="shared" si="30"/>
        <v>530730</v>
      </c>
    </row>
    <row r="262" spans="1:5" x14ac:dyDescent="0.2">
      <c r="A262" s="588">
        <v>5</v>
      </c>
      <c r="B262" s="587" t="s">
        <v>750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751</v>
      </c>
      <c r="C263" s="622">
        <f>+C259+C260+C261+C262</f>
        <v>105465460</v>
      </c>
      <c r="D263" s="622">
        <f>+D259+D260+D261+D262</f>
        <v>108458563</v>
      </c>
      <c r="E263" s="622">
        <f t="shared" si="30"/>
        <v>2993103</v>
      </c>
    </row>
    <row r="264" spans="1:5" x14ac:dyDescent="0.2">
      <c r="A264" s="588">
        <v>7</v>
      </c>
      <c r="B264" s="587" t="s">
        <v>656</v>
      </c>
      <c r="C264" s="622">
        <f>+C258-C263</f>
        <v>53665853</v>
      </c>
      <c r="D264" s="622">
        <f>+D258-D263</f>
        <v>62142199</v>
      </c>
      <c r="E264" s="622">
        <f t="shared" si="30"/>
        <v>8476346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53665853</v>
      </c>
      <c r="D266" s="622">
        <f>+D264+D265</f>
        <v>62142199</v>
      </c>
      <c r="E266" s="641">
        <f t="shared" si="30"/>
        <v>8476346</v>
      </c>
    </row>
    <row r="267" spans="1:5" x14ac:dyDescent="0.2">
      <c r="A267" s="588">
        <v>10</v>
      </c>
      <c r="B267" s="587" t="s">
        <v>839</v>
      </c>
      <c r="C267" s="642">
        <f>IF(C258=0,0,C266/C258)</f>
        <v>0.33724257022877702</v>
      </c>
      <c r="D267" s="642">
        <f>IF(D258=0,0,D266/D258)</f>
        <v>0.36425510807507411</v>
      </c>
      <c r="E267" s="643">
        <f t="shared" si="30"/>
        <v>2.7012537846297091E-2</v>
      </c>
    </row>
    <row r="268" spans="1:5" x14ac:dyDescent="0.2">
      <c r="A268" s="588">
        <v>11</v>
      </c>
      <c r="B268" s="587" t="s">
        <v>718</v>
      </c>
      <c r="C268" s="622">
        <f>+C260*C267</f>
        <v>1607247.5033248169</v>
      </c>
      <c r="D268" s="644">
        <f>+D260*D267</f>
        <v>1641571.375571857</v>
      </c>
      <c r="E268" s="622">
        <f t="shared" si="30"/>
        <v>34323.872247040039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2687827.31740335</v>
      </c>
      <c r="D269" s="644">
        <f>((D17+D18+D28+D29)*D267)-(D50+D51+D61+D62)</f>
        <v>1750111.852122372</v>
      </c>
      <c r="E269" s="622">
        <f t="shared" si="30"/>
        <v>-937715.46528097801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4295074.820728167</v>
      </c>
      <c r="D271" s="622">
        <f>+D268+D269+D270</f>
        <v>3391683.2276942292</v>
      </c>
      <c r="E271" s="625">
        <f t="shared" si="30"/>
        <v>-903391.59303393774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0.5368615895322506</v>
      </c>
      <c r="D276" s="623">
        <f t="shared" si="31"/>
        <v>0.61841950982942007</v>
      </c>
      <c r="E276" s="650">
        <f t="shared" ref="E276:E284" si="32">D276-C276</f>
        <v>8.1557920297169462E-2</v>
      </c>
    </row>
    <row r="277" spans="1:5" x14ac:dyDescent="0.2">
      <c r="A277" s="588">
        <v>2</v>
      </c>
      <c r="B277" s="587" t="s">
        <v>637</v>
      </c>
      <c r="C277" s="623">
        <f t="shared" si="31"/>
        <v>0.33757759452305586</v>
      </c>
      <c r="D277" s="623">
        <f t="shared" si="31"/>
        <v>0.37300217392517998</v>
      </c>
      <c r="E277" s="650">
        <f t="shared" si="32"/>
        <v>3.5424579402124123E-2</v>
      </c>
    </row>
    <row r="278" spans="1:5" x14ac:dyDescent="0.2">
      <c r="A278" s="588">
        <v>3</v>
      </c>
      <c r="B278" s="587" t="s">
        <v>779</v>
      </c>
      <c r="C278" s="623">
        <f t="shared" si="31"/>
        <v>0.22404600021993562</v>
      </c>
      <c r="D278" s="623">
        <f t="shared" si="31"/>
        <v>0.49622239391355799</v>
      </c>
      <c r="E278" s="650">
        <f t="shared" si="32"/>
        <v>0.27217639369362234</v>
      </c>
    </row>
    <row r="279" spans="1:5" x14ac:dyDescent="0.2">
      <c r="A279" s="588">
        <v>4</v>
      </c>
      <c r="B279" s="587" t="s">
        <v>115</v>
      </c>
      <c r="C279" s="623">
        <f t="shared" si="31"/>
        <v>0.22404600021993562</v>
      </c>
      <c r="D279" s="623">
        <f t="shared" si="31"/>
        <v>0.49622239391355799</v>
      </c>
      <c r="E279" s="650">
        <f t="shared" si="32"/>
        <v>0.27217639369362234</v>
      </c>
    </row>
    <row r="280" spans="1:5" x14ac:dyDescent="0.2">
      <c r="A280" s="588">
        <v>5</v>
      </c>
      <c r="B280" s="587" t="s">
        <v>745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0.38834689598028899</v>
      </c>
      <c r="D281" s="623">
        <f t="shared" si="31"/>
        <v>0.42054234288674031</v>
      </c>
      <c r="E281" s="650">
        <f t="shared" si="32"/>
        <v>3.2195446906451319E-2</v>
      </c>
    </row>
    <row r="282" spans="1:5" x14ac:dyDescent="0.2">
      <c r="A282" s="588">
        <v>7</v>
      </c>
      <c r="B282" s="587" t="s">
        <v>760</v>
      </c>
      <c r="C282" s="623">
        <f t="shared" si="31"/>
        <v>1.5447379274869123E-4</v>
      </c>
      <c r="D282" s="623">
        <f t="shared" si="31"/>
        <v>1.0796063386643164E-2</v>
      </c>
      <c r="E282" s="650">
        <f t="shared" si="32"/>
        <v>1.0641589593894472E-2</v>
      </c>
    </row>
    <row r="283" spans="1:5" ht="29.25" customHeight="1" x14ac:dyDescent="0.2">
      <c r="A283" s="588"/>
      <c r="B283" s="592" t="s">
        <v>846</v>
      </c>
      <c r="C283" s="651">
        <f t="shared" si="31"/>
        <v>0.31806739212788565</v>
      </c>
      <c r="D283" s="651">
        <f t="shared" si="31"/>
        <v>0.39995675258248603</v>
      </c>
      <c r="E283" s="652">
        <f t="shared" si="32"/>
        <v>8.1889360454600379E-2</v>
      </c>
    </row>
    <row r="284" spans="1:5" x14ac:dyDescent="0.2">
      <c r="A284" s="588"/>
      <c r="B284" s="592" t="s">
        <v>847</v>
      </c>
      <c r="C284" s="651">
        <f t="shared" si="31"/>
        <v>0.3646003329426975</v>
      </c>
      <c r="D284" s="651">
        <f t="shared" si="31"/>
        <v>0.44540438113100411</v>
      </c>
      <c r="E284" s="652">
        <f t="shared" si="32"/>
        <v>8.080404818830661E-2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0.50373756759954502</v>
      </c>
      <c r="D287" s="623">
        <f t="shared" si="33"/>
        <v>0.51788745963421978</v>
      </c>
      <c r="E287" s="650">
        <f t="shared" ref="E287:E295" si="34">D287-C287</f>
        <v>1.414989203467476E-2</v>
      </c>
    </row>
    <row r="288" spans="1:5" x14ac:dyDescent="0.2">
      <c r="A288" s="588">
        <v>2</v>
      </c>
      <c r="B288" s="587" t="s">
        <v>637</v>
      </c>
      <c r="C288" s="623">
        <f t="shared" si="33"/>
        <v>0.24824442171007971</v>
      </c>
      <c r="D288" s="623">
        <f t="shared" si="33"/>
        <v>0.25622088460991876</v>
      </c>
      <c r="E288" s="650">
        <f t="shared" si="34"/>
        <v>7.9764628998390541E-3</v>
      </c>
    </row>
    <row r="289" spans="1:5" x14ac:dyDescent="0.2">
      <c r="A289" s="588">
        <v>3</v>
      </c>
      <c r="B289" s="587" t="s">
        <v>779</v>
      </c>
      <c r="C289" s="623">
        <f t="shared" si="33"/>
        <v>0.23671724633944158</v>
      </c>
      <c r="D289" s="623">
        <f t="shared" si="33"/>
        <v>0.21318756483222917</v>
      </c>
      <c r="E289" s="650">
        <f t="shared" si="34"/>
        <v>-2.3529681507212408E-2</v>
      </c>
    </row>
    <row r="290" spans="1:5" x14ac:dyDescent="0.2">
      <c r="A290" s="588">
        <v>4</v>
      </c>
      <c r="B290" s="587" t="s">
        <v>115</v>
      </c>
      <c r="C290" s="623">
        <f t="shared" si="33"/>
        <v>0.23671724633944158</v>
      </c>
      <c r="D290" s="623">
        <f t="shared" si="33"/>
        <v>0.21318756483222917</v>
      </c>
      <c r="E290" s="650">
        <f t="shared" si="34"/>
        <v>-2.3529681507212408E-2</v>
      </c>
    </row>
    <row r="291" spans="1:5" x14ac:dyDescent="0.2">
      <c r="A291" s="588">
        <v>5</v>
      </c>
      <c r="B291" s="587" t="s">
        <v>745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0.30521356694516005</v>
      </c>
      <c r="D292" s="623">
        <f t="shared" si="33"/>
        <v>0.30871676004568438</v>
      </c>
      <c r="E292" s="650">
        <f t="shared" si="34"/>
        <v>3.5031931005243266E-3</v>
      </c>
    </row>
    <row r="293" spans="1:5" x14ac:dyDescent="0.2">
      <c r="A293" s="588">
        <v>7</v>
      </c>
      <c r="B293" s="587" t="s">
        <v>760</v>
      </c>
      <c r="C293" s="623">
        <f t="shared" si="33"/>
        <v>5.0460571941850448E-2</v>
      </c>
      <c r="D293" s="623">
        <f t="shared" si="33"/>
        <v>0.14459868389940439</v>
      </c>
      <c r="E293" s="650">
        <f t="shared" si="34"/>
        <v>9.4138111957553949E-2</v>
      </c>
    </row>
    <row r="294" spans="1:5" ht="29.25" customHeight="1" x14ac:dyDescent="0.2">
      <c r="A294" s="588"/>
      <c r="B294" s="592" t="s">
        <v>849</v>
      </c>
      <c r="C294" s="651">
        <f t="shared" si="33"/>
        <v>0.2451786935584305</v>
      </c>
      <c r="D294" s="651">
        <f t="shared" si="33"/>
        <v>0.24245265489874107</v>
      </c>
      <c r="E294" s="652">
        <f t="shared" si="34"/>
        <v>-2.7260386596894282E-3</v>
      </c>
    </row>
    <row r="295" spans="1:5" x14ac:dyDescent="0.2">
      <c r="A295" s="588"/>
      <c r="B295" s="592" t="s">
        <v>850</v>
      </c>
      <c r="C295" s="651">
        <f t="shared" si="33"/>
        <v>0.36055621794990345</v>
      </c>
      <c r="D295" s="651">
        <f t="shared" si="33"/>
        <v>0.35985534638473843</v>
      </c>
      <c r="E295" s="652">
        <f t="shared" si="34"/>
        <v>-7.008715651650177E-4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57627685</v>
      </c>
      <c r="D301" s="590">
        <f>+D48+D47+D50+D51+D52+D59+D58+D61+D62+D63</f>
        <v>66648852</v>
      </c>
      <c r="E301" s="590">
        <f>D301-C301</f>
        <v>9021167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57627685</v>
      </c>
      <c r="D303" s="593">
        <f>+D301+D302</f>
        <v>66648852</v>
      </c>
      <c r="E303" s="593">
        <f>D303-C303</f>
        <v>9021167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2005899</v>
      </c>
      <c r="D305" s="654">
        <v>0</v>
      </c>
      <c r="E305" s="655">
        <f>D305-C305</f>
        <v>-2005899</v>
      </c>
    </row>
    <row r="306" spans="1:5" x14ac:dyDescent="0.2">
      <c r="A306" s="588">
        <v>4</v>
      </c>
      <c r="B306" s="592" t="s">
        <v>857</v>
      </c>
      <c r="C306" s="593">
        <f>+C303+C305+C194+C190-C191</f>
        <v>64089036</v>
      </c>
      <c r="D306" s="593">
        <f>+D303+D305</f>
        <v>66648852</v>
      </c>
      <c r="E306" s="656">
        <f>D306-C306</f>
        <v>2559816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59633584</v>
      </c>
      <c r="D308" s="589">
        <v>66648825</v>
      </c>
      <c r="E308" s="590">
        <f>D308-C308</f>
        <v>7015241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4455452</v>
      </c>
      <c r="D310" s="658">
        <f>D306-D308</f>
        <v>27</v>
      </c>
      <c r="E310" s="656">
        <f>D310-C310</f>
        <v>-4455425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159131313</v>
      </c>
      <c r="D314" s="590">
        <f>+D14+D15+D16+D19+D25+D26+D27+D30</f>
        <v>170600762</v>
      </c>
      <c r="E314" s="590">
        <f>D314-C314</f>
        <v>11469449</v>
      </c>
    </row>
    <row r="315" spans="1:5" x14ac:dyDescent="0.2">
      <c r="A315" s="588">
        <v>2</v>
      </c>
      <c r="B315" s="659" t="s">
        <v>862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863</v>
      </c>
      <c r="C316" s="657">
        <f>C314+C315</f>
        <v>159131313</v>
      </c>
      <c r="D316" s="657">
        <f>D314+D315</f>
        <v>170600762</v>
      </c>
      <c r="E316" s="593">
        <f>D316-C316</f>
        <v>11469449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159131313</v>
      </c>
      <c r="D318" s="589">
        <v>170600764</v>
      </c>
      <c r="E318" s="590">
        <f>D318-C318</f>
        <v>11469451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-2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4765850</v>
      </c>
      <c r="D324" s="589">
        <f>+D193+D194</f>
        <v>4506653</v>
      </c>
      <c r="E324" s="590">
        <f>D324-C324</f>
        <v>-259197</v>
      </c>
    </row>
    <row r="325" spans="1:5" x14ac:dyDescent="0.2">
      <c r="A325" s="588">
        <v>2</v>
      </c>
      <c r="B325" s="587" t="s">
        <v>867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868</v>
      </c>
      <c r="C326" s="657">
        <f>C324+C325</f>
        <v>4765850</v>
      </c>
      <c r="D326" s="657">
        <f>D324+D325</f>
        <v>4506653</v>
      </c>
      <c r="E326" s="593">
        <f>D326-C326</f>
        <v>-259197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4765850</v>
      </c>
      <c r="D328" s="589">
        <v>4506653</v>
      </c>
      <c r="E328" s="590">
        <f>D328-C328</f>
        <v>-259197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FILING&amp;RJOHNSON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12784325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37794769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10503345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10503345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370688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546866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48668802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61453127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46523627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41270055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20760315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20760315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593638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1966567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62624008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109147635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59307952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111292810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170600762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7906076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14097531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5211995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5211995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155890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5904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19465416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27371492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24094003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10574250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4425841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4425841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183266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284363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15183357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39277360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32000079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34648773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66648852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915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1571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681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681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24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42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2276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3191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1.0093000000000001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1.2617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0.94079999999999997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0.94079999999999997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0.91200000000000003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1.0101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1.1619962653778559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1.1182115324349735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59307952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32000079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27307873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0.46044201627464726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387404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4119249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4506653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473373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66456723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66648852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66648852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66648852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66648825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27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170600762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170600762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170600764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4506653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4506653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4506653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FILING&amp;RJOHNSON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168</v>
      </c>
      <c r="D12" s="185">
        <v>117</v>
      </c>
      <c r="E12" s="185">
        <f>+D12-C12</f>
        <v>-51</v>
      </c>
      <c r="F12" s="77">
        <f>IF(C12=0,0,+E12/C12)</f>
        <v>-0.30357142857142855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113</v>
      </c>
      <c r="D13" s="185">
        <v>102</v>
      </c>
      <c r="E13" s="185">
        <f>+D13-C13</f>
        <v>-11</v>
      </c>
      <c r="F13" s="77">
        <f>IF(C13=0,0,+E13/C13)</f>
        <v>-9.7345132743362831E-2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310398</v>
      </c>
      <c r="D15" s="76">
        <v>387404</v>
      </c>
      <c r="E15" s="76">
        <f>+D15-C15</f>
        <v>77006</v>
      </c>
      <c r="F15" s="77">
        <f>IF(C15=0,0,+E15/C15)</f>
        <v>0.24808793871094531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2746.8849557522126</v>
      </c>
      <c r="D16" s="79">
        <f>IF(D13=0,0,+D15/+D13)</f>
        <v>3798.0784313725489</v>
      </c>
      <c r="E16" s="79">
        <f>+D16-C16</f>
        <v>1051.1934756203364</v>
      </c>
      <c r="F16" s="80">
        <f>IF(C16=0,0,+E16/C16)</f>
        <v>0.38268565759153733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0.43135400000000002</v>
      </c>
      <c r="D18" s="704">
        <v>0.39884199999999997</v>
      </c>
      <c r="E18" s="704">
        <f>+D18-C18</f>
        <v>-3.2512000000000041E-2</v>
      </c>
      <c r="F18" s="77">
        <f>IF(C18=0,0,+E18/C18)</f>
        <v>-7.5371968267362865E-2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133891.41889200002</v>
      </c>
      <c r="D19" s="79">
        <f>+D15*D18</f>
        <v>154512.986168</v>
      </c>
      <c r="E19" s="79">
        <f>+D19-C19</f>
        <v>20621.567275999987</v>
      </c>
      <c r="F19" s="80">
        <f>IF(C19=0,0,+E19/C19)</f>
        <v>0.1540170941995456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1184.8798132035399</v>
      </c>
      <c r="D20" s="79">
        <f>IF(D13=0,0,+D19/D13)</f>
        <v>1514.8331977254902</v>
      </c>
      <c r="E20" s="79">
        <f>+D20-C20</f>
        <v>329.95338452195028</v>
      </c>
      <c r="F20" s="80">
        <f>IF(C20=0,0,+E20/C20)</f>
        <v>0.27846991808381039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147829</v>
      </c>
      <c r="D22" s="76">
        <v>163321</v>
      </c>
      <c r="E22" s="76">
        <f>+D22-C22</f>
        <v>15492</v>
      </c>
      <c r="F22" s="77">
        <f>IF(C22=0,0,+E22/C22)</f>
        <v>0.10479675841681943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56756</v>
      </c>
      <c r="D23" s="185">
        <v>114751</v>
      </c>
      <c r="E23" s="185">
        <f>+D23-C23</f>
        <v>57995</v>
      </c>
      <c r="F23" s="77">
        <f>IF(C23=0,0,+E23/C23)</f>
        <v>1.0218302910705477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105813</v>
      </c>
      <c r="D24" s="185">
        <v>109332</v>
      </c>
      <c r="E24" s="185">
        <f>+D24-C24</f>
        <v>3519</v>
      </c>
      <c r="F24" s="77">
        <f>IF(C24=0,0,+E24/C24)</f>
        <v>3.3256783192991413E-2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310398</v>
      </c>
      <c r="D25" s="79">
        <f>+D22+D23+D24</f>
        <v>387404</v>
      </c>
      <c r="E25" s="79">
        <f>+E22+E23+E24</f>
        <v>77006</v>
      </c>
      <c r="F25" s="80">
        <f>IF(C25=0,0,+E25/C25)</f>
        <v>0.24808793871094531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36</v>
      </c>
      <c r="D27" s="185">
        <v>34</v>
      </c>
      <c r="E27" s="185">
        <f>+D27-C27</f>
        <v>-2</v>
      </c>
      <c r="F27" s="77">
        <f>IF(C27=0,0,+E27/C27)</f>
        <v>-5.5555555555555552E-2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19</v>
      </c>
      <c r="D28" s="185">
        <v>9</v>
      </c>
      <c r="E28" s="185">
        <f>+D28-C28</f>
        <v>-10</v>
      </c>
      <c r="F28" s="77">
        <f>IF(C28=0,0,+E28/C28)</f>
        <v>-0.52631578947368418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129</v>
      </c>
      <c r="D29" s="185">
        <v>117</v>
      </c>
      <c r="E29" s="185">
        <f>+D29-C29</f>
        <v>-12</v>
      </c>
      <c r="F29" s="77">
        <f>IF(C29=0,0,+E29/C29)</f>
        <v>-9.3023255813953487E-2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185</v>
      </c>
      <c r="D30" s="185">
        <v>178</v>
      </c>
      <c r="E30" s="185">
        <f>+D30-C30</f>
        <v>-7</v>
      </c>
      <c r="F30" s="77">
        <f>IF(C30=0,0,+E30/C30)</f>
        <v>-3.783783783783784E-2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1261784</v>
      </c>
      <c r="D33" s="76">
        <v>1004296</v>
      </c>
      <c r="E33" s="76">
        <f>+D33-C33</f>
        <v>-257488</v>
      </c>
      <c r="F33" s="77">
        <f>IF(C33=0,0,+E33/C33)</f>
        <v>-0.20406662313042487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698615</v>
      </c>
      <c r="D34" s="185">
        <v>863388</v>
      </c>
      <c r="E34" s="185">
        <f>+D34-C34</f>
        <v>164773</v>
      </c>
      <c r="F34" s="77">
        <f>IF(C34=0,0,+E34/C34)</f>
        <v>0.23585665924722488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2495053</v>
      </c>
      <c r="D35" s="185">
        <v>2251565</v>
      </c>
      <c r="E35" s="185">
        <f>+D35-C35</f>
        <v>-243488</v>
      </c>
      <c r="F35" s="77">
        <f>IF(C35=0,0,+E35/C35)</f>
        <v>-9.7588307743362565E-2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4455452</v>
      </c>
      <c r="D36" s="79">
        <f>+D33+D34+D35</f>
        <v>4119249</v>
      </c>
      <c r="E36" s="79">
        <f>+E33+E34+E35</f>
        <v>-336203</v>
      </c>
      <c r="F36" s="80">
        <f>IF(C36=0,0,+E36/C36)</f>
        <v>-7.5458786224158622E-2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310398</v>
      </c>
      <c r="D39" s="76">
        <f>+D25</f>
        <v>387404</v>
      </c>
      <c r="E39" s="76">
        <f>+D39-C39</f>
        <v>77006</v>
      </c>
      <c r="F39" s="77">
        <f>IF(C39=0,0,+E39/C39)</f>
        <v>0.24808793871094531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4455452</v>
      </c>
      <c r="D40" s="185">
        <f>+D36</f>
        <v>4119249</v>
      </c>
      <c r="E40" s="185">
        <f>+D40-C40</f>
        <v>-336203</v>
      </c>
      <c r="F40" s="77">
        <f>IF(C40=0,0,+E40/C40)</f>
        <v>-7.5458786224158622E-2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4765850</v>
      </c>
      <c r="D41" s="79">
        <f>+D39+D40</f>
        <v>4506653</v>
      </c>
      <c r="E41" s="79">
        <f>+E39+E40</f>
        <v>-259197</v>
      </c>
      <c r="F41" s="80">
        <f>IF(C41=0,0,+E41/C41)</f>
        <v>-5.438631094138506E-2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1409613</v>
      </c>
      <c r="D43" s="76">
        <f t="shared" si="0"/>
        <v>1167617</v>
      </c>
      <c r="E43" s="76">
        <f>+D43-C43</f>
        <v>-241996</v>
      </c>
      <c r="F43" s="77">
        <f>IF(C43=0,0,+E43/C43)</f>
        <v>-0.17167548823684231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755371</v>
      </c>
      <c r="D44" s="185">
        <f t="shared" si="0"/>
        <v>978139</v>
      </c>
      <c r="E44" s="185">
        <f>+D44-C44</f>
        <v>222768</v>
      </c>
      <c r="F44" s="77">
        <f>IF(C44=0,0,+E44/C44)</f>
        <v>0.2949120366018817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2600866</v>
      </c>
      <c r="D45" s="185">
        <f t="shared" si="0"/>
        <v>2360897</v>
      </c>
      <c r="E45" s="185">
        <f>+D45-C45</f>
        <v>-239969</v>
      </c>
      <c r="F45" s="77">
        <f>IF(C45=0,0,+E45/C45)</f>
        <v>-9.2265037875845973E-2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4765850</v>
      </c>
      <c r="D46" s="79">
        <f>+D43+D44+D45</f>
        <v>4506653</v>
      </c>
      <c r="E46" s="79">
        <f>+E43+E44+E45</f>
        <v>-259197</v>
      </c>
      <c r="F46" s="80">
        <f>IF(C46=0,0,+E46/C46)</f>
        <v>-5.438631094138506E-2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FILING&amp;RJOHNSON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56461997</v>
      </c>
      <c r="D15" s="76">
        <v>59307952</v>
      </c>
      <c r="E15" s="76">
        <f>+D15-C15</f>
        <v>2845955</v>
      </c>
      <c r="F15" s="77">
        <f>IF(C15=0,0,E15/C15)</f>
        <v>5.0404788197626095E-2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26777143</v>
      </c>
      <c r="D17" s="76">
        <v>27307873</v>
      </c>
      <c r="E17" s="76">
        <f>+D17-C17</f>
        <v>530730</v>
      </c>
      <c r="F17" s="77">
        <f>IF(C17=0,0,E17/C17)</f>
        <v>1.9820262378252976E-2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29684854</v>
      </c>
      <c r="D19" s="79">
        <f>+D15-D17</f>
        <v>32000079</v>
      </c>
      <c r="E19" s="79">
        <f>+D19-C19</f>
        <v>2315225</v>
      </c>
      <c r="F19" s="80">
        <f>IF(C19=0,0,E19/C19)</f>
        <v>7.799347775131385E-2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0.47425072478396396</v>
      </c>
      <c r="D21" s="720">
        <f>IF(D15=0,0,D17/D15)</f>
        <v>0.46044201627464726</v>
      </c>
      <c r="E21" s="720">
        <f>+D21-C21</f>
        <v>-1.3808708509316703E-2</v>
      </c>
      <c r="F21" s="80">
        <f>IF(C21=0,0,E21/C21)</f>
        <v>-2.911689489901571E-2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FILING&amp;R&amp;12JOHNSON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65614784</v>
      </c>
      <c r="D10" s="744">
        <v>62288196</v>
      </c>
      <c r="E10" s="744">
        <v>61453127</v>
      </c>
    </row>
    <row r="11" spans="1:6" ht="26.1" customHeight="1" x14ac:dyDescent="0.25">
      <c r="A11" s="742">
        <v>2</v>
      </c>
      <c r="B11" s="743" t="s">
        <v>934</v>
      </c>
      <c r="C11" s="744">
        <v>87064856</v>
      </c>
      <c r="D11" s="744">
        <v>96843117</v>
      </c>
      <c r="E11" s="744">
        <v>109147635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152679640</v>
      </c>
      <c r="D12" s="744">
        <f>+D11+D10</f>
        <v>159131313</v>
      </c>
      <c r="E12" s="744">
        <f>+E11+E10</f>
        <v>170600762</v>
      </c>
    </row>
    <row r="13" spans="1:6" ht="26.1" customHeight="1" x14ac:dyDescent="0.25">
      <c r="A13" s="742">
        <v>4</v>
      </c>
      <c r="B13" s="743" t="s">
        <v>507</v>
      </c>
      <c r="C13" s="744">
        <v>65318419</v>
      </c>
      <c r="D13" s="744">
        <v>59633584</v>
      </c>
      <c r="E13" s="744">
        <v>66648825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65981058</v>
      </c>
      <c r="D16" s="744">
        <v>63578052</v>
      </c>
      <c r="E16" s="744">
        <v>66456723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16189</v>
      </c>
      <c r="D19" s="747">
        <v>16130</v>
      </c>
      <c r="E19" s="747">
        <v>16270</v>
      </c>
    </row>
    <row r="20" spans="1:5" ht="26.1" customHeight="1" x14ac:dyDescent="0.25">
      <c r="A20" s="742">
        <v>2</v>
      </c>
      <c r="B20" s="743" t="s">
        <v>381</v>
      </c>
      <c r="C20" s="748">
        <v>3251</v>
      </c>
      <c r="D20" s="748">
        <v>3139</v>
      </c>
      <c r="E20" s="748">
        <v>3191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4.9796985542909873</v>
      </c>
      <c r="D21" s="749">
        <f>IF(D20=0,0,+D19/D20)</f>
        <v>5.1385791653392801</v>
      </c>
      <c r="E21" s="749">
        <f>IF(E20=0,0,+E19/E20)</f>
        <v>5.0987151363209025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37670.331917270349</v>
      </c>
      <c r="D22" s="748">
        <f>IF(D10=0,0,D19*(D12/D10))</f>
        <v>41208.258442578757</v>
      </c>
      <c r="E22" s="748">
        <f>IF(E10=0,0,E19*(E12/E10))</f>
        <v>45167.341895230165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7564.7815839796103</v>
      </c>
      <c r="D23" s="748">
        <f>IF(D10=0,0,D20*(D12/D10))</f>
        <v>8019.3876783170927</v>
      </c>
      <c r="E23" s="748">
        <f>IF(E10=0,0,E20*(E12/E10))</f>
        <v>8858.5733243810355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1.1664804675484466</v>
      </c>
      <c r="D26" s="750">
        <v>1.1462646384198789</v>
      </c>
      <c r="E26" s="750">
        <v>1.1182115324349735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18884.152289141803</v>
      </c>
      <c r="D27" s="748">
        <f>D19*D26</f>
        <v>18489.248617712648</v>
      </c>
      <c r="E27" s="748">
        <f>E19*E26</f>
        <v>18193.301632717019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3792.2280000000001</v>
      </c>
      <c r="D28" s="748">
        <f>D20*D26</f>
        <v>3598.1246999999998</v>
      </c>
      <c r="E28" s="748">
        <f>E20*E26</f>
        <v>3568.2130000000006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43941.706387562685</v>
      </c>
      <c r="D29" s="748">
        <f>D22*D26</f>
        <v>47235.569463595464</v>
      </c>
      <c r="E29" s="748">
        <f>E22*E26</f>
        <v>50506.642596679703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8824.1699589824148</v>
      </c>
      <c r="D30" s="748">
        <f>D23*D26</f>
        <v>9192.3405174349737</v>
      </c>
      <c r="E30" s="748">
        <f>E23*E26</f>
        <v>9905.7588522436945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9431.0729507690412</v>
      </c>
      <c r="D33" s="744">
        <f>IF(D19=0,0,D12/D19)</f>
        <v>9865.5494730316186</v>
      </c>
      <c r="E33" s="744">
        <f>IF(E19=0,0,E12/E19)</f>
        <v>10485.60307314075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46963.900338357431</v>
      </c>
      <c r="D34" s="744">
        <f>IF(D20=0,0,D12/D20)</f>
        <v>50694.906976744183</v>
      </c>
      <c r="E34" s="744">
        <f>IF(E20=0,0,E12/E20)</f>
        <v>53463.10310247571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4053.0473778491573</v>
      </c>
      <c r="D35" s="744">
        <f>IF(D22=0,0,D12/D22)</f>
        <v>3861.6364538127705</v>
      </c>
      <c r="E35" s="744">
        <f>IF(E22=0,0,E12/E22)</f>
        <v>3777.0821757836507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20182.954167948323</v>
      </c>
      <c r="D36" s="744">
        <f>IF(D23=0,0,D12/D23)</f>
        <v>19843.324625676967</v>
      </c>
      <c r="E36" s="744">
        <f>IF(E23=0,0,E12/E23)</f>
        <v>19258.266060795992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3474.5951523451677</v>
      </c>
      <c r="D37" s="744">
        <f>IF(D29=0,0,D12/D29)</f>
        <v>3368.8873619411488</v>
      </c>
      <c r="E37" s="744">
        <f>IF(E29=0,0,E12/E29)</f>
        <v>3377.7886081704282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17302.436456879703</v>
      </c>
      <c r="D38" s="744">
        <f>IF(D30=0,0,D12/D30)</f>
        <v>17311.294408445599</v>
      </c>
      <c r="E38" s="744">
        <f>IF(E30=0,0,E12/E30)</f>
        <v>17222.381903770878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1741.8159241097164</v>
      </c>
      <c r="D39" s="744">
        <f>IF(D22=0,0,D10/D22)</f>
        <v>1511.5464315677129</v>
      </c>
      <c r="E39" s="744">
        <f>IF(E22=0,0,E10/E22)</f>
        <v>1360.5654975788973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8673.718239130174</v>
      </c>
      <c r="D40" s="744">
        <f>IF(D23=0,0,D10/D23)</f>
        <v>7767.2010006967867</v>
      </c>
      <c r="E40" s="744">
        <f>IF(E23=0,0,E10/E23)</f>
        <v>6937.1358964615038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4034.7408116622396</v>
      </c>
      <c r="D43" s="744">
        <f>IF(D19=0,0,D13/D19)</f>
        <v>3697.0603843769372</v>
      </c>
      <c r="E43" s="744">
        <f>IF(E19=0,0,E13/E19)</f>
        <v>4096.4244007375537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20091.7929867733</v>
      </c>
      <c r="D44" s="744">
        <f>IF(D20=0,0,D13/D20)</f>
        <v>18997.637464160562</v>
      </c>
      <c r="E44" s="744">
        <f>IF(E20=0,0,E13/E20)</f>
        <v>20886.501096834847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1733.9485923152724</v>
      </c>
      <c r="D45" s="744">
        <f>IF(D22=0,0,D13/D22)</f>
        <v>1447.1270141905131</v>
      </c>
      <c r="E45" s="744">
        <f>IF(E22=0,0,E13/E22)</f>
        <v>1475.5976819401533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8634.5412983672541</v>
      </c>
      <c r="D46" s="744">
        <f>IF(D23=0,0,D13/D23)</f>
        <v>7436.1767247190119</v>
      </c>
      <c r="E46" s="744">
        <f>IF(E23=0,0,E13/E23)</f>
        <v>7523.652236028297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1486.4788914635278</v>
      </c>
      <c r="D47" s="744">
        <f>IF(D29=0,0,D13/D29)</f>
        <v>1262.4720031365284</v>
      </c>
      <c r="E47" s="744">
        <f>IF(E29=0,0,E13/E29)</f>
        <v>1319.6051365406238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7402.2167868049983</v>
      </c>
      <c r="D48" s="744">
        <f>IF(D30=0,0,D13/D30)</f>
        <v>6487.3123321415133</v>
      </c>
      <c r="E48" s="744">
        <f>IF(E30=0,0,E13/E30)</f>
        <v>6728.2906836464899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4075.672246587189</v>
      </c>
      <c r="D51" s="744">
        <f>IF(D19=0,0,D16/D19)</f>
        <v>3941.6027278363299</v>
      </c>
      <c r="E51" s="744">
        <f>IF(E19=0,0,E16/E19)</f>
        <v>4084.6172710510141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20295.619194094124</v>
      </c>
      <c r="D52" s="744">
        <f>IF(D20=0,0,D16/D20)</f>
        <v>20254.237655304238</v>
      </c>
      <c r="E52" s="744">
        <f>IF(E20=0,0,E16/E20)</f>
        <v>20826.299905985583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1751.5390664702454</v>
      </c>
      <c r="D53" s="744">
        <f>IF(D22=0,0,D16/D22)</f>
        <v>1542.8473418402821</v>
      </c>
      <c r="E53" s="744">
        <f>IF(E22=0,0,E16/E22)</f>
        <v>1471.3445647112139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8722.1365570860671</v>
      </c>
      <c r="D54" s="744">
        <f>IF(D23=0,0,D16/D23)</f>
        <v>7928.0432060795647</v>
      </c>
      <c r="E54" s="744">
        <f>IF(E23=0,0,E16/E23)</f>
        <v>7501.9668028365559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1501.5588474888032</v>
      </c>
      <c r="D55" s="744">
        <f>IF(D29=0,0,D16/D29)</f>
        <v>1345.9783108786212</v>
      </c>
      <c r="E55" s="744">
        <f>IF(E29=0,0,E16/E29)</f>
        <v>1315.8016368399203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7477.3104220228324</v>
      </c>
      <c r="D56" s="744">
        <f>IF(D30=0,0,D16/D30)</f>
        <v>6916.4161052794407</v>
      </c>
      <c r="E56" s="744">
        <f>IF(E30=0,0,E16/E30)</f>
        <v>6708.8977221515224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9394293</v>
      </c>
      <c r="D59" s="752">
        <v>9201815</v>
      </c>
      <c r="E59" s="752">
        <v>9346702</v>
      </c>
    </row>
    <row r="60" spans="1:6" ht="26.1" customHeight="1" x14ac:dyDescent="0.25">
      <c r="A60" s="742">
        <v>2</v>
      </c>
      <c r="B60" s="743" t="s">
        <v>970</v>
      </c>
      <c r="C60" s="752">
        <v>2347211</v>
      </c>
      <c r="D60" s="752">
        <v>2141165</v>
      </c>
      <c r="E60" s="752">
        <v>2547260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11741504</v>
      </c>
      <c r="D61" s="755">
        <f>D59+D60</f>
        <v>11342980</v>
      </c>
      <c r="E61" s="755">
        <f>E59+E60</f>
        <v>11893962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17775085</v>
      </c>
      <c r="D69" s="752">
        <v>17662595</v>
      </c>
      <c r="E69" s="752">
        <v>15764903</v>
      </c>
    </row>
    <row r="70" spans="1:6" ht="26.1" customHeight="1" x14ac:dyDescent="0.25">
      <c r="A70" s="742">
        <v>2</v>
      </c>
      <c r="B70" s="743" t="s">
        <v>978</v>
      </c>
      <c r="C70" s="752">
        <v>4441193</v>
      </c>
      <c r="D70" s="752">
        <v>4109900</v>
      </c>
      <c r="E70" s="752">
        <v>3900830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22216278</v>
      </c>
      <c r="D71" s="755">
        <f>D69+D70</f>
        <v>21772495</v>
      </c>
      <c r="E71" s="755">
        <f>E69+E70</f>
        <v>19665733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27169378</v>
      </c>
      <c r="D75" s="744">
        <f t="shared" si="0"/>
        <v>26864410</v>
      </c>
      <c r="E75" s="744">
        <f t="shared" si="0"/>
        <v>25111605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6788404</v>
      </c>
      <c r="D76" s="744">
        <f t="shared" si="0"/>
        <v>6251065</v>
      </c>
      <c r="E76" s="744">
        <f t="shared" si="0"/>
        <v>6448090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33957782</v>
      </c>
      <c r="D77" s="757">
        <f>D75+D76</f>
        <v>33115475</v>
      </c>
      <c r="E77" s="757">
        <f>E75+E76</f>
        <v>31559695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118.7</v>
      </c>
      <c r="D80" s="749">
        <v>114.2</v>
      </c>
      <c r="E80" s="749">
        <v>115.5</v>
      </c>
    </row>
    <row r="81" spans="1:5" ht="26.1" customHeight="1" x14ac:dyDescent="0.25">
      <c r="A81" s="742">
        <v>2</v>
      </c>
      <c r="B81" s="743" t="s">
        <v>617</v>
      </c>
      <c r="C81" s="749">
        <v>0</v>
      </c>
      <c r="D81" s="749">
        <v>0</v>
      </c>
      <c r="E81" s="749">
        <v>0</v>
      </c>
    </row>
    <row r="82" spans="1:5" ht="26.1" customHeight="1" x14ac:dyDescent="0.25">
      <c r="A82" s="742">
        <v>3</v>
      </c>
      <c r="B82" s="743" t="s">
        <v>984</v>
      </c>
      <c r="C82" s="749">
        <v>345.5</v>
      </c>
      <c r="D82" s="749">
        <v>346.1</v>
      </c>
      <c r="E82" s="749">
        <v>331.7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464.2</v>
      </c>
      <c r="D83" s="759">
        <f>D80+D81+D82</f>
        <v>460.3</v>
      </c>
      <c r="E83" s="759">
        <f>E80+E81+E82</f>
        <v>447.2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79143.159224936811</v>
      </c>
      <c r="D86" s="752">
        <f>IF(D80=0,0,D59/D80)</f>
        <v>80576.313485113831</v>
      </c>
      <c r="E86" s="752">
        <f>IF(E80=0,0,E59/E80)</f>
        <v>80923.826839826841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19774.313395113732</v>
      </c>
      <c r="D87" s="752">
        <f>IF(D80=0,0,D60/D80)</f>
        <v>18749.255691768827</v>
      </c>
      <c r="E87" s="752">
        <f>IF(E80=0,0,E60/E80)</f>
        <v>22054.199134199134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98917.472620050539</v>
      </c>
      <c r="D88" s="755">
        <f>+D86+D87</f>
        <v>99325.569176882651</v>
      </c>
      <c r="E88" s="755">
        <f>+E86+E87</f>
        <v>102978.02597402598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51447.424023154847</v>
      </c>
      <c r="D96" s="752">
        <f>IF(D82=0,0,D69/D82)</f>
        <v>51033.212944235769</v>
      </c>
      <c r="E96" s="752">
        <f>IF(E82=0,0,E69/E82)</f>
        <v>47527.594211637021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12854.393632416788</v>
      </c>
      <c r="D97" s="752">
        <f>IF(D82=0,0,D70/D82)</f>
        <v>11874.891649812193</v>
      </c>
      <c r="E97" s="752">
        <f>IF(E82=0,0,E70/E82)</f>
        <v>11760.114561350618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64301.817655571635</v>
      </c>
      <c r="D98" s="757">
        <f>+D96+D97</f>
        <v>62908.10459404796</v>
      </c>
      <c r="E98" s="757">
        <f>+E96+E97</f>
        <v>59287.708772987637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58529.465747522619</v>
      </c>
      <c r="D101" s="744">
        <f>IF(D83=0,0,D75/D83)</f>
        <v>58362.828590049969</v>
      </c>
      <c r="E101" s="744">
        <f>IF(E83=0,0,E75/E83)</f>
        <v>56152.962880143117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14623.87763894873</v>
      </c>
      <c r="D102" s="761">
        <f>IF(D83=0,0,D76/D83)</f>
        <v>13580.414946773843</v>
      </c>
      <c r="E102" s="761">
        <f>IF(E83=0,0,E76/E83)</f>
        <v>14418.805903398927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73153.343386471344</v>
      </c>
      <c r="D103" s="757">
        <f>+D101+D102</f>
        <v>71943.243536823808</v>
      </c>
      <c r="E103" s="757">
        <f>+E101+E102</f>
        <v>70571.768783542037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2097.5836679226636</v>
      </c>
      <c r="D108" s="744">
        <f>IF(D19=0,0,D77/D19)</f>
        <v>2053.0362678239308</v>
      </c>
      <c r="E108" s="744">
        <f>IF(E19=0,0,E77/E19)</f>
        <v>1939.7476951444376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10445.334358658874</v>
      </c>
      <c r="D109" s="744">
        <f>IF(D20=0,0,D77/D20)</f>
        <v>10549.689391525964</v>
      </c>
      <c r="E109" s="744">
        <f>IF(E20=0,0,E77/E20)</f>
        <v>9890.2209338765279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901.44631787626236</v>
      </c>
      <c r="D110" s="744">
        <f>IF(D22=0,0,D77/D22)</f>
        <v>803.61258280653703</v>
      </c>
      <c r="E110" s="744">
        <f>IF(E22=0,0,E77/E22)</f>
        <v>698.72818890262874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4488.9309258993571</v>
      </c>
      <c r="D111" s="744">
        <f>IF(D23=0,0,D77/D23)</f>
        <v>4129.4268750141582</v>
      </c>
      <c r="E111" s="744">
        <f>IF(E23=0,0,E77/E23)</f>
        <v>3562.6159929319242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772.79160942214696</v>
      </c>
      <c r="D112" s="744">
        <f>IF(D29=0,0,D77/D29)</f>
        <v>701.07072648975168</v>
      </c>
      <c r="E112" s="744">
        <f>IF(E29=0,0,E77/E29)</f>
        <v>624.86226320802257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3848.2692602076695</v>
      </c>
      <c r="D113" s="744">
        <f>IF(D30=0,0,D77/D30)</f>
        <v>3602.5074285695114</v>
      </c>
      <c r="E113" s="744">
        <f>IF(E30=0,0,E77/E30)</f>
        <v>3185.9946795344813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FILING&amp;R&amp;"Arial,Bold"&amp;12JOHNSON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159131313</v>
      </c>
      <c r="D12" s="76">
        <v>170600764</v>
      </c>
      <c r="E12" s="76">
        <f t="shared" ref="E12:E21" si="0">D12-C12</f>
        <v>11469451</v>
      </c>
      <c r="F12" s="77">
        <f t="shared" ref="F12:F21" si="1">IF(C12=0,0,E12/C12)</f>
        <v>7.2075387199249719E-2</v>
      </c>
    </row>
    <row r="13" spans="1:8" ht="23.1" customHeight="1" x14ac:dyDescent="0.2">
      <c r="A13" s="74">
        <v>2</v>
      </c>
      <c r="B13" s="75" t="s">
        <v>72</v>
      </c>
      <c r="C13" s="76">
        <v>94731879</v>
      </c>
      <c r="D13" s="76">
        <v>99445286</v>
      </c>
      <c r="E13" s="76">
        <f t="shared" si="0"/>
        <v>4713407</v>
      </c>
      <c r="F13" s="77">
        <f t="shared" si="1"/>
        <v>4.97552360383351E-2</v>
      </c>
    </row>
    <row r="14" spans="1:8" ht="23.1" customHeight="1" x14ac:dyDescent="0.2">
      <c r="A14" s="74">
        <v>3</v>
      </c>
      <c r="B14" s="75" t="s">
        <v>73</v>
      </c>
      <c r="C14" s="76">
        <v>310398</v>
      </c>
      <c r="D14" s="76">
        <v>387404</v>
      </c>
      <c r="E14" s="76">
        <f t="shared" si="0"/>
        <v>77006</v>
      </c>
      <c r="F14" s="77">
        <f t="shared" si="1"/>
        <v>0.24808793871094531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64089036</v>
      </c>
      <c r="D16" s="79">
        <f>D12-D13-D14-D15</f>
        <v>70768074</v>
      </c>
      <c r="E16" s="79">
        <f t="shared" si="0"/>
        <v>6679038</v>
      </c>
      <c r="F16" s="80">
        <f t="shared" si="1"/>
        <v>0.10421498616393605</v>
      </c>
    </row>
    <row r="17" spans="1:7" ht="23.1" customHeight="1" x14ac:dyDescent="0.2">
      <c r="A17" s="74">
        <v>5</v>
      </c>
      <c r="B17" s="75" t="s">
        <v>76</v>
      </c>
      <c r="C17" s="76">
        <v>4455452</v>
      </c>
      <c r="D17" s="76">
        <v>4119249</v>
      </c>
      <c r="E17" s="76">
        <f t="shared" si="0"/>
        <v>-336203</v>
      </c>
      <c r="F17" s="77">
        <f t="shared" si="1"/>
        <v>-7.5458786224158622E-2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59633584</v>
      </c>
      <c r="D18" s="79">
        <f>D16-D17</f>
        <v>66648825</v>
      </c>
      <c r="E18" s="79">
        <f t="shared" si="0"/>
        <v>7015241</v>
      </c>
      <c r="F18" s="80">
        <f t="shared" si="1"/>
        <v>0.1176390974589084</v>
      </c>
    </row>
    <row r="19" spans="1:7" ht="23.1" customHeight="1" x14ac:dyDescent="0.2">
      <c r="A19" s="74">
        <v>6</v>
      </c>
      <c r="B19" s="75" t="s">
        <v>78</v>
      </c>
      <c r="C19" s="76">
        <v>275135</v>
      </c>
      <c r="D19" s="76">
        <v>414887</v>
      </c>
      <c r="E19" s="76">
        <f t="shared" si="0"/>
        <v>139752</v>
      </c>
      <c r="F19" s="77">
        <f t="shared" si="1"/>
        <v>0.50793973867374198</v>
      </c>
      <c r="G19" s="65"/>
    </row>
    <row r="20" spans="1:7" ht="33" customHeight="1" x14ac:dyDescent="0.2">
      <c r="A20" s="74">
        <v>7</v>
      </c>
      <c r="B20" s="82" t="s">
        <v>79</v>
      </c>
      <c r="C20" s="76">
        <v>443523</v>
      </c>
      <c r="D20" s="76">
        <v>235925</v>
      </c>
      <c r="E20" s="76">
        <f t="shared" si="0"/>
        <v>-207598</v>
      </c>
      <c r="F20" s="77">
        <f t="shared" si="1"/>
        <v>-0.46806591766379646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60352242</v>
      </c>
      <c r="D21" s="79">
        <f>SUM(D18:D20)</f>
        <v>67299637</v>
      </c>
      <c r="E21" s="79">
        <f t="shared" si="0"/>
        <v>6947395</v>
      </c>
      <c r="F21" s="80">
        <f t="shared" si="1"/>
        <v>0.11511411622454722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26864410</v>
      </c>
      <c r="D24" s="76">
        <v>25111605</v>
      </c>
      <c r="E24" s="76">
        <f t="shared" ref="E24:E33" si="2">D24-C24</f>
        <v>-1752805</v>
      </c>
      <c r="F24" s="77">
        <f t="shared" ref="F24:F33" si="3">IF(C24=0,0,E24/C24)</f>
        <v>-6.5246361263843131E-2</v>
      </c>
    </row>
    <row r="25" spans="1:7" ht="23.1" customHeight="1" x14ac:dyDescent="0.2">
      <c r="A25" s="74">
        <v>2</v>
      </c>
      <c r="B25" s="75" t="s">
        <v>83</v>
      </c>
      <c r="C25" s="76">
        <v>6251065</v>
      </c>
      <c r="D25" s="76">
        <v>6448090</v>
      </c>
      <c r="E25" s="76">
        <f t="shared" si="2"/>
        <v>197025</v>
      </c>
      <c r="F25" s="77">
        <f t="shared" si="3"/>
        <v>3.1518629225579964E-2</v>
      </c>
    </row>
    <row r="26" spans="1:7" ht="23.1" customHeight="1" x14ac:dyDescent="0.2">
      <c r="A26" s="74">
        <v>3</v>
      </c>
      <c r="B26" s="75" t="s">
        <v>84</v>
      </c>
      <c r="C26" s="76">
        <v>1855379</v>
      </c>
      <c r="D26" s="76">
        <v>2126346</v>
      </c>
      <c r="E26" s="76">
        <f t="shared" si="2"/>
        <v>270967</v>
      </c>
      <c r="F26" s="77">
        <f t="shared" si="3"/>
        <v>0.14604401580485712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8129251</v>
      </c>
      <c r="D27" s="76">
        <v>10153960</v>
      </c>
      <c r="E27" s="76">
        <f t="shared" si="2"/>
        <v>2024709</v>
      </c>
      <c r="F27" s="77">
        <f t="shared" si="3"/>
        <v>0.24906464322481861</v>
      </c>
    </row>
    <row r="28" spans="1:7" ht="23.1" customHeight="1" x14ac:dyDescent="0.2">
      <c r="A28" s="74">
        <v>5</v>
      </c>
      <c r="B28" s="75" t="s">
        <v>86</v>
      </c>
      <c r="C28" s="76">
        <v>3082027</v>
      </c>
      <c r="D28" s="76">
        <v>2314386</v>
      </c>
      <c r="E28" s="76">
        <f t="shared" si="2"/>
        <v>-767641</v>
      </c>
      <c r="F28" s="77">
        <f t="shared" si="3"/>
        <v>-0.24907017362274891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1408245</v>
      </c>
      <c r="D30" s="76">
        <v>1459503</v>
      </c>
      <c r="E30" s="76">
        <f t="shared" si="2"/>
        <v>51258</v>
      </c>
      <c r="F30" s="77">
        <f t="shared" si="3"/>
        <v>3.6398496000340848E-2</v>
      </c>
    </row>
    <row r="31" spans="1:7" ht="23.1" customHeight="1" x14ac:dyDescent="0.2">
      <c r="A31" s="74">
        <v>8</v>
      </c>
      <c r="B31" s="75" t="s">
        <v>89</v>
      </c>
      <c r="C31" s="76">
        <v>649270</v>
      </c>
      <c r="D31" s="76">
        <v>1129342</v>
      </c>
      <c r="E31" s="76">
        <f t="shared" si="2"/>
        <v>480072</v>
      </c>
      <c r="F31" s="77">
        <f t="shared" si="3"/>
        <v>0.73940271381705602</v>
      </c>
    </row>
    <row r="32" spans="1:7" ht="23.1" customHeight="1" x14ac:dyDescent="0.2">
      <c r="A32" s="74">
        <v>9</v>
      </c>
      <c r="B32" s="75" t="s">
        <v>90</v>
      </c>
      <c r="C32" s="76">
        <v>15338405</v>
      </c>
      <c r="D32" s="76">
        <v>17713491</v>
      </c>
      <c r="E32" s="76">
        <f t="shared" si="2"/>
        <v>2375086</v>
      </c>
      <c r="F32" s="77">
        <f t="shared" si="3"/>
        <v>0.15484569614637245</v>
      </c>
    </row>
    <row r="33" spans="1:6" ht="23.1" customHeight="1" x14ac:dyDescent="0.25">
      <c r="A33" s="71"/>
      <c r="B33" s="78" t="s">
        <v>91</v>
      </c>
      <c r="C33" s="79">
        <f>SUM(C24:C32)</f>
        <v>63578052</v>
      </c>
      <c r="D33" s="79">
        <f>SUM(D24:D32)</f>
        <v>66456723</v>
      </c>
      <c r="E33" s="79">
        <f t="shared" si="2"/>
        <v>2878671</v>
      </c>
      <c r="F33" s="80">
        <f t="shared" si="3"/>
        <v>4.5277747735963977E-2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-3225810</v>
      </c>
      <c r="D35" s="79">
        <f>+D21-D33</f>
        <v>842914</v>
      </c>
      <c r="E35" s="79">
        <f>D35-C35</f>
        <v>4068724</v>
      </c>
      <c r="F35" s="80">
        <f>IF(C35=0,0,E35/C35)</f>
        <v>-1.2613030525666422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231079</v>
      </c>
      <c r="D38" s="76">
        <v>357200</v>
      </c>
      <c r="E38" s="76">
        <f>D38-C38</f>
        <v>126121</v>
      </c>
      <c r="F38" s="77">
        <f>IF(C38=0,0,E38/C38)</f>
        <v>0.54579169894278579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1200</v>
      </c>
      <c r="D40" s="76">
        <v>4203</v>
      </c>
      <c r="E40" s="76">
        <f>D40-C40</f>
        <v>3003</v>
      </c>
      <c r="F40" s="77">
        <f>IF(C40=0,0,E40/C40)</f>
        <v>2.5024999999999999</v>
      </c>
    </row>
    <row r="41" spans="1:6" ht="23.1" customHeight="1" x14ac:dyDescent="0.25">
      <c r="A41" s="83"/>
      <c r="B41" s="78" t="s">
        <v>97</v>
      </c>
      <c r="C41" s="79">
        <f>SUM(C38:C40)</f>
        <v>232279</v>
      </c>
      <c r="D41" s="79">
        <f>SUM(D38:D40)</f>
        <v>361403</v>
      </c>
      <c r="E41" s="79">
        <f>D41-C41</f>
        <v>129124</v>
      </c>
      <c r="F41" s="80">
        <f>IF(C41=0,0,E41/C41)</f>
        <v>0.55590044730690247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-2993531</v>
      </c>
      <c r="D43" s="79">
        <f>D35+D41</f>
        <v>1204317</v>
      </c>
      <c r="E43" s="79">
        <f>D43-C43</f>
        <v>4197848</v>
      </c>
      <c r="F43" s="80">
        <f>IF(C43=0,0,E43/C43)</f>
        <v>-1.4023065069311125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-2993531</v>
      </c>
      <c r="D50" s="79">
        <f>D43+D48</f>
        <v>1204317</v>
      </c>
      <c r="E50" s="79">
        <f>D50-C50</f>
        <v>4197848</v>
      </c>
      <c r="F50" s="80">
        <f>IF(C50=0,0,E50/C50)</f>
        <v>-1.4023065069311125</v>
      </c>
    </row>
    <row r="51" spans="1:6" ht="23.1" customHeight="1" x14ac:dyDescent="0.2">
      <c r="A51" s="85"/>
      <c r="B51" s="75" t="s">
        <v>104</v>
      </c>
      <c r="C51" s="76">
        <v>231498</v>
      </c>
      <c r="D51" s="76">
        <v>106608</v>
      </c>
      <c r="E51" s="76">
        <f>D51-C51</f>
        <v>-124890</v>
      </c>
      <c r="F51" s="77">
        <f>IF(C51=0,0,E51/C51)</f>
        <v>-0.53948630225747096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FILING&amp;RJOHNSON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31499837</v>
      </c>
      <c r="D14" s="113">
        <v>28946962</v>
      </c>
      <c r="E14" s="113">
        <f t="shared" ref="E14:E25" si="0">D14-C14</f>
        <v>-2552875</v>
      </c>
      <c r="F14" s="114">
        <f t="shared" ref="F14:F25" si="1">IF(C14=0,0,E14/C14)</f>
        <v>-8.1044070164553547E-2</v>
      </c>
    </row>
    <row r="15" spans="1:6" x14ac:dyDescent="0.2">
      <c r="A15" s="115">
        <v>2</v>
      </c>
      <c r="B15" s="116" t="s">
        <v>114</v>
      </c>
      <c r="C15" s="113">
        <v>8517807</v>
      </c>
      <c r="D15" s="113">
        <v>8847807</v>
      </c>
      <c r="E15" s="113">
        <f t="shared" si="0"/>
        <v>330000</v>
      </c>
      <c r="F15" s="114">
        <f t="shared" si="1"/>
        <v>3.87423664330502E-2</v>
      </c>
    </row>
    <row r="16" spans="1:6" x14ac:dyDescent="0.2">
      <c r="A16" s="115">
        <v>3</v>
      </c>
      <c r="B16" s="116" t="s">
        <v>115</v>
      </c>
      <c r="C16" s="113">
        <v>8611611</v>
      </c>
      <c r="D16" s="113">
        <v>10503345</v>
      </c>
      <c r="E16" s="113">
        <f t="shared" si="0"/>
        <v>1891734</v>
      </c>
      <c r="F16" s="114">
        <f t="shared" si="1"/>
        <v>0.21967248636753331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411547</v>
      </c>
      <c r="D18" s="113">
        <v>370688</v>
      </c>
      <c r="E18" s="113">
        <f t="shared" si="0"/>
        <v>-40859</v>
      </c>
      <c r="F18" s="114">
        <f t="shared" si="1"/>
        <v>-9.928149154288575E-2</v>
      </c>
    </row>
    <row r="19" spans="1:6" x14ac:dyDescent="0.2">
      <c r="A19" s="115">
        <v>6</v>
      </c>
      <c r="B19" s="116" t="s">
        <v>118</v>
      </c>
      <c r="C19" s="113">
        <v>421053</v>
      </c>
      <c r="D19" s="113">
        <v>618868</v>
      </c>
      <c r="E19" s="113">
        <f t="shared" si="0"/>
        <v>197815</v>
      </c>
      <c r="F19" s="114">
        <f t="shared" si="1"/>
        <v>0.46981021391606281</v>
      </c>
    </row>
    <row r="20" spans="1:6" x14ac:dyDescent="0.2">
      <c r="A20" s="115">
        <v>7</v>
      </c>
      <c r="B20" s="116" t="s">
        <v>119</v>
      </c>
      <c r="C20" s="113">
        <v>12058303</v>
      </c>
      <c r="D20" s="113">
        <v>11553882</v>
      </c>
      <c r="E20" s="113">
        <f t="shared" si="0"/>
        <v>-504421</v>
      </c>
      <c r="F20" s="114">
        <f t="shared" si="1"/>
        <v>-4.1831839853418845E-2</v>
      </c>
    </row>
    <row r="21" spans="1:6" x14ac:dyDescent="0.2">
      <c r="A21" s="115">
        <v>8</v>
      </c>
      <c r="B21" s="116" t="s">
        <v>120</v>
      </c>
      <c r="C21" s="113">
        <v>120679</v>
      </c>
      <c r="D21" s="113">
        <v>64709</v>
      </c>
      <c r="E21" s="113">
        <f t="shared" si="0"/>
        <v>-55970</v>
      </c>
      <c r="F21" s="114">
        <f t="shared" si="1"/>
        <v>-0.46379237481251917</v>
      </c>
    </row>
    <row r="22" spans="1:6" x14ac:dyDescent="0.2">
      <c r="A22" s="115">
        <v>9</v>
      </c>
      <c r="B22" s="116" t="s">
        <v>121</v>
      </c>
      <c r="C22" s="113">
        <v>647359</v>
      </c>
      <c r="D22" s="113">
        <v>546866</v>
      </c>
      <c r="E22" s="113">
        <f t="shared" si="0"/>
        <v>-100493</v>
      </c>
      <c r="F22" s="114">
        <f t="shared" si="1"/>
        <v>-0.15523534854694226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62288196</v>
      </c>
      <c r="D25" s="119">
        <f>SUM(D14:D24)</f>
        <v>61453127</v>
      </c>
      <c r="E25" s="119">
        <f t="shared" si="0"/>
        <v>-835069</v>
      </c>
      <c r="F25" s="120">
        <f t="shared" si="1"/>
        <v>-1.3406536930367995E-2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27713669</v>
      </c>
      <c r="D27" s="113">
        <v>29272118</v>
      </c>
      <c r="E27" s="113">
        <f t="shared" ref="E27:E38" si="2">D27-C27</f>
        <v>1558449</v>
      </c>
      <c r="F27" s="114">
        <f t="shared" ref="F27:F38" si="3">IF(C27=0,0,E27/C27)</f>
        <v>5.6233947226547301E-2</v>
      </c>
    </row>
    <row r="28" spans="1:6" x14ac:dyDescent="0.2">
      <c r="A28" s="115">
        <v>2</v>
      </c>
      <c r="B28" s="116" t="s">
        <v>114</v>
      </c>
      <c r="C28" s="113">
        <v>8312067</v>
      </c>
      <c r="D28" s="113">
        <v>11997937</v>
      </c>
      <c r="E28" s="113">
        <f t="shared" si="2"/>
        <v>3685870</v>
      </c>
      <c r="F28" s="114">
        <f t="shared" si="3"/>
        <v>0.44343603101370571</v>
      </c>
    </row>
    <row r="29" spans="1:6" x14ac:dyDescent="0.2">
      <c r="A29" s="115">
        <v>3</v>
      </c>
      <c r="B29" s="116" t="s">
        <v>115</v>
      </c>
      <c r="C29" s="113">
        <v>17040706</v>
      </c>
      <c r="D29" s="113">
        <v>20760315</v>
      </c>
      <c r="E29" s="113">
        <f t="shared" si="2"/>
        <v>3719609</v>
      </c>
      <c r="F29" s="114">
        <f t="shared" si="3"/>
        <v>0.21827786947324834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562072</v>
      </c>
      <c r="D31" s="113">
        <v>593638</v>
      </c>
      <c r="E31" s="113">
        <f t="shared" si="2"/>
        <v>31566</v>
      </c>
      <c r="F31" s="114">
        <f t="shared" si="3"/>
        <v>5.6160064902717091E-2</v>
      </c>
    </row>
    <row r="32" spans="1:6" x14ac:dyDescent="0.2">
      <c r="A32" s="115">
        <v>6</v>
      </c>
      <c r="B32" s="116" t="s">
        <v>118</v>
      </c>
      <c r="C32" s="113">
        <v>1317297</v>
      </c>
      <c r="D32" s="113">
        <v>986652</v>
      </c>
      <c r="E32" s="113">
        <f t="shared" si="2"/>
        <v>-330645</v>
      </c>
      <c r="F32" s="114">
        <f t="shared" si="3"/>
        <v>-0.25100262127675083</v>
      </c>
    </row>
    <row r="33" spans="1:6" x14ac:dyDescent="0.2">
      <c r="A33" s="115">
        <v>7</v>
      </c>
      <c r="B33" s="116" t="s">
        <v>119</v>
      </c>
      <c r="C33" s="113">
        <v>37804949</v>
      </c>
      <c r="D33" s="113">
        <v>41670356</v>
      </c>
      <c r="E33" s="113">
        <f t="shared" si="2"/>
        <v>3865407</v>
      </c>
      <c r="F33" s="114">
        <f t="shared" si="3"/>
        <v>0.10224605778465672</v>
      </c>
    </row>
    <row r="34" spans="1:6" x14ac:dyDescent="0.2">
      <c r="A34" s="115">
        <v>8</v>
      </c>
      <c r="B34" s="116" t="s">
        <v>120</v>
      </c>
      <c r="C34" s="113">
        <v>2201990</v>
      </c>
      <c r="D34" s="113">
        <v>1900052</v>
      </c>
      <c r="E34" s="113">
        <f t="shared" si="2"/>
        <v>-301938</v>
      </c>
      <c r="F34" s="114">
        <f t="shared" si="3"/>
        <v>-0.13712051371713768</v>
      </c>
    </row>
    <row r="35" spans="1:6" x14ac:dyDescent="0.2">
      <c r="A35" s="115">
        <v>9</v>
      </c>
      <c r="B35" s="116" t="s">
        <v>121</v>
      </c>
      <c r="C35" s="113">
        <v>1890367</v>
      </c>
      <c r="D35" s="113">
        <v>1966567</v>
      </c>
      <c r="E35" s="113">
        <f t="shared" si="2"/>
        <v>76200</v>
      </c>
      <c r="F35" s="114">
        <f t="shared" si="3"/>
        <v>4.0309632997190495E-2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96843117</v>
      </c>
      <c r="D38" s="119">
        <f>SUM(D27:D37)</f>
        <v>109147635</v>
      </c>
      <c r="E38" s="119">
        <f t="shared" si="2"/>
        <v>12304518</v>
      </c>
      <c r="F38" s="120">
        <f t="shared" si="3"/>
        <v>0.12705619543410607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59213506</v>
      </c>
      <c r="D41" s="119">
        <f t="shared" si="4"/>
        <v>58219080</v>
      </c>
      <c r="E41" s="123">
        <f t="shared" ref="E41:E52" si="5">D41-C41</f>
        <v>-994426</v>
      </c>
      <c r="F41" s="124">
        <f t="shared" ref="F41:F52" si="6">IF(C41=0,0,E41/C41)</f>
        <v>-1.679390509320627E-2</v>
      </c>
    </row>
    <row r="42" spans="1:6" ht="15.75" x14ac:dyDescent="0.25">
      <c r="A42" s="121">
        <v>2</v>
      </c>
      <c r="B42" s="122" t="s">
        <v>114</v>
      </c>
      <c r="C42" s="119">
        <f t="shared" si="4"/>
        <v>16829874</v>
      </c>
      <c r="D42" s="119">
        <f t="shared" si="4"/>
        <v>20845744</v>
      </c>
      <c r="E42" s="123">
        <f t="shared" si="5"/>
        <v>4015870</v>
      </c>
      <c r="F42" s="124">
        <f t="shared" si="6"/>
        <v>0.23861557133463981</v>
      </c>
    </row>
    <row r="43" spans="1:6" ht="15.75" x14ac:dyDescent="0.25">
      <c r="A43" s="121">
        <v>3</v>
      </c>
      <c r="B43" s="122" t="s">
        <v>115</v>
      </c>
      <c r="C43" s="119">
        <f t="shared" si="4"/>
        <v>25652317</v>
      </c>
      <c r="D43" s="119">
        <f t="shared" si="4"/>
        <v>31263660</v>
      </c>
      <c r="E43" s="123">
        <f t="shared" si="5"/>
        <v>5611343</v>
      </c>
      <c r="F43" s="124">
        <f t="shared" si="6"/>
        <v>0.21874604933347735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973619</v>
      </c>
      <c r="D45" s="119">
        <f t="shared" si="4"/>
        <v>964326</v>
      </c>
      <c r="E45" s="123">
        <f t="shared" si="5"/>
        <v>-9293</v>
      </c>
      <c r="F45" s="124">
        <f t="shared" si="6"/>
        <v>-9.5448014058887518E-3</v>
      </c>
    </row>
    <row r="46" spans="1:6" ht="15.75" x14ac:dyDescent="0.25">
      <c r="A46" s="121">
        <v>6</v>
      </c>
      <c r="B46" s="122" t="s">
        <v>118</v>
      </c>
      <c r="C46" s="119">
        <f t="shared" si="4"/>
        <v>1738350</v>
      </c>
      <c r="D46" s="119">
        <f t="shared" si="4"/>
        <v>1605520</v>
      </c>
      <c r="E46" s="123">
        <f t="shared" si="5"/>
        <v>-132830</v>
      </c>
      <c r="F46" s="124">
        <f t="shared" si="6"/>
        <v>-7.6411539678430701E-2</v>
      </c>
    </row>
    <row r="47" spans="1:6" ht="15.75" x14ac:dyDescent="0.25">
      <c r="A47" s="121">
        <v>7</v>
      </c>
      <c r="B47" s="122" t="s">
        <v>119</v>
      </c>
      <c r="C47" s="119">
        <f t="shared" si="4"/>
        <v>49863252</v>
      </c>
      <c r="D47" s="119">
        <f t="shared" si="4"/>
        <v>53224238</v>
      </c>
      <c r="E47" s="123">
        <f t="shared" si="5"/>
        <v>3360986</v>
      </c>
      <c r="F47" s="124">
        <f t="shared" si="6"/>
        <v>6.740406742825357E-2</v>
      </c>
    </row>
    <row r="48" spans="1:6" ht="15.75" x14ac:dyDescent="0.25">
      <c r="A48" s="121">
        <v>8</v>
      </c>
      <c r="B48" s="122" t="s">
        <v>120</v>
      </c>
      <c r="C48" s="119">
        <f t="shared" si="4"/>
        <v>2322669</v>
      </c>
      <c r="D48" s="119">
        <f t="shared" si="4"/>
        <v>1964761</v>
      </c>
      <c r="E48" s="123">
        <f t="shared" si="5"/>
        <v>-357908</v>
      </c>
      <c r="F48" s="124">
        <f t="shared" si="6"/>
        <v>-0.15409341580741812</v>
      </c>
    </row>
    <row r="49" spans="1:6" ht="15.75" x14ac:dyDescent="0.25">
      <c r="A49" s="121">
        <v>9</v>
      </c>
      <c r="B49" s="122" t="s">
        <v>121</v>
      </c>
      <c r="C49" s="119">
        <f t="shared" si="4"/>
        <v>2537726</v>
      </c>
      <c r="D49" s="119">
        <f t="shared" si="4"/>
        <v>2513433</v>
      </c>
      <c r="E49" s="123">
        <f t="shared" si="5"/>
        <v>-24293</v>
      </c>
      <c r="F49" s="124">
        <f t="shared" si="6"/>
        <v>-9.5727434719114664E-3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159131313</v>
      </c>
      <c r="D52" s="128">
        <f>SUM(D41:D51)</f>
        <v>170600762</v>
      </c>
      <c r="E52" s="127">
        <f t="shared" si="5"/>
        <v>11469449</v>
      </c>
      <c r="F52" s="129">
        <f t="shared" si="6"/>
        <v>7.2075374631013073E-2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10612108</v>
      </c>
      <c r="D57" s="113">
        <v>10978208</v>
      </c>
      <c r="E57" s="113">
        <f t="shared" ref="E57:E68" si="7">D57-C57</f>
        <v>366100</v>
      </c>
      <c r="F57" s="114">
        <f t="shared" ref="F57:F68" si="8">IF(C57=0,0,E57/C57)</f>
        <v>3.449832964383702E-2</v>
      </c>
    </row>
    <row r="58" spans="1:6" x14ac:dyDescent="0.2">
      <c r="A58" s="115">
        <v>2</v>
      </c>
      <c r="B58" s="116" t="s">
        <v>114</v>
      </c>
      <c r="C58" s="113">
        <v>2896952</v>
      </c>
      <c r="D58" s="113">
        <v>3119323</v>
      </c>
      <c r="E58" s="113">
        <f t="shared" si="7"/>
        <v>222371</v>
      </c>
      <c r="F58" s="114">
        <f t="shared" si="8"/>
        <v>7.6760332929230443E-2</v>
      </c>
    </row>
    <row r="59" spans="1:6" x14ac:dyDescent="0.2">
      <c r="A59" s="115">
        <v>3</v>
      </c>
      <c r="B59" s="116" t="s">
        <v>115</v>
      </c>
      <c r="C59" s="113">
        <v>1929397</v>
      </c>
      <c r="D59" s="113">
        <v>5211995</v>
      </c>
      <c r="E59" s="113">
        <f t="shared" si="7"/>
        <v>3282598</v>
      </c>
      <c r="F59" s="114">
        <f t="shared" si="8"/>
        <v>1.7013595439404126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159823</v>
      </c>
      <c r="D61" s="113">
        <v>155890</v>
      </c>
      <c r="E61" s="113">
        <f t="shared" si="7"/>
        <v>-3933</v>
      </c>
      <c r="F61" s="114">
        <f t="shared" si="8"/>
        <v>-2.4608473123392753E-2</v>
      </c>
    </row>
    <row r="62" spans="1:6" x14ac:dyDescent="0.2">
      <c r="A62" s="115">
        <v>6</v>
      </c>
      <c r="B62" s="116" t="s">
        <v>118</v>
      </c>
      <c r="C62" s="113">
        <v>342989</v>
      </c>
      <c r="D62" s="113">
        <v>518527</v>
      </c>
      <c r="E62" s="113">
        <f t="shared" si="7"/>
        <v>175538</v>
      </c>
      <c r="F62" s="114">
        <f t="shared" si="8"/>
        <v>0.5117890078107461</v>
      </c>
    </row>
    <row r="63" spans="1:6" x14ac:dyDescent="0.2">
      <c r="A63" s="115">
        <v>7</v>
      </c>
      <c r="B63" s="116" t="s">
        <v>119</v>
      </c>
      <c r="C63" s="113">
        <v>6664380</v>
      </c>
      <c r="D63" s="113">
        <v>7332745</v>
      </c>
      <c r="E63" s="113">
        <f t="shared" si="7"/>
        <v>668365</v>
      </c>
      <c r="F63" s="114">
        <f t="shared" si="8"/>
        <v>0.10028914917816811</v>
      </c>
    </row>
    <row r="64" spans="1:6" x14ac:dyDescent="0.2">
      <c r="A64" s="115">
        <v>8</v>
      </c>
      <c r="B64" s="116" t="s">
        <v>120</v>
      </c>
      <c r="C64" s="113">
        <v>104548</v>
      </c>
      <c r="D64" s="113">
        <v>48900</v>
      </c>
      <c r="E64" s="113">
        <f t="shared" si="7"/>
        <v>-55648</v>
      </c>
      <c r="F64" s="114">
        <f t="shared" si="8"/>
        <v>-0.53227225771894249</v>
      </c>
    </row>
    <row r="65" spans="1:6" x14ac:dyDescent="0.2">
      <c r="A65" s="115">
        <v>9</v>
      </c>
      <c r="B65" s="116" t="s">
        <v>121</v>
      </c>
      <c r="C65" s="113">
        <v>100</v>
      </c>
      <c r="D65" s="113">
        <v>5904</v>
      </c>
      <c r="E65" s="113">
        <f t="shared" si="7"/>
        <v>5804</v>
      </c>
      <c r="F65" s="114">
        <f t="shared" si="8"/>
        <v>58.04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22710297</v>
      </c>
      <c r="D68" s="119">
        <f>SUM(D57:D67)</f>
        <v>27371492</v>
      </c>
      <c r="E68" s="119">
        <f t="shared" si="7"/>
        <v>4661195</v>
      </c>
      <c r="F68" s="120">
        <f t="shared" si="8"/>
        <v>0.20524588471916505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6895988</v>
      </c>
      <c r="D70" s="113">
        <v>7510348</v>
      </c>
      <c r="E70" s="113">
        <f t="shared" ref="E70:E81" si="9">D70-C70</f>
        <v>614360</v>
      </c>
      <c r="F70" s="114">
        <f t="shared" ref="F70:F81" si="10">IF(C70=0,0,E70/C70)</f>
        <v>8.9089482174272927E-2</v>
      </c>
    </row>
    <row r="71" spans="1:6" x14ac:dyDescent="0.2">
      <c r="A71" s="115">
        <v>2</v>
      </c>
      <c r="B71" s="116" t="s">
        <v>114</v>
      </c>
      <c r="C71" s="113">
        <v>2047200</v>
      </c>
      <c r="D71" s="113">
        <v>3063902</v>
      </c>
      <c r="E71" s="113">
        <f t="shared" si="9"/>
        <v>1016702</v>
      </c>
      <c r="F71" s="114">
        <f t="shared" si="10"/>
        <v>0.49663051973427119</v>
      </c>
    </row>
    <row r="72" spans="1:6" x14ac:dyDescent="0.2">
      <c r="A72" s="115">
        <v>3</v>
      </c>
      <c r="B72" s="116" t="s">
        <v>115</v>
      </c>
      <c r="C72" s="113">
        <v>4033829</v>
      </c>
      <c r="D72" s="113">
        <v>4425841</v>
      </c>
      <c r="E72" s="113">
        <f t="shared" si="9"/>
        <v>392012</v>
      </c>
      <c r="F72" s="114">
        <f t="shared" si="10"/>
        <v>9.7181115015039066E-2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171552</v>
      </c>
      <c r="D74" s="113">
        <v>183266</v>
      </c>
      <c r="E74" s="113">
        <f t="shared" si="9"/>
        <v>11714</v>
      </c>
      <c r="F74" s="114">
        <f t="shared" si="10"/>
        <v>6.8282503264316355E-2</v>
      </c>
    </row>
    <row r="75" spans="1:6" x14ac:dyDescent="0.2">
      <c r="A75" s="115">
        <v>6</v>
      </c>
      <c r="B75" s="116" t="s">
        <v>118</v>
      </c>
      <c r="C75" s="113">
        <v>725985</v>
      </c>
      <c r="D75" s="113">
        <v>459289</v>
      </c>
      <c r="E75" s="113">
        <f t="shared" si="9"/>
        <v>-266696</v>
      </c>
      <c r="F75" s="114">
        <f t="shared" si="10"/>
        <v>-0.36735745228895916</v>
      </c>
    </row>
    <row r="76" spans="1:6" x14ac:dyDescent="0.2">
      <c r="A76" s="115">
        <v>7</v>
      </c>
      <c r="B76" s="116" t="s">
        <v>119</v>
      </c>
      <c r="C76" s="113">
        <v>19585686</v>
      </c>
      <c r="D76" s="113">
        <v>22138310</v>
      </c>
      <c r="E76" s="113">
        <f t="shared" si="9"/>
        <v>2552624</v>
      </c>
      <c r="F76" s="114">
        <f t="shared" si="10"/>
        <v>0.13033109996759878</v>
      </c>
    </row>
    <row r="77" spans="1:6" x14ac:dyDescent="0.2">
      <c r="A77" s="115">
        <v>8</v>
      </c>
      <c r="B77" s="116" t="s">
        <v>120</v>
      </c>
      <c r="C77" s="113">
        <v>1361759</v>
      </c>
      <c r="D77" s="113">
        <v>1212041</v>
      </c>
      <c r="E77" s="113">
        <f t="shared" si="9"/>
        <v>-149718</v>
      </c>
      <c r="F77" s="114">
        <f t="shared" si="10"/>
        <v>-0.10994456434655471</v>
      </c>
    </row>
    <row r="78" spans="1:6" x14ac:dyDescent="0.2">
      <c r="A78" s="115">
        <v>9</v>
      </c>
      <c r="B78" s="116" t="s">
        <v>121</v>
      </c>
      <c r="C78" s="113">
        <v>95389</v>
      </c>
      <c r="D78" s="113">
        <v>284363</v>
      </c>
      <c r="E78" s="113">
        <f t="shared" si="9"/>
        <v>188974</v>
      </c>
      <c r="F78" s="114">
        <f t="shared" si="10"/>
        <v>1.9810879661176866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34917388</v>
      </c>
      <c r="D81" s="119">
        <f>SUM(D70:D80)</f>
        <v>39277360</v>
      </c>
      <c r="E81" s="119">
        <f t="shared" si="9"/>
        <v>4359972</v>
      </c>
      <c r="F81" s="120">
        <f t="shared" si="10"/>
        <v>0.12486535361694294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17508096</v>
      </c>
      <c r="D84" s="119">
        <f t="shared" si="11"/>
        <v>18488556</v>
      </c>
      <c r="E84" s="119">
        <f t="shared" ref="E84:E95" si="12">D84-C84</f>
        <v>980460</v>
      </c>
      <c r="F84" s="120">
        <f t="shared" ref="F84:F95" si="13">IF(C84=0,0,E84/C84)</f>
        <v>5.6000378339255162E-2</v>
      </c>
    </row>
    <row r="85" spans="1:6" ht="15.75" x14ac:dyDescent="0.25">
      <c r="A85" s="130">
        <v>2</v>
      </c>
      <c r="B85" s="122" t="s">
        <v>114</v>
      </c>
      <c r="C85" s="119">
        <f t="shared" si="11"/>
        <v>4944152</v>
      </c>
      <c r="D85" s="119">
        <f t="shared" si="11"/>
        <v>6183225</v>
      </c>
      <c r="E85" s="119">
        <f t="shared" si="12"/>
        <v>1239073</v>
      </c>
      <c r="F85" s="120">
        <f t="shared" si="13"/>
        <v>0.25061385653191892</v>
      </c>
    </row>
    <row r="86" spans="1:6" ht="15.75" x14ac:dyDescent="0.25">
      <c r="A86" s="130">
        <v>3</v>
      </c>
      <c r="B86" s="122" t="s">
        <v>115</v>
      </c>
      <c r="C86" s="119">
        <f t="shared" si="11"/>
        <v>5963226</v>
      </c>
      <c r="D86" s="119">
        <f t="shared" si="11"/>
        <v>9637836</v>
      </c>
      <c r="E86" s="119">
        <f t="shared" si="12"/>
        <v>3674610</v>
      </c>
      <c r="F86" s="120">
        <f t="shared" si="13"/>
        <v>0.61621176188861537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331375</v>
      </c>
      <c r="D88" s="119">
        <f t="shared" si="11"/>
        <v>339156</v>
      </c>
      <c r="E88" s="119">
        <f t="shared" si="12"/>
        <v>7781</v>
      </c>
      <c r="F88" s="120">
        <f t="shared" si="13"/>
        <v>2.3480950584685023E-2</v>
      </c>
    </row>
    <row r="89" spans="1:6" ht="15.75" x14ac:dyDescent="0.25">
      <c r="A89" s="130">
        <v>6</v>
      </c>
      <c r="B89" s="122" t="s">
        <v>118</v>
      </c>
      <c r="C89" s="119">
        <f t="shared" si="11"/>
        <v>1068974</v>
      </c>
      <c r="D89" s="119">
        <f t="shared" si="11"/>
        <v>977816</v>
      </c>
      <c r="E89" s="119">
        <f t="shared" si="12"/>
        <v>-91158</v>
      </c>
      <c r="F89" s="120">
        <f t="shared" si="13"/>
        <v>-8.5276162002069278E-2</v>
      </c>
    </row>
    <row r="90" spans="1:6" ht="15.75" x14ac:dyDescent="0.25">
      <c r="A90" s="130">
        <v>7</v>
      </c>
      <c r="B90" s="122" t="s">
        <v>119</v>
      </c>
      <c r="C90" s="119">
        <f t="shared" si="11"/>
        <v>26250066</v>
      </c>
      <c r="D90" s="119">
        <f t="shared" si="11"/>
        <v>29471055</v>
      </c>
      <c r="E90" s="119">
        <f t="shared" si="12"/>
        <v>3220989</v>
      </c>
      <c r="F90" s="120">
        <f t="shared" si="13"/>
        <v>0.12270403434414222</v>
      </c>
    </row>
    <row r="91" spans="1:6" ht="15.75" x14ac:dyDescent="0.25">
      <c r="A91" s="130">
        <v>8</v>
      </c>
      <c r="B91" s="122" t="s">
        <v>120</v>
      </c>
      <c r="C91" s="119">
        <f t="shared" si="11"/>
        <v>1466307</v>
      </c>
      <c r="D91" s="119">
        <f t="shared" si="11"/>
        <v>1260941</v>
      </c>
      <c r="E91" s="119">
        <f t="shared" si="12"/>
        <v>-205366</v>
      </c>
      <c r="F91" s="120">
        <f t="shared" si="13"/>
        <v>-0.14005661842983769</v>
      </c>
    </row>
    <row r="92" spans="1:6" ht="15.75" x14ac:dyDescent="0.25">
      <c r="A92" s="130">
        <v>9</v>
      </c>
      <c r="B92" s="122" t="s">
        <v>121</v>
      </c>
      <c r="C92" s="119">
        <f t="shared" si="11"/>
        <v>95489</v>
      </c>
      <c r="D92" s="119">
        <f t="shared" si="11"/>
        <v>290267</v>
      </c>
      <c r="E92" s="119">
        <f t="shared" si="12"/>
        <v>194778</v>
      </c>
      <c r="F92" s="120">
        <f t="shared" si="13"/>
        <v>2.0397951596518973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57627685</v>
      </c>
      <c r="D95" s="128">
        <f>SUM(D84:D94)</f>
        <v>66648852</v>
      </c>
      <c r="E95" s="128">
        <f t="shared" si="12"/>
        <v>9021167</v>
      </c>
      <c r="F95" s="129">
        <f t="shared" si="13"/>
        <v>0.15654224180617354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1301</v>
      </c>
      <c r="D100" s="133">
        <v>1195</v>
      </c>
      <c r="E100" s="133">
        <f t="shared" ref="E100:E111" si="14">D100-C100</f>
        <v>-106</v>
      </c>
      <c r="F100" s="114">
        <f t="shared" ref="F100:F111" si="15">IF(C100=0,0,E100/C100)</f>
        <v>-8.1475787855495779E-2</v>
      </c>
    </row>
    <row r="101" spans="1:6" x14ac:dyDescent="0.2">
      <c r="A101" s="115">
        <v>2</v>
      </c>
      <c r="B101" s="116" t="s">
        <v>114</v>
      </c>
      <c r="C101" s="133">
        <v>332</v>
      </c>
      <c r="D101" s="133">
        <v>376</v>
      </c>
      <c r="E101" s="133">
        <f t="shared" si="14"/>
        <v>44</v>
      </c>
      <c r="F101" s="114">
        <f t="shared" si="15"/>
        <v>0.13253012048192772</v>
      </c>
    </row>
    <row r="102" spans="1:6" x14ac:dyDescent="0.2">
      <c r="A102" s="115">
        <v>3</v>
      </c>
      <c r="B102" s="116" t="s">
        <v>115</v>
      </c>
      <c r="C102" s="133">
        <v>581</v>
      </c>
      <c r="D102" s="133">
        <v>681</v>
      </c>
      <c r="E102" s="133">
        <f t="shared" si="14"/>
        <v>100</v>
      </c>
      <c r="F102" s="114">
        <f t="shared" si="15"/>
        <v>0.1721170395869191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29</v>
      </c>
      <c r="D104" s="133">
        <v>24</v>
      </c>
      <c r="E104" s="133">
        <f t="shared" si="14"/>
        <v>-5</v>
      </c>
      <c r="F104" s="114">
        <f t="shared" si="15"/>
        <v>-0.17241379310344829</v>
      </c>
    </row>
    <row r="105" spans="1:6" x14ac:dyDescent="0.2">
      <c r="A105" s="115">
        <v>6</v>
      </c>
      <c r="B105" s="116" t="s">
        <v>118</v>
      </c>
      <c r="C105" s="133">
        <v>32</v>
      </c>
      <c r="D105" s="133">
        <v>53</v>
      </c>
      <c r="E105" s="133">
        <f t="shared" si="14"/>
        <v>21</v>
      </c>
      <c r="F105" s="114">
        <f t="shared" si="15"/>
        <v>0.65625</v>
      </c>
    </row>
    <row r="106" spans="1:6" x14ac:dyDescent="0.2">
      <c r="A106" s="115">
        <v>7</v>
      </c>
      <c r="B106" s="116" t="s">
        <v>119</v>
      </c>
      <c r="C106" s="133">
        <v>811</v>
      </c>
      <c r="D106" s="133">
        <v>817</v>
      </c>
      <c r="E106" s="133">
        <f t="shared" si="14"/>
        <v>6</v>
      </c>
      <c r="F106" s="114">
        <f t="shared" si="15"/>
        <v>7.3982737361282368E-3</v>
      </c>
    </row>
    <row r="107" spans="1:6" x14ac:dyDescent="0.2">
      <c r="A107" s="115">
        <v>8</v>
      </c>
      <c r="B107" s="116" t="s">
        <v>120</v>
      </c>
      <c r="C107" s="133">
        <v>5</v>
      </c>
      <c r="D107" s="133">
        <v>3</v>
      </c>
      <c r="E107" s="133">
        <f t="shared" si="14"/>
        <v>-2</v>
      </c>
      <c r="F107" s="114">
        <f t="shared" si="15"/>
        <v>-0.4</v>
      </c>
    </row>
    <row r="108" spans="1:6" x14ac:dyDescent="0.2">
      <c r="A108" s="115">
        <v>9</v>
      </c>
      <c r="B108" s="116" t="s">
        <v>121</v>
      </c>
      <c r="C108" s="133">
        <v>48</v>
      </c>
      <c r="D108" s="133">
        <v>42</v>
      </c>
      <c r="E108" s="133">
        <f t="shared" si="14"/>
        <v>-6</v>
      </c>
      <c r="F108" s="114">
        <f t="shared" si="15"/>
        <v>-0.125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3139</v>
      </c>
      <c r="D111" s="134">
        <f>SUM(D100:D110)</f>
        <v>3191</v>
      </c>
      <c r="E111" s="134">
        <f t="shared" si="14"/>
        <v>52</v>
      </c>
      <c r="F111" s="120">
        <f t="shared" si="15"/>
        <v>1.6565785281936921E-2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7883</v>
      </c>
      <c r="D113" s="133">
        <v>7199</v>
      </c>
      <c r="E113" s="133">
        <f t="shared" ref="E113:E124" si="16">D113-C113</f>
        <v>-684</v>
      </c>
      <c r="F113" s="114">
        <f t="shared" ref="F113:F124" si="17">IF(C113=0,0,E113/C113)</f>
        <v>-8.6768996574908025E-2</v>
      </c>
    </row>
    <row r="114" spans="1:6" x14ac:dyDescent="0.2">
      <c r="A114" s="115">
        <v>2</v>
      </c>
      <c r="B114" s="116" t="s">
        <v>114</v>
      </c>
      <c r="C114" s="133">
        <v>1862</v>
      </c>
      <c r="D114" s="133">
        <v>1944</v>
      </c>
      <c r="E114" s="133">
        <f t="shared" si="16"/>
        <v>82</v>
      </c>
      <c r="F114" s="114">
        <f t="shared" si="17"/>
        <v>4.4038668098818477E-2</v>
      </c>
    </row>
    <row r="115" spans="1:6" x14ac:dyDescent="0.2">
      <c r="A115" s="115">
        <v>3</v>
      </c>
      <c r="B115" s="116" t="s">
        <v>115</v>
      </c>
      <c r="C115" s="133">
        <v>2623</v>
      </c>
      <c r="D115" s="133">
        <v>3369</v>
      </c>
      <c r="E115" s="133">
        <f t="shared" si="16"/>
        <v>746</v>
      </c>
      <c r="F115" s="114">
        <f t="shared" si="17"/>
        <v>0.28440716736561189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112</v>
      </c>
      <c r="D117" s="133">
        <v>101</v>
      </c>
      <c r="E117" s="133">
        <f t="shared" si="16"/>
        <v>-11</v>
      </c>
      <c r="F117" s="114">
        <f t="shared" si="17"/>
        <v>-9.8214285714285712E-2</v>
      </c>
    </row>
    <row r="118" spans="1:6" x14ac:dyDescent="0.2">
      <c r="A118" s="115">
        <v>6</v>
      </c>
      <c r="B118" s="116" t="s">
        <v>118</v>
      </c>
      <c r="C118" s="133">
        <v>189</v>
      </c>
      <c r="D118" s="133">
        <v>198</v>
      </c>
      <c r="E118" s="133">
        <f t="shared" si="16"/>
        <v>9</v>
      </c>
      <c r="F118" s="114">
        <f t="shared" si="17"/>
        <v>4.7619047619047616E-2</v>
      </c>
    </row>
    <row r="119" spans="1:6" x14ac:dyDescent="0.2">
      <c r="A119" s="115">
        <v>7</v>
      </c>
      <c r="B119" s="116" t="s">
        <v>119</v>
      </c>
      <c r="C119" s="133">
        <v>3263</v>
      </c>
      <c r="D119" s="133">
        <v>3278</v>
      </c>
      <c r="E119" s="133">
        <f t="shared" si="16"/>
        <v>15</v>
      </c>
      <c r="F119" s="114">
        <f t="shared" si="17"/>
        <v>4.5969966288691389E-3</v>
      </c>
    </row>
    <row r="120" spans="1:6" x14ac:dyDescent="0.2">
      <c r="A120" s="115">
        <v>8</v>
      </c>
      <c r="B120" s="116" t="s">
        <v>120</v>
      </c>
      <c r="C120" s="133">
        <v>18</v>
      </c>
      <c r="D120" s="133">
        <v>12</v>
      </c>
      <c r="E120" s="133">
        <f t="shared" si="16"/>
        <v>-6</v>
      </c>
      <c r="F120" s="114">
        <f t="shared" si="17"/>
        <v>-0.33333333333333331</v>
      </c>
    </row>
    <row r="121" spans="1:6" x14ac:dyDescent="0.2">
      <c r="A121" s="115">
        <v>9</v>
      </c>
      <c r="B121" s="116" t="s">
        <v>121</v>
      </c>
      <c r="C121" s="133">
        <v>180</v>
      </c>
      <c r="D121" s="133">
        <v>169</v>
      </c>
      <c r="E121" s="133">
        <f t="shared" si="16"/>
        <v>-11</v>
      </c>
      <c r="F121" s="114">
        <f t="shared" si="17"/>
        <v>-6.1111111111111109E-2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16130</v>
      </c>
      <c r="D124" s="134">
        <f>SUM(D113:D123)</f>
        <v>16270</v>
      </c>
      <c r="E124" s="134">
        <f t="shared" si="16"/>
        <v>140</v>
      </c>
      <c r="F124" s="120">
        <f t="shared" si="17"/>
        <v>8.679479231246125E-3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23806</v>
      </c>
      <c r="D126" s="133">
        <v>23855</v>
      </c>
      <c r="E126" s="133">
        <f t="shared" ref="E126:E137" si="18">D126-C126</f>
        <v>49</v>
      </c>
      <c r="F126" s="114">
        <f t="shared" ref="F126:F137" si="19">IF(C126=0,0,E126/C126)</f>
        <v>2.0583046290851047E-3</v>
      </c>
    </row>
    <row r="127" spans="1:6" x14ac:dyDescent="0.2">
      <c r="A127" s="115">
        <v>2</v>
      </c>
      <c r="B127" s="116" t="s">
        <v>114</v>
      </c>
      <c r="C127" s="133">
        <v>9037</v>
      </c>
      <c r="D127" s="133">
        <v>10123</v>
      </c>
      <c r="E127" s="133">
        <f t="shared" si="18"/>
        <v>1086</v>
      </c>
      <c r="F127" s="114">
        <f t="shared" si="19"/>
        <v>0.12017262365829368</v>
      </c>
    </row>
    <row r="128" spans="1:6" x14ac:dyDescent="0.2">
      <c r="A128" s="115">
        <v>3</v>
      </c>
      <c r="B128" s="116" t="s">
        <v>115</v>
      </c>
      <c r="C128" s="133">
        <v>11677</v>
      </c>
      <c r="D128" s="133">
        <v>12344</v>
      </c>
      <c r="E128" s="133">
        <f t="shared" si="18"/>
        <v>667</v>
      </c>
      <c r="F128" s="114">
        <f t="shared" si="19"/>
        <v>5.7120835831121007E-2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523</v>
      </c>
      <c r="D130" s="133">
        <v>470</v>
      </c>
      <c r="E130" s="133">
        <f t="shared" si="18"/>
        <v>-53</v>
      </c>
      <c r="F130" s="114">
        <f t="shared" si="19"/>
        <v>-0.10133843212237094</v>
      </c>
    </row>
    <row r="131" spans="1:6" x14ac:dyDescent="0.2">
      <c r="A131" s="115">
        <v>6</v>
      </c>
      <c r="B131" s="116" t="s">
        <v>118</v>
      </c>
      <c r="C131" s="133">
        <v>896</v>
      </c>
      <c r="D131" s="133">
        <v>593</v>
      </c>
      <c r="E131" s="133">
        <f t="shared" si="18"/>
        <v>-303</v>
      </c>
      <c r="F131" s="114">
        <f t="shared" si="19"/>
        <v>-0.33816964285714285</v>
      </c>
    </row>
    <row r="132" spans="1:6" x14ac:dyDescent="0.2">
      <c r="A132" s="115">
        <v>7</v>
      </c>
      <c r="B132" s="116" t="s">
        <v>119</v>
      </c>
      <c r="C132" s="133">
        <v>33892</v>
      </c>
      <c r="D132" s="133">
        <v>31562</v>
      </c>
      <c r="E132" s="133">
        <f t="shared" si="18"/>
        <v>-2330</v>
      </c>
      <c r="F132" s="114">
        <f t="shared" si="19"/>
        <v>-6.8747787088398446E-2</v>
      </c>
    </row>
    <row r="133" spans="1:6" x14ac:dyDescent="0.2">
      <c r="A133" s="115">
        <v>8</v>
      </c>
      <c r="B133" s="116" t="s">
        <v>120</v>
      </c>
      <c r="C133" s="133">
        <v>1351</v>
      </c>
      <c r="D133" s="133">
        <v>1138</v>
      </c>
      <c r="E133" s="133">
        <f t="shared" si="18"/>
        <v>-213</v>
      </c>
      <c r="F133" s="114">
        <f t="shared" si="19"/>
        <v>-0.15766099185788304</v>
      </c>
    </row>
    <row r="134" spans="1:6" x14ac:dyDescent="0.2">
      <c r="A134" s="115">
        <v>9</v>
      </c>
      <c r="B134" s="116" t="s">
        <v>121</v>
      </c>
      <c r="C134" s="133">
        <v>1743</v>
      </c>
      <c r="D134" s="133">
        <v>1612</v>
      </c>
      <c r="E134" s="133">
        <f t="shared" si="18"/>
        <v>-131</v>
      </c>
      <c r="F134" s="114">
        <f t="shared" si="19"/>
        <v>-7.5157773952954671E-2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82925</v>
      </c>
      <c r="D137" s="134">
        <f>SUM(D126:D136)</f>
        <v>81697</v>
      </c>
      <c r="E137" s="134">
        <f t="shared" si="18"/>
        <v>-1228</v>
      </c>
      <c r="F137" s="120">
        <f t="shared" si="19"/>
        <v>-1.4808561953572505E-2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5535332</v>
      </c>
      <c r="D142" s="113">
        <v>5507678</v>
      </c>
      <c r="E142" s="113">
        <f t="shared" ref="E142:E153" si="20">D142-C142</f>
        <v>-27654</v>
      </c>
      <c r="F142" s="114">
        <f t="shared" ref="F142:F153" si="21">IF(C142=0,0,E142/C142)</f>
        <v>-4.9959062979420205E-3</v>
      </c>
    </row>
    <row r="143" spans="1:6" x14ac:dyDescent="0.2">
      <c r="A143" s="115">
        <v>2</v>
      </c>
      <c r="B143" s="116" t="s">
        <v>114</v>
      </c>
      <c r="C143" s="113">
        <v>1575757</v>
      </c>
      <c r="D143" s="113">
        <v>2054735</v>
      </c>
      <c r="E143" s="113">
        <f t="shared" si="20"/>
        <v>478978</v>
      </c>
      <c r="F143" s="114">
        <f t="shared" si="21"/>
        <v>0.30396691875714338</v>
      </c>
    </row>
    <row r="144" spans="1:6" x14ac:dyDescent="0.2">
      <c r="A144" s="115">
        <v>3</v>
      </c>
      <c r="B144" s="116" t="s">
        <v>115</v>
      </c>
      <c r="C144" s="113">
        <v>9018923</v>
      </c>
      <c r="D144" s="113">
        <v>11390959</v>
      </c>
      <c r="E144" s="113">
        <f t="shared" si="20"/>
        <v>2372036</v>
      </c>
      <c r="F144" s="114">
        <f t="shared" si="21"/>
        <v>0.26300656963142938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315008</v>
      </c>
      <c r="D146" s="113">
        <v>341552</v>
      </c>
      <c r="E146" s="113">
        <f t="shared" si="20"/>
        <v>26544</v>
      </c>
      <c r="F146" s="114">
        <f t="shared" si="21"/>
        <v>8.426452661519708E-2</v>
      </c>
    </row>
    <row r="147" spans="1:6" x14ac:dyDescent="0.2">
      <c r="A147" s="115">
        <v>6</v>
      </c>
      <c r="B147" s="116" t="s">
        <v>118</v>
      </c>
      <c r="C147" s="113">
        <v>700428</v>
      </c>
      <c r="D147" s="113">
        <v>380328</v>
      </c>
      <c r="E147" s="113">
        <f t="shared" si="20"/>
        <v>-320100</v>
      </c>
      <c r="F147" s="114">
        <f t="shared" si="21"/>
        <v>-0.45700628758416284</v>
      </c>
    </row>
    <row r="148" spans="1:6" x14ac:dyDescent="0.2">
      <c r="A148" s="115">
        <v>7</v>
      </c>
      <c r="B148" s="116" t="s">
        <v>119</v>
      </c>
      <c r="C148" s="113">
        <v>9172791</v>
      </c>
      <c r="D148" s="113">
        <v>10927453</v>
      </c>
      <c r="E148" s="113">
        <f t="shared" si="20"/>
        <v>1754662</v>
      </c>
      <c r="F148" s="114">
        <f t="shared" si="21"/>
        <v>0.19128987022597593</v>
      </c>
    </row>
    <row r="149" spans="1:6" x14ac:dyDescent="0.2">
      <c r="A149" s="115">
        <v>8</v>
      </c>
      <c r="B149" s="116" t="s">
        <v>120</v>
      </c>
      <c r="C149" s="113">
        <v>547820</v>
      </c>
      <c r="D149" s="113">
        <v>642644</v>
      </c>
      <c r="E149" s="113">
        <f t="shared" si="20"/>
        <v>94824</v>
      </c>
      <c r="F149" s="114">
        <f t="shared" si="21"/>
        <v>0.17309335183089336</v>
      </c>
    </row>
    <row r="150" spans="1:6" x14ac:dyDescent="0.2">
      <c r="A150" s="115">
        <v>9</v>
      </c>
      <c r="B150" s="116" t="s">
        <v>121</v>
      </c>
      <c r="C150" s="113">
        <v>1493092</v>
      </c>
      <c r="D150" s="113">
        <v>1449644</v>
      </c>
      <c r="E150" s="113">
        <f t="shared" si="20"/>
        <v>-43448</v>
      </c>
      <c r="F150" s="114">
        <f t="shared" si="21"/>
        <v>-2.9099345519231233E-2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28359151</v>
      </c>
      <c r="D153" s="119">
        <f>SUM(D142:D152)</f>
        <v>32694993</v>
      </c>
      <c r="E153" s="119">
        <f t="shared" si="20"/>
        <v>4335842</v>
      </c>
      <c r="F153" s="120">
        <f t="shared" si="21"/>
        <v>0.15289040211394198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1453395</v>
      </c>
      <c r="D155" s="113">
        <v>1424368</v>
      </c>
      <c r="E155" s="113">
        <f t="shared" ref="E155:E166" si="22">D155-C155</f>
        <v>-29027</v>
      </c>
      <c r="F155" s="114">
        <f t="shared" ref="F155:F166" si="23">IF(C155=0,0,E155/C155)</f>
        <v>-1.9971858992221661E-2</v>
      </c>
    </row>
    <row r="156" spans="1:6" x14ac:dyDescent="0.2">
      <c r="A156" s="115">
        <v>2</v>
      </c>
      <c r="B156" s="116" t="s">
        <v>114</v>
      </c>
      <c r="C156" s="113">
        <v>389940</v>
      </c>
      <c r="D156" s="113">
        <v>509689</v>
      </c>
      <c r="E156" s="113">
        <f t="shared" si="22"/>
        <v>119749</v>
      </c>
      <c r="F156" s="114">
        <f t="shared" si="23"/>
        <v>0.30709596348156126</v>
      </c>
    </row>
    <row r="157" spans="1:6" x14ac:dyDescent="0.2">
      <c r="A157" s="115">
        <v>3</v>
      </c>
      <c r="B157" s="116" t="s">
        <v>115</v>
      </c>
      <c r="C157" s="113">
        <v>1958589</v>
      </c>
      <c r="D157" s="113">
        <v>2000080</v>
      </c>
      <c r="E157" s="113">
        <f t="shared" si="22"/>
        <v>41491</v>
      </c>
      <c r="F157" s="114">
        <f t="shared" si="23"/>
        <v>2.1184127961506982E-2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78769</v>
      </c>
      <c r="D159" s="113">
        <v>79926</v>
      </c>
      <c r="E159" s="113">
        <f t="shared" si="22"/>
        <v>1157</v>
      </c>
      <c r="F159" s="114">
        <f t="shared" si="23"/>
        <v>1.4688519595272252E-2</v>
      </c>
    </row>
    <row r="160" spans="1:6" x14ac:dyDescent="0.2">
      <c r="A160" s="115">
        <v>6</v>
      </c>
      <c r="B160" s="116" t="s">
        <v>118</v>
      </c>
      <c r="C160" s="113">
        <v>376405</v>
      </c>
      <c r="D160" s="113">
        <v>164308</v>
      </c>
      <c r="E160" s="113">
        <f t="shared" si="22"/>
        <v>-212097</v>
      </c>
      <c r="F160" s="114">
        <f t="shared" si="23"/>
        <v>-0.56348082517501097</v>
      </c>
    </row>
    <row r="161" spans="1:6" x14ac:dyDescent="0.2">
      <c r="A161" s="115">
        <v>7</v>
      </c>
      <c r="B161" s="116" t="s">
        <v>119</v>
      </c>
      <c r="C161" s="113">
        <v>4877324</v>
      </c>
      <c r="D161" s="113">
        <v>5422015</v>
      </c>
      <c r="E161" s="113">
        <f t="shared" si="22"/>
        <v>544691</v>
      </c>
      <c r="F161" s="114">
        <f t="shared" si="23"/>
        <v>0.11167824815411073</v>
      </c>
    </row>
    <row r="162" spans="1:6" x14ac:dyDescent="0.2">
      <c r="A162" s="115">
        <v>8</v>
      </c>
      <c r="B162" s="116" t="s">
        <v>120</v>
      </c>
      <c r="C162" s="113">
        <v>370378</v>
      </c>
      <c r="D162" s="113">
        <v>482455</v>
      </c>
      <c r="E162" s="113">
        <f t="shared" si="22"/>
        <v>112077</v>
      </c>
      <c r="F162" s="114">
        <f t="shared" si="23"/>
        <v>0.30260166640567204</v>
      </c>
    </row>
    <row r="163" spans="1:6" x14ac:dyDescent="0.2">
      <c r="A163" s="115">
        <v>9</v>
      </c>
      <c r="B163" s="116" t="s">
        <v>121</v>
      </c>
      <c r="C163" s="113">
        <v>50122</v>
      </c>
      <c r="D163" s="113">
        <v>41848</v>
      </c>
      <c r="E163" s="113">
        <f t="shared" si="22"/>
        <v>-8274</v>
      </c>
      <c r="F163" s="114">
        <f t="shared" si="23"/>
        <v>-0.16507721160368699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9554922</v>
      </c>
      <c r="D166" s="119">
        <f>SUM(D155:D165)</f>
        <v>10124689</v>
      </c>
      <c r="E166" s="119">
        <f t="shared" si="22"/>
        <v>569767</v>
      </c>
      <c r="F166" s="120">
        <f t="shared" si="23"/>
        <v>5.9630732726023303E-2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2923</v>
      </c>
      <c r="D168" s="133">
        <v>2612</v>
      </c>
      <c r="E168" s="133">
        <f t="shared" ref="E168:E179" si="24">D168-C168</f>
        <v>-311</v>
      </c>
      <c r="F168" s="114">
        <f t="shared" ref="F168:F179" si="25">IF(C168=0,0,E168/C168)</f>
        <v>-0.10639753677728361</v>
      </c>
    </row>
    <row r="169" spans="1:6" x14ac:dyDescent="0.2">
      <c r="A169" s="115">
        <v>2</v>
      </c>
      <c r="B169" s="116" t="s">
        <v>114</v>
      </c>
      <c r="C169" s="133">
        <v>791</v>
      </c>
      <c r="D169" s="133">
        <v>933</v>
      </c>
      <c r="E169" s="133">
        <f t="shared" si="24"/>
        <v>142</v>
      </c>
      <c r="F169" s="114">
        <f t="shared" si="25"/>
        <v>0.179519595448799</v>
      </c>
    </row>
    <row r="170" spans="1:6" x14ac:dyDescent="0.2">
      <c r="A170" s="115">
        <v>3</v>
      </c>
      <c r="B170" s="116" t="s">
        <v>115</v>
      </c>
      <c r="C170" s="133">
        <v>5484</v>
      </c>
      <c r="D170" s="133">
        <v>5553</v>
      </c>
      <c r="E170" s="133">
        <f t="shared" si="24"/>
        <v>69</v>
      </c>
      <c r="F170" s="114">
        <f t="shared" si="25"/>
        <v>1.2582056892778994E-2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242</v>
      </c>
      <c r="D172" s="133">
        <v>189</v>
      </c>
      <c r="E172" s="133">
        <f t="shared" si="24"/>
        <v>-53</v>
      </c>
      <c r="F172" s="114">
        <f t="shared" si="25"/>
        <v>-0.21900826446280991</v>
      </c>
    </row>
    <row r="173" spans="1:6" x14ac:dyDescent="0.2">
      <c r="A173" s="115">
        <v>6</v>
      </c>
      <c r="B173" s="116" t="s">
        <v>118</v>
      </c>
      <c r="C173" s="133">
        <v>450</v>
      </c>
      <c r="D173" s="133">
        <v>196</v>
      </c>
      <c r="E173" s="133">
        <f t="shared" si="24"/>
        <v>-254</v>
      </c>
      <c r="F173" s="114">
        <f t="shared" si="25"/>
        <v>-0.56444444444444442</v>
      </c>
    </row>
    <row r="174" spans="1:6" x14ac:dyDescent="0.2">
      <c r="A174" s="115">
        <v>7</v>
      </c>
      <c r="B174" s="116" t="s">
        <v>119</v>
      </c>
      <c r="C174" s="133">
        <v>6146</v>
      </c>
      <c r="D174" s="133">
        <v>5955</v>
      </c>
      <c r="E174" s="133">
        <f t="shared" si="24"/>
        <v>-191</v>
      </c>
      <c r="F174" s="114">
        <f t="shared" si="25"/>
        <v>-3.1077123332248616E-2</v>
      </c>
    </row>
    <row r="175" spans="1:6" x14ac:dyDescent="0.2">
      <c r="A175" s="115">
        <v>8</v>
      </c>
      <c r="B175" s="116" t="s">
        <v>120</v>
      </c>
      <c r="C175" s="133">
        <v>568</v>
      </c>
      <c r="D175" s="133">
        <v>477</v>
      </c>
      <c r="E175" s="133">
        <f t="shared" si="24"/>
        <v>-91</v>
      </c>
      <c r="F175" s="114">
        <f t="shared" si="25"/>
        <v>-0.16021126760563381</v>
      </c>
    </row>
    <row r="176" spans="1:6" x14ac:dyDescent="0.2">
      <c r="A176" s="115">
        <v>9</v>
      </c>
      <c r="B176" s="116" t="s">
        <v>121</v>
      </c>
      <c r="C176" s="133">
        <v>1213</v>
      </c>
      <c r="D176" s="133">
        <v>865</v>
      </c>
      <c r="E176" s="133">
        <f t="shared" si="24"/>
        <v>-348</v>
      </c>
      <c r="F176" s="114">
        <f t="shared" si="25"/>
        <v>-0.28689200329760922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17817</v>
      </c>
      <c r="D179" s="134">
        <f>SUM(D168:D178)</f>
        <v>16780</v>
      </c>
      <c r="E179" s="134">
        <f t="shared" si="24"/>
        <v>-1037</v>
      </c>
      <c r="F179" s="120">
        <f t="shared" si="25"/>
        <v>-5.8202839984284674E-2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FILING&amp;RJOHNSON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9201815</v>
      </c>
      <c r="D15" s="157">
        <v>9346702</v>
      </c>
      <c r="E15" s="157">
        <f>+D15-C15</f>
        <v>144887</v>
      </c>
      <c r="F15" s="161">
        <f>IF(C15=0,0,E15/C15)</f>
        <v>1.5745480647024527E-2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17662595</v>
      </c>
      <c r="D17" s="157">
        <v>15764903</v>
      </c>
      <c r="E17" s="157">
        <f>+D17-C17</f>
        <v>-1897692</v>
      </c>
      <c r="F17" s="161">
        <f>IF(C17=0,0,E17/C17)</f>
        <v>-0.10744129047855086</v>
      </c>
    </row>
    <row r="18" spans="1:6" ht="15.75" customHeight="1" x14ac:dyDescent="0.25">
      <c r="A18" s="147"/>
      <c r="B18" s="162" t="s">
        <v>159</v>
      </c>
      <c r="C18" s="158">
        <f>SUM(C15:C17)</f>
        <v>26864410</v>
      </c>
      <c r="D18" s="158">
        <f>SUM(D15:D17)</f>
        <v>25111605</v>
      </c>
      <c r="E18" s="158">
        <f>+D18-C18</f>
        <v>-1752805</v>
      </c>
      <c r="F18" s="159">
        <f>IF(C18=0,0,E18/C18)</f>
        <v>-6.5246361263843131E-2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2141165</v>
      </c>
      <c r="D21" s="157">
        <v>2547260</v>
      </c>
      <c r="E21" s="157">
        <f>+D21-C21</f>
        <v>406095</v>
      </c>
      <c r="F21" s="161">
        <f>IF(C21=0,0,E21/C21)</f>
        <v>0.18966076878708554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4109900</v>
      </c>
      <c r="D23" s="157">
        <v>3900830</v>
      </c>
      <c r="E23" s="157">
        <f>+D23-C23</f>
        <v>-209070</v>
      </c>
      <c r="F23" s="161">
        <f>IF(C23=0,0,E23/C23)</f>
        <v>-5.0869850847952508E-2</v>
      </c>
    </row>
    <row r="24" spans="1:6" ht="15.75" customHeight="1" x14ac:dyDescent="0.25">
      <c r="A24" s="147"/>
      <c r="B24" s="162" t="s">
        <v>164</v>
      </c>
      <c r="C24" s="158">
        <f>SUM(C21:C23)</f>
        <v>6251065</v>
      </c>
      <c r="D24" s="158">
        <f>SUM(D21:D23)</f>
        <v>6448090</v>
      </c>
      <c r="E24" s="158">
        <f>+D24-C24</f>
        <v>197025</v>
      </c>
      <c r="F24" s="159">
        <f>IF(C24=0,0,E24/C24)</f>
        <v>3.1518629225579964E-2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111656</v>
      </c>
      <c r="D27" s="157">
        <v>84628</v>
      </c>
      <c r="E27" s="157">
        <f>+D27-C27</f>
        <v>-27028</v>
      </c>
      <c r="F27" s="161">
        <f>IF(C27=0,0,E27/C27)</f>
        <v>-0.24206491366339472</v>
      </c>
    </row>
    <row r="28" spans="1:6" ht="15" customHeight="1" x14ac:dyDescent="0.2">
      <c r="A28" s="147">
        <v>2</v>
      </c>
      <c r="B28" s="160" t="s">
        <v>167</v>
      </c>
      <c r="C28" s="157">
        <v>1855379</v>
      </c>
      <c r="D28" s="157">
        <v>2126346</v>
      </c>
      <c r="E28" s="157">
        <f>+D28-C28</f>
        <v>270967</v>
      </c>
      <c r="F28" s="161">
        <f>IF(C28=0,0,E28/C28)</f>
        <v>0.14604401580485712</v>
      </c>
    </row>
    <row r="29" spans="1:6" ht="15" customHeight="1" x14ac:dyDescent="0.2">
      <c r="A29" s="147">
        <v>3</v>
      </c>
      <c r="B29" s="160" t="s">
        <v>168</v>
      </c>
      <c r="C29" s="157">
        <v>729427</v>
      </c>
      <c r="D29" s="157">
        <v>1205201</v>
      </c>
      <c r="E29" s="157">
        <f>+D29-C29</f>
        <v>475774</v>
      </c>
      <c r="F29" s="161">
        <f>IF(C29=0,0,E29/C29)</f>
        <v>0.65225718269271638</v>
      </c>
    </row>
    <row r="30" spans="1:6" ht="15.75" customHeight="1" x14ac:dyDescent="0.25">
      <c r="A30" s="147"/>
      <c r="B30" s="162" t="s">
        <v>169</v>
      </c>
      <c r="C30" s="158">
        <f>SUM(C27:C29)</f>
        <v>2696462</v>
      </c>
      <c r="D30" s="158">
        <f>SUM(D27:D29)</f>
        <v>3416175</v>
      </c>
      <c r="E30" s="158">
        <f>+D30-C30</f>
        <v>719713</v>
      </c>
      <c r="F30" s="159">
        <f>IF(C30=0,0,E30/C30)</f>
        <v>0.26691012148511645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3747613</v>
      </c>
      <c r="D33" s="157">
        <v>4025110</v>
      </c>
      <c r="E33" s="157">
        <f>+D33-C33</f>
        <v>277497</v>
      </c>
      <c r="F33" s="161">
        <f>IF(C33=0,0,E33/C33)</f>
        <v>7.4046332959139594E-2</v>
      </c>
    </row>
    <row r="34" spans="1:6" ht="15" customHeight="1" x14ac:dyDescent="0.2">
      <c r="A34" s="147">
        <v>2</v>
      </c>
      <c r="B34" s="160" t="s">
        <v>173</v>
      </c>
      <c r="C34" s="157">
        <v>4381638</v>
      </c>
      <c r="D34" s="157">
        <v>6128850</v>
      </c>
      <c r="E34" s="157">
        <f>+D34-C34</f>
        <v>1747212</v>
      </c>
      <c r="F34" s="161">
        <f>IF(C34=0,0,E34/C34)</f>
        <v>0.39875772485084343</v>
      </c>
    </row>
    <row r="35" spans="1:6" ht="15.75" customHeight="1" x14ac:dyDescent="0.25">
      <c r="A35" s="147"/>
      <c r="B35" s="162" t="s">
        <v>174</v>
      </c>
      <c r="C35" s="158">
        <f>SUM(C33:C34)</f>
        <v>8129251</v>
      </c>
      <c r="D35" s="158">
        <f>SUM(D33:D34)</f>
        <v>10153960</v>
      </c>
      <c r="E35" s="158">
        <f>+D35-C35</f>
        <v>2024709</v>
      </c>
      <c r="F35" s="159">
        <f>IF(C35=0,0,E35/C35)</f>
        <v>0.24906464322481861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1099226</v>
      </c>
      <c r="D38" s="157">
        <v>1053419</v>
      </c>
      <c r="E38" s="157">
        <f>+D38-C38</f>
        <v>-45807</v>
      </c>
      <c r="F38" s="161">
        <f>IF(C38=0,0,E38/C38)</f>
        <v>-4.1672049241921132E-2</v>
      </c>
    </row>
    <row r="39" spans="1:6" ht="15" customHeight="1" x14ac:dyDescent="0.2">
      <c r="A39" s="147">
        <v>2</v>
      </c>
      <c r="B39" s="160" t="s">
        <v>178</v>
      </c>
      <c r="C39" s="157">
        <v>1798820</v>
      </c>
      <c r="D39" s="157">
        <v>1247018</v>
      </c>
      <c r="E39" s="157">
        <f>+D39-C39</f>
        <v>-551802</v>
      </c>
      <c r="F39" s="161">
        <f>IF(C39=0,0,E39/C39)</f>
        <v>-0.30675776342268823</v>
      </c>
    </row>
    <row r="40" spans="1:6" ht="15" customHeight="1" x14ac:dyDescent="0.2">
      <c r="A40" s="147">
        <v>3</v>
      </c>
      <c r="B40" s="160" t="s">
        <v>179</v>
      </c>
      <c r="C40" s="157">
        <v>183981</v>
      </c>
      <c r="D40" s="157">
        <v>13949</v>
      </c>
      <c r="E40" s="157">
        <f>+D40-C40</f>
        <v>-170032</v>
      </c>
      <c r="F40" s="161">
        <f>IF(C40=0,0,E40/C40)</f>
        <v>-0.92418238839880207</v>
      </c>
    </row>
    <row r="41" spans="1:6" ht="15.75" customHeight="1" x14ac:dyDescent="0.25">
      <c r="A41" s="147"/>
      <c r="B41" s="162" t="s">
        <v>180</v>
      </c>
      <c r="C41" s="158">
        <f>SUM(C38:C40)</f>
        <v>3082027</v>
      </c>
      <c r="D41" s="158">
        <f>SUM(D38:D40)</f>
        <v>2314386</v>
      </c>
      <c r="E41" s="158">
        <f>+D41-C41</f>
        <v>-767641</v>
      </c>
      <c r="F41" s="159">
        <f>IF(C41=0,0,E41/C41)</f>
        <v>-0.24907017362274891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1408245</v>
      </c>
      <c r="D47" s="157">
        <v>1459503</v>
      </c>
      <c r="E47" s="157">
        <f>+D47-C47</f>
        <v>51258</v>
      </c>
      <c r="F47" s="161">
        <f>IF(C47=0,0,E47/C47)</f>
        <v>3.6398496000340848E-2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649270</v>
      </c>
      <c r="D50" s="157">
        <v>1129342</v>
      </c>
      <c r="E50" s="157">
        <f>+D50-C50</f>
        <v>480072</v>
      </c>
      <c r="F50" s="161">
        <f>IF(C50=0,0,E50/C50)</f>
        <v>0.73940271381705602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29368</v>
      </c>
      <c r="D53" s="157">
        <v>29402</v>
      </c>
      <c r="E53" s="157">
        <f t="shared" ref="E53:E59" si="0">+D53-C53</f>
        <v>34</v>
      </c>
      <c r="F53" s="161">
        <f t="shared" ref="F53:F59" si="1">IF(C53=0,0,E53/C53)</f>
        <v>1.1577226913647507E-3</v>
      </c>
    </row>
    <row r="54" spans="1:6" ht="15" customHeight="1" x14ac:dyDescent="0.2">
      <c r="A54" s="147">
        <v>2</v>
      </c>
      <c r="B54" s="160" t="s">
        <v>189</v>
      </c>
      <c r="C54" s="157">
        <v>31846</v>
      </c>
      <c r="D54" s="157">
        <v>29953</v>
      </c>
      <c r="E54" s="157">
        <f t="shared" si="0"/>
        <v>-1893</v>
      </c>
      <c r="F54" s="161">
        <f t="shared" si="1"/>
        <v>-5.9442316146454816E-2</v>
      </c>
    </row>
    <row r="55" spans="1:6" ht="15" customHeight="1" x14ac:dyDescent="0.2">
      <c r="A55" s="147">
        <v>3</v>
      </c>
      <c r="B55" s="160" t="s">
        <v>190</v>
      </c>
      <c r="C55" s="157">
        <v>699727</v>
      </c>
      <c r="D55" s="157">
        <v>726777</v>
      </c>
      <c r="E55" s="157">
        <f t="shared" si="0"/>
        <v>27050</v>
      </c>
      <c r="F55" s="161">
        <f t="shared" si="1"/>
        <v>3.865793373701458E-2</v>
      </c>
    </row>
    <row r="56" spans="1:6" ht="15" customHeight="1" x14ac:dyDescent="0.2">
      <c r="A56" s="147">
        <v>4</v>
      </c>
      <c r="B56" s="160" t="s">
        <v>191</v>
      </c>
      <c r="C56" s="157">
        <v>751283</v>
      </c>
      <c r="D56" s="157">
        <v>779438</v>
      </c>
      <c r="E56" s="157">
        <f t="shared" si="0"/>
        <v>28155</v>
      </c>
      <c r="F56" s="161">
        <f t="shared" si="1"/>
        <v>3.7475891242048601E-2</v>
      </c>
    </row>
    <row r="57" spans="1:6" ht="15" customHeight="1" x14ac:dyDescent="0.2">
      <c r="A57" s="147">
        <v>5</v>
      </c>
      <c r="B57" s="160" t="s">
        <v>192</v>
      </c>
      <c r="C57" s="157">
        <v>206512</v>
      </c>
      <c r="D57" s="157">
        <v>198688</v>
      </c>
      <c r="E57" s="157">
        <f t="shared" si="0"/>
        <v>-7824</v>
      </c>
      <c r="F57" s="161">
        <f t="shared" si="1"/>
        <v>-3.7886418222669867E-2</v>
      </c>
    </row>
    <row r="58" spans="1:6" ht="15" customHeight="1" x14ac:dyDescent="0.2">
      <c r="A58" s="147">
        <v>6</v>
      </c>
      <c r="B58" s="160" t="s">
        <v>193</v>
      </c>
      <c r="C58" s="157">
        <v>89078</v>
      </c>
      <c r="D58" s="157">
        <v>84681</v>
      </c>
      <c r="E58" s="157">
        <f t="shared" si="0"/>
        <v>-4397</v>
      </c>
      <c r="F58" s="161">
        <f t="shared" si="1"/>
        <v>-4.9361233974718789E-2</v>
      </c>
    </row>
    <row r="59" spans="1:6" ht="15.75" customHeight="1" x14ac:dyDescent="0.25">
      <c r="A59" s="147"/>
      <c r="B59" s="162" t="s">
        <v>194</v>
      </c>
      <c r="C59" s="158">
        <f>SUM(C53:C58)</f>
        <v>1807814</v>
      </c>
      <c r="D59" s="158">
        <f>SUM(D53:D58)</f>
        <v>1848939</v>
      </c>
      <c r="E59" s="158">
        <f t="shared" si="0"/>
        <v>41125</v>
      </c>
      <c r="F59" s="159">
        <f t="shared" si="1"/>
        <v>2.2748468592454756E-2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88995</v>
      </c>
      <c r="D62" s="157">
        <v>90565</v>
      </c>
      <c r="E62" s="157">
        <f t="shared" ref="E62:E90" si="2">+D62-C62</f>
        <v>1570</v>
      </c>
      <c r="F62" s="161">
        <f t="shared" ref="F62:F90" si="3">IF(C62=0,0,E62/C62)</f>
        <v>1.7641440530366873E-2</v>
      </c>
    </row>
    <row r="63" spans="1:6" ht="15" customHeight="1" x14ac:dyDescent="0.2">
      <c r="A63" s="147">
        <v>2</v>
      </c>
      <c r="B63" s="160" t="s">
        <v>198</v>
      </c>
      <c r="C63" s="157">
        <v>557738</v>
      </c>
      <c r="D63" s="157">
        <v>1014187</v>
      </c>
      <c r="E63" s="157">
        <f t="shared" si="2"/>
        <v>456449</v>
      </c>
      <c r="F63" s="161">
        <f t="shared" si="3"/>
        <v>0.81839322405860815</v>
      </c>
    </row>
    <row r="64" spans="1:6" ht="15" customHeight="1" x14ac:dyDescent="0.2">
      <c r="A64" s="147">
        <v>3</v>
      </c>
      <c r="B64" s="160" t="s">
        <v>199</v>
      </c>
      <c r="C64" s="157">
        <v>486831</v>
      </c>
      <c r="D64" s="157">
        <v>938003</v>
      </c>
      <c r="E64" s="157">
        <f t="shared" si="2"/>
        <v>451172</v>
      </c>
      <c r="F64" s="161">
        <f t="shared" si="3"/>
        <v>0.92675281565882206</v>
      </c>
    </row>
    <row r="65" spans="1:6" ht="15" customHeight="1" x14ac:dyDescent="0.2">
      <c r="A65" s="147">
        <v>4</v>
      </c>
      <c r="B65" s="160" t="s">
        <v>200</v>
      </c>
      <c r="C65" s="157">
        <v>198877</v>
      </c>
      <c r="D65" s="157">
        <v>195642</v>
      </c>
      <c r="E65" s="157">
        <f t="shared" si="2"/>
        <v>-3235</v>
      </c>
      <c r="F65" s="161">
        <f t="shared" si="3"/>
        <v>-1.6266335473684741E-2</v>
      </c>
    </row>
    <row r="66" spans="1:6" ht="15" customHeight="1" x14ac:dyDescent="0.2">
      <c r="A66" s="147">
        <v>5</v>
      </c>
      <c r="B66" s="160" t="s">
        <v>201</v>
      </c>
      <c r="C66" s="157">
        <v>855267</v>
      </c>
      <c r="D66" s="157">
        <v>689217</v>
      </c>
      <c r="E66" s="157">
        <f t="shared" si="2"/>
        <v>-166050</v>
      </c>
      <c r="F66" s="161">
        <f t="shared" si="3"/>
        <v>-0.19414989704969327</v>
      </c>
    </row>
    <row r="67" spans="1:6" ht="15" customHeight="1" x14ac:dyDescent="0.2">
      <c r="A67" s="147">
        <v>6</v>
      </c>
      <c r="B67" s="160" t="s">
        <v>202</v>
      </c>
      <c r="C67" s="157">
        <v>813973</v>
      </c>
      <c r="D67" s="157">
        <v>783147</v>
      </c>
      <c r="E67" s="157">
        <f t="shared" si="2"/>
        <v>-30826</v>
      </c>
      <c r="F67" s="161">
        <f t="shared" si="3"/>
        <v>-3.7871035034331604E-2</v>
      </c>
    </row>
    <row r="68" spans="1:6" ht="15" customHeight="1" x14ac:dyDescent="0.2">
      <c r="A68" s="147">
        <v>7</v>
      </c>
      <c r="B68" s="160" t="s">
        <v>203</v>
      </c>
      <c r="C68" s="157">
        <v>490553</v>
      </c>
      <c r="D68" s="157">
        <v>406186</v>
      </c>
      <c r="E68" s="157">
        <f t="shared" si="2"/>
        <v>-84367</v>
      </c>
      <c r="F68" s="161">
        <f t="shared" si="3"/>
        <v>-0.17198345540644946</v>
      </c>
    </row>
    <row r="69" spans="1:6" ht="15" customHeight="1" x14ac:dyDescent="0.2">
      <c r="A69" s="147">
        <v>8</v>
      </c>
      <c r="B69" s="160" t="s">
        <v>204</v>
      </c>
      <c r="C69" s="157">
        <v>169173</v>
      </c>
      <c r="D69" s="157">
        <v>156315</v>
      </c>
      <c r="E69" s="157">
        <f t="shared" si="2"/>
        <v>-12858</v>
      </c>
      <c r="F69" s="161">
        <f t="shared" si="3"/>
        <v>-7.6005036264652159E-2</v>
      </c>
    </row>
    <row r="70" spans="1:6" ht="15" customHeight="1" x14ac:dyDescent="0.2">
      <c r="A70" s="147">
        <v>9</v>
      </c>
      <c r="B70" s="160" t="s">
        <v>205</v>
      </c>
      <c r="C70" s="157">
        <v>35841</v>
      </c>
      <c r="D70" s="157">
        <v>3774</v>
      </c>
      <c r="E70" s="157">
        <f t="shared" si="2"/>
        <v>-32067</v>
      </c>
      <c r="F70" s="161">
        <f t="shared" si="3"/>
        <v>-0.89470159872771404</v>
      </c>
    </row>
    <row r="71" spans="1:6" ht="15" customHeight="1" x14ac:dyDescent="0.2">
      <c r="A71" s="147">
        <v>10</v>
      </c>
      <c r="B71" s="160" t="s">
        <v>206</v>
      </c>
      <c r="C71" s="157">
        <v>8539</v>
      </c>
      <c r="D71" s="157">
        <v>6053</v>
      </c>
      <c r="E71" s="157">
        <f t="shared" si="2"/>
        <v>-2486</v>
      </c>
      <c r="F71" s="161">
        <f t="shared" si="3"/>
        <v>-0.29113479330132336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190428</v>
      </c>
      <c r="D73" s="157">
        <v>325343</v>
      </c>
      <c r="E73" s="157">
        <f t="shared" si="2"/>
        <v>134915</v>
      </c>
      <c r="F73" s="161">
        <f t="shared" si="3"/>
        <v>0.70848299619803812</v>
      </c>
    </row>
    <row r="74" spans="1:6" ht="15" customHeight="1" x14ac:dyDescent="0.2">
      <c r="A74" s="147">
        <v>13</v>
      </c>
      <c r="B74" s="160" t="s">
        <v>209</v>
      </c>
      <c r="C74" s="157">
        <v>25522</v>
      </c>
      <c r="D74" s="157">
        <v>19491</v>
      </c>
      <c r="E74" s="157">
        <f t="shared" si="2"/>
        <v>-6031</v>
      </c>
      <c r="F74" s="161">
        <f t="shared" si="3"/>
        <v>-0.23630593213697987</v>
      </c>
    </row>
    <row r="75" spans="1:6" ht="15" customHeight="1" x14ac:dyDescent="0.2">
      <c r="A75" s="147">
        <v>14</v>
      </c>
      <c r="B75" s="160" t="s">
        <v>210</v>
      </c>
      <c r="C75" s="157">
        <v>80282</v>
      </c>
      <c r="D75" s="157">
        <v>92575</v>
      </c>
      <c r="E75" s="157">
        <f t="shared" si="2"/>
        <v>12293</v>
      </c>
      <c r="F75" s="161">
        <f t="shared" si="3"/>
        <v>0.15312274233327519</v>
      </c>
    </row>
    <row r="76" spans="1:6" ht="15" customHeight="1" x14ac:dyDescent="0.2">
      <c r="A76" s="147">
        <v>15</v>
      </c>
      <c r="B76" s="160" t="s">
        <v>211</v>
      </c>
      <c r="C76" s="157">
        <v>92199</v>
      </c>
      <c r="D76" s="157">
        <v>102909</v>
      </c>
      <c r="E76" s="157">
        <f t="shared" si="2"/>
        <v>10710</v>
      </c>
      <c r="F76" s="161">
        <f t="shared" si="3"/>
        <v>0.11616178049653467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911987</v>
      </c>
      <c r="D78" s="157">
        <v>932258</v>
      </c>
      <c r="E78" s="157">
        <f t="shared" si="2"/>
        <v>20271</v>
      </c>
      <c r="F78" s="161">
        <f t="shared" si="3"/>
        <v>2.2227290520588562E-2</v>
      </c>
    </row>
    <row r="79" spans="1:6" ht="15" customHeight="1" x14ac:dyDescent="0.2">
      <c r="A79" s="147">
        <v>18</v>
      </c>
      <c r="B79" s="160" t="s">
        <v>214</v>
      </c>
      <c r="C79" s="157">
        <v>66101</v>
      </c>
      <c r="D79" s="157">
        <v>92324</v>
      </c>
      <c r="E79" s="157">
        <f t="shared" si="2"/>
        <v>26223</v>
      </c>
      <c r="F79" s="161">
        <f t="shared" si="3"/>
        <v>0.39671109362944584</v>
      </c>
    </row>
    <row r="80" spans="1:6" ht="15" customHeight="1" x14ac:dyDescent="0.2">
      <c r="A80" s="147">
        <v>19</v>
      </c>
      <c r="B80" s="160" t="s">
        <v>215</v>
      </c>
      <c r="C80" s="157">
        <v>282223</v>
      </c>
      <c r="D80" s="157">
        <v>292206</v>
      </c>
      <c r="E80" s="157">
        <f t="shared" si="2"/>
        <v>9983</v>
      </c>
      <c r="F80" s="161">
        <f t="shared" si="3"/>
        <v>3.5372737161747977E-2</v>
      </c>
    </row>
    <row r="81" spans="1:6" ht="15" customHeight="1" x14ac:dyDescent="0.2">
      <c r="A81" s="147">
        <v>20</v>
      </c>
      <c r="B81" s="160" t="s">
        <v>216</v>
      </c>
      <c r="C81" s="157">
        <v>836799</v>
      </c>
      <c r="D81" s="157">
        <v>820907</v>
      </c>
      <c r="E81" s="157">
        <f t="shared" si="2"/>
        <v>-15892</v>
      </c>
      <c r="F81" s="161">
        <f t="shared" si="3"/>
        <v>-1.8991418488788825E-2</v>
      </c>
    </row>
    <row r="82" spans="1:6" ht="15" customHeight="1" x14ac:dyDescent="0.2">
      <c r="A82" s="147">
        <v>21</v>
      </c>
      <c r="B82" s="160" t="s">
        <v>217</v>
      </c>
      <c r="C82" s="157">
        <v>741577</v>
      </c>
      <c r="D82" s="157">
        <v>665971</v>
      </c>
      <c r="E82" s="157">
        <f t="shared" si="2"/>
        <v>-75606</v>
      </c>
      <c r="F82" s="161">
        <f t="shared" si="3"/>
        <v>-0.10195300016046883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275445</v>
      </c>
      <c r="D84" s="157">
        <v>189479</v>
      </c>
      <c r="E84" s="157">
        <f t="shared" si="2"/>
        <v>-85966</v>
      </c>
      <c r="F84" s="161">
        <f t="shared" si="3"/>
        <v>-0.31209860407703899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140866</v>
      </c>
      <c r="D86" s="157">
        <v>185239</v>
      </c>
      <c r="E86" s="157">
        <f t="shared" si="2"/>
        <v>44373</v>
      </c>
      <c r="F86" s="161">
        <f t="shared" si="3"/>
        <v>0.31500149077847034</v>
      </c>
    </row>
    <row r="87" spans="1:6" ht="15" customHeight="1" x14ac:dyDescent="0.2">
      <c r="A87" s="147">
        <v>26</v>
      </c>
      <c r="B87" s="160" t="s">
        <v>222</v>
      </c>
      <c r="C87" s="157">
        <v>747468</v>
      </c>
      <c r="D87" s="157">
        <v>738126</v>
      </c>
      <c r="E87" s="157">
        <f t="shared" si="2"/>
        <v>-9342</v>
      </c>
      <c r="F87" s="161">
        <f t="shared" si="3"/>
        <v>-1.2498193902615229E-2</v>
      </c>
    </row>
    <row r="88" spans="1:6" ht="15" customHeight="1" x14ac:dyDescent="0.2">
      <c r="A88" s="147">
        <v>27</v>
      </c>
      <c r="B88" s="160" t="s">
        <v>223</v>
      </c>
      <c r="C88" s="157">
        <v>634655</v>
      </c>
      <c r="D88" s="157">
        <v>644535</v>
      </c>
      <c r="E88" s="157">
        <f t="shared" si="2"/>
        <v>9880</v>
      </c>
      <c r="F88" s="161">
        <f t="shared" si="3"/>
        <v>1.5567513058275756E-2</v>
      </c>
    </row>
    <row r="89" spans="1:6" ht="15" customHeight="1" x14ac:dyDescent="0.2">
      <c r="A89" s="147">
        <v>28</v>
      </c>
      <c r="B89" s="160" t="s">
        <v>224</v>
      </c>
      <c r="C89" s="157">
        <v>3660775</v>
      </c>
      <c r="D89" s="157">
        <v>4890829</v>
      </c>
      <c r="E89" s="157">
        <f t="shared" si="2"/>
        <v>1230054</v>
      </c>
      <c r="F89" s="161">
        <f t="shared" si="3"/>
        <v>0.33600917838435851</v>
      </c>
    </row>
    <row r="90" spans="1:6" ht="15.75" customHeight="1" x14ac:dyDescent="0.25">
      <c r="A90" s="147"/>
      <c r="B90" s="162" t="s">
        <v>225</v>
      </c>
      <c r="C90" s="158">
        <f>SUM(C62:C89)</f>
        <v>12392114</v>
      </c>
      <c r="D90" s="158">
        <f>SUM(D62:D89)</f>
        <v>14275281</v>
      </c>
      <c r="E90" s="158">
        <f t="shared" si="2"/>
        <v>1883167</v>
      </c>
      <c r="F90" s="159">
        <f t="shared" si="3"/>
        <v>0.15196495125851811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297394</v>
      </c>
      <c r="D93" s="157">
        <v>299442</v>
      </c>
      <c r="E93" s="157">
        <f>+D93-C93</f>
        <v>2048</v>
      </c>
      <c r="F93" s="161">
        <f>IF(C93=0,0,E93/C93)</f>
        <v>6.8864872862263527E-3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63578052</v>
      </c>
      <c r="D95" s="158">
        <f>+D93+D90+D59+D50+D47+D44+D41+D35+D30+D24+D18</f>
        <v>66456723</v>
      </c>
      <c r="E95" s="158">
        <f>+D95-C95</f>
        <v>2878671</v>
      </c>
      <c r="F95" s="159">
        <f>IF(C95=0,0,E95/C95)</f>
        <v>4.5277747735963977E-2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6357098</v>
      </c>
      <c r="D103" s="157">
        <v>7766174</v>
      </c>
      <c r="E103" s="157">
        <f t="shared" ref="E103:E121" si="4">D103-C103</f>
        <v>1409076</v>
      </c>
      <c r="F103" s="161">
        <f t="shared" ref="F103:F121" si="5">IF(C103=0,0,E103/C103)</f>
        <v>0.22165396852463184</v>
      </c>
    </row>
    <row r="104" spans="1:6" ht="15" customHeight="1" x14ac:dyDescent="0.2">
      <c r="A104" s="147">
        <v>2</v>
      </c>
      <c r="B104" s="169" t="s">
        <v>234</v>
      </c>
      <c r="C104" s="157">
        <v>641636</v>
      </c>
      <c r="D104" s="157">
        <v>601621</v>
      </c>
      <c r="E104" s="157">
        <f t="shared" si="4"/>
        <v>-40015</v>
      </c>
      <c r="F104" s="161">
        <f t="shared" si="5"/>
        <v>-6.2364019475216477E-2</v>
      </c>
    </row>
    <row r="105" spans="1:6" ht="15" customHeight="1" x14ac:dyDescent="0.2">
      <c r="A105" s="147">
        <v>3</v>
      </c>
      <c r="B105" s="169" t="s">
        <v>235</v>
      </c>
      <c r="C105" s="157">
        <v>1135091</v>
      </c>
      <c r="D105" s="157">
        <v>1169076</v>
      </c>
      <c r="E105" s="157">
        <f t="shared" si="4"/>
        <v>33985</v>
      </c>
      <c r="F105" s="161">
        <f t="shared" si="5"/>
        <v>2.9940330775241809E-2</v>
      </c>
    </row>
    <row r="106" spans="1:6" ht="15" customHeight="1" x14ac:dyDescent="0.2">
      <c r="A106" s="147">
        <v>4</v>
      </c>
      <c r="B106" s="169" t="s">
        <v>236</v>
      </c>
      <c r="C106" s="157">
        <v>849811</v>
      </c>
      <c r="D106" s="157">
        <v>813653</v>
      </c>
      <c r="E106" s="157">
        <f t="shared" si="4"/>
        <v>-36158</v>
      </c>
      <c r="F106" s="161">
        <f t="shared" si="5"/>
        <v>-4.2548284265560225E-2</v>
      </c>
    </row>
    <row r="107" spans="1:6" ht="15" customHeight="1" x14ac:dyDescent="0.2">
      <c r="A107" s="147">
        <v>5</v>
      </c>
      <c r="B107" s="169" t="s">
        <v>237</v>
      </c>
      <c r="C107" s="157">
        <v>1499147</v>
      </c>
      <c r="D107" s="157">
        <v>1515757</v>
      </c>
      <c r="E107" s="157">
        <f t="shared" si="4"/>
        <v>16610</v>
      </c>
      <c r="F107" s="161">
        <f t="shared" si="5"/>
        <v>1.1079633951840613E-2</v>
      </c>
    </row>
    <row r="108" spans="1:6" ht="15" customHeight="1" x14ac:dyDescent="0.2">
      <c r="A108" s="147">
        <v>6</v>
      </c>
      <c r="B108" s="169" t="s">
        <v>238</v>
      </c>
      <c r="C108" s="157">
        <v>184340</v>
      </c>
      <c r="D108" s="157">
        <v>151091</v>
      </c>
      <c r="E108" s="157">
        <f t="shared" si="4"/>
        <v>-33249</v>
      </c>
      <c r="F108" s="161">
        <f t="shared" si="5"/>
        <v>-0.18036779863296085</v>
      </c>
    </row>
    <row r="109" spans="1:6" ht="15" customHeight="1" x14ac:dyDescent="0.2">
      <c r="A109" s="147">
        <v>7</v>
      </c>
      <c r="B109" s="169" t="s">
        <v>239</v>
      </c>
      <c r="C109" s="157">
        <v>6886655</v>
      </c>
      <c r="D109" s="157">
        <v>6353574</v>
      </c>
      <c r="E109" s="157">
        <f t="shared" si="4"/>
        <v>-533081</v>
      </c>
      <c r="F109" s="161">
        <f t="shared" si="5"/>
        <v>-7.7407827167180587E-2</v>
      </c>
    </row>
    <row r="110" spans="1:6" ht="15" customHeight="1" x14ac:dyDescent="0.2">
      <c r="A110" s="147">
        <v>8</v>
      </c>
      <c r="B110" s="169" t="s">
        <v>240</v>
      </c>
      <c r="C110" s="157">
        <v>104740</v>
      </c>
      <c r="D110" s="157">
        <v>45100</v>
      </c>
      <c r="E110" s="157">
        <f t="shared" si="4"/>
        <v>-59640</v>
      </c>
      <c r="F110" s="161">
        <f t="shared" si="5"/>
        <v>-0.56940996753866713</v>
      </c>
    </row>
    <row r="111" spans="1:6" ht="15" customHeight="1" x14ac:dyDescent="0.2">
      <c r="A111" s="147">
        <v>9</v>
      </c>
      <c r="B111" s="169" t="s">
        <v>241</v>
      </c>
      <c r="C111" s="157">
        <v>277303</v>
      </c>
      <c r="D111" s="157">
        <v>311169</v>
      </c>
      <c r="E111" s="157">
        <f t="shared" si="4"/>
        <v>33866</v>
      </c>
      <c r="F111" s="161">
        <f t="shared" si="5"/>
        <v>0.12212633833748643</v>
      </c>
    </row>
    <row r="112" spans="1:6" ht="15" customHeight="1" x14ac:dyDescent="0.2">
      <c r="A112" s="147">
        <v>10</v>
      </c>
      <c r="B112" s="169" t="s">
        <v>242</v>
      </c>
      <c r="C112" s="157">
        <v>775747</v>
      </c>
      <c r="D112" s="157">
        <v>982371</v>
      </c>
      <c r="E112" s="157">
        <f t="shared" si="4"/>
        <v>206624</v>
      </c>
      <c r="F112" s="161">
        <f t="shared" si="5"/>
        <v>0.26635488116615341</v>
      </c>
    </row>
    <row r="113" spans="1:6" ht="15" customHeight="1" x14ac:dyDescent="0.2">
      <c r="A113" s="147">
        <v>11</v>
      </c>
      <c r="B113" s="169" t="s">
        <v>243</v>
      </c>
      <c r="C113" s="157">
        <v>680851</v>
      </c>
      <c r="D113" s="157">
        <v>728985</v>
      </c>
      <c r="E113" s="157">
        <f t="shared" si="4"/>
        <v>48134</v>
      </c>
      <c r="F113" s="161">
        <f t="shared" si="5"/>
        <v>7.0696819127826799E-2</v>
      </c>
    </row>
    <row r="114" spans="1:6" ht="15" customHeight="1" x14ac:dyDescent="0.2">
      <c r="A114" s="147">
        <v>12</v>
      </c>
      <c r="B114" s="169" t="s">
        <v>244</v>
      </c>
      <c r="C114" s="157">
        <v>277900</v>
      </c>
      <c r="D114" s="157">
        <v>190892</v>
      </c>
      <c r="E114" s="157">
        <f t="shared" si="4"/>
        <v>-87008</v>
      </c>
      <c r="F114" s="161">
        <f t="shared" si="5"/>
        <v>-0.31309103994242532</v>
      </c>
    </row>
    <row r="115" spans="1:6" ht="15" customHeight="1" x14ac:dyDescent="0.2">
      <c r="A115" s="147">
        <v>13</v>
      </c>
      <c r="B115" s="169" t="s">
        <v>245</v>
      </c>
      <c r="C115" s="157">
        <v>1882207</v>
      </c>
      <c r="D115" s="157">
        <v>1787786</v>
      </c>
      <c r="E115" s="157">
        <f t="shared" si="4"/>
        <v>-94421</v>
      </c>
      <c r="F115" s="161">
        <f t="shared" si="5"/>
        <v>-5.0165045608692352E-2</v>
      </c>
    </row>
    <row r="116" spans="1:6" ht="15" customHeight="1" x14ac:dyDescent="0.2">
      <c r="A116" s="147">
        <v>14</v>
      </c>
      <c r="B116" s="169" t="s">
        <v>246</v>
      </c>
      <c r="C116" s="157">
        <v>171189</v>
      </c>
      <c r="D116" s="157">
        <v>185337</v>
      </c>
      <c r="E116" s="157">
        <f t="shared" si="4"/>
        <v>14148</v>
      </c>
      <c r="F116" s="161">
        <f t="shared" si="5"/>
        <v>8.2645497082172337E-2</v>
      </c>
    </row>
    <row r="117" spans="1:6" ht="15" customHeight="1" x14ac:dyDescent="0.2">
      <c r="A117" s="147">
        <v>15</v>
      </c>
      <c r="B117" s="169" t="s">
        <v>203</v>
      </c>
      <c r="C117" s="157">
        <v>1046232</v>
      </c>
      <c r="D117" s="157">
        <v>1130752</v>
      </c>
      <c r="E117" s="157">
        <f t="shared" si="4"/>
        <v>84520</v>
      </c>
      <c r="F117" s="161">
        <f t="shared" si="5"/>
        <v>8.0785141345323025E-2</v>
      </c>
    </row>
    <row r="118" spans="1:6" ht="15" customHeight="1" x14ac:dyDescent="0.2">
      <c r="A118" s="147">
        <v>16</v>
      </c>
      <c r="B118" s="169" t="s">
        <v>247</v>
      </c>
      <c r="C118" s="157">
        <v>186753</v>
      </c>
      <c r="D118" s="157">
        <v>157045</v>
      </c>
      <c r="E118" s="157">
        <f t="shared" si="4"/>
        <v>-29708</v>
      </c>
      <c r="F118" s="161">
        <f t="shared" si="5"/>
        <v>-0.159076427152442</v>
      </c>
    </row>
    <row r="119" spans="1:6" ht="15" customHeight="1" x14ac:dyDescent="0.2">
      <c r="A119" s="147">
        <v>17</v>
      </c>
      <c r="B119" s="169" t="s">
        <v>248</v>
      </c>
      <c r="C119" s="157">
        <v>5073363</v>
      </c>
      <c r="D119" s="157">
        <v>6825308</v>
      </c>
      <c r="E119" s="157">
        <f t="shared" si="4"/>
        <v>1751945</v>
      </c>
      <c r="F119" s="161">
        <f t="shared" si="5"/>
        <v>0.34532222511970856</v>
      </c>
    </row>
    <row r="120" spans="1:6" ht="15" customHeight="1" x14ac:dyDescent="0.2">
      <c r="A120" s="147">
        <v>18</v>
      </c>
      <c r="B120" s="169" t="s">
        <v>249</v>
      </c>
      <c r="C120" s="157">
        <v>4279512</v>
      </c>
      <c r="D120" s="157">
        <v>4566727</v>
      </c>
      <c r="E120" s="157">
        <f t="shared" si="4"/>
        <v>287215</v>
      </c>
      <c r="F120" s="161">
        <f t="shared" si="5"/>
        <v>6.7113960657196423E-2</v>
      </c>
    </row>
    <row r="121" spans="1:6" ht="15.75" customHeight="1" x14ac:dyDescent="0.25">
      <c r="A121" s="147"/>
      <c r="B121" s="165" t="s">
        <v>250</v>
      </c>
      <c r="C121" s="158">
        <f>SUM(C103:C120)</f>
        <v>32309575</v>
      </c>
      <c r="D121" s="158">
        <f>SUM(D103:D120)</f>
        <v>35282418</v>
      </c>
      <c r="E121" s="158">
        <f t="shared" si="4"/>
        <v>2972843</v>
      </c>
      <c r="F121" s="159">
        <f t="shared" si="5"/>
        <v>9.2011207204056381E-2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950070</v>
      </c>
      <c r="D124" s="157">
        <v>1105201</v>
      </c>
      <c r="E124" s="157">
        <f t="shared" ref="E124:E130" si="6">D124-C124</f>
        <v>155131</v>
      </c>
      <c r="F124" s="161">
        <f t="shared" ref="F124:F130" si="7">IF(C124=0,0,E124/C124)</f>
        <v>0.16328375803888134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691682</v>
      </c>
      <c r="D126" s="157">
        <v>584096</v>
      </c>
      <c r="E126" s="157">
        <f t="shared" si="6"/>
        <v>-107586</v>
      </c>
      <c r="F126" s="161">
        <f t="shared" si="7"/>
        <v>-0.15554257592361809</v>
      </c>
    </row>
    <row r="127" spans="1:6" ht="15" customHeight="1" x14ac:dyDescent="0.2">
      <c r="A127" s="147">
        <v>4</v>
      </c>
      <c r="B127" s="169" t="s">
        <v>255</v>
      </c>
      <c r="C127" s="157">
        <v>943165</v>
      </c>
      <c r="D127" s="157">
        <v>830555</v>
      </c>
      <c r="E127" s="157">
        <f t="shared" si="6"/>
        <v>-112610</v>
      </c>
      <c r="F127" s="161">
        <f t="shared" si="7"/>
        <v>-0.11939586392624832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2584917</v>
      </c>
      <c r="D130" s="158">
        <f>SUM(D124:D129)</f>
        <v>2519852</v>
      </c>
      <c r="E130" s="158">
        <f t="shared" si="6"/>
        <v>-65065</v>
      </c>
      <c r="F130" s="159">
        <f t="shared" si="7"/>
        <v>-2.517102096508321E-2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1542168</v>
      </c>
      <c r="D133" s="157">
        <v>1593283</v>
      </c>
      <c r="E133" s="157">
        <f t="shared" ref="E133:E167" si="8">D133-C133</f>
        <v>51115</v>
      </c>
      <c r="F133" s="161">
        <f t="shared" ref="F133:F167" si="9">IF(C133=0,0,E133/C133)</f>
        <v>3.3144897313392575E-2</v>
      </c>
    </row>
    <row r="134" spans="1:6" ht="15" customHeight="1" x14ac:dyDescent="0.2">
      <c r="A134" s="147">
        <v>2</v>
      </c>
      <c r="B134" s="169" t="s">
        <v>261</v>
      </c>
      <c r="C134" s="157">
        <v>317015</v>
      </c>
      <c r="D134" s="157">
        <v>292338</v>
      </c>
      <c r="E134" s="157">
        <f t="shared" si="8"/>
        <v>-24677</v>
      </c>
      <c r="F134" s="161">
        <f t="shared" si="9"/>
        <v>-7.7841742504297901E-2</v>
      </c>
    </row>
    <row r="135" spans="1:6" ht="15" customHeight="1" x14ac:dyDescent="0.2">
      <c r="A135" s="147">
        <v>3</v>
      </c>
      <c r="B135" s="169" t="s">
        <v>262</v>
      </c>
      <c r="C135" s="157">
        <v>584573</v>
      </c>
      <c r="D135" s="157">
        <v>627802</v>
      </c>
      <c r="E135" s="157">
        <f t="shared" si="8"/>
        <v>43229</v>
      </c>
      <c r="F135" s="161">
        <f t="shared" si="9"/>
        <v>7.3949703458763921E-2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2086259</v>
      </c>
      <c r="D137" s="157">
        <v>1856787</v>
      </c>
      <c r="E137" s="157">
        <f t="shared" si="8"/>
        <v>-229472</v>
      </c>
      <c r="F137" s="161">
        <f t="shared" si="9"/>
        <v>-0.10999209589988587</v>
      </c>
    </row>
    <row r="138" spans="1:6" ht="15" customHeight="1" x14ac:dyDescent="0.2">
      <c r="A138" s="147">
        <v>6</v>
      </c>
      <c r="B138" s="169" t="s">
        <v>265</v>
      </c>
      <c r="C138" s="157">
        <v>297744</v>
      </c>
      <c r="D138" s="157">
        <v>292916</v>
      </c>
      <c r="E138" s="157">
        <f t="shared" si="8"/>
        <v>-4828</v>
      </c>
      <c r="F138" s="161">
        <f t="shared" si="9"/>
        <v>-1.6215272180127895E-2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372056</v>
      </c>
      <c r="D140" s="157">
        <v>378264</v>
      </c>
      <c r="E140" s="157">
        <f t="shared" si="8"/>
        <v>6208</v>
      </c>
      <c r="F140" s="161">
        <f t="shared" si="9"/>
        <v>1.6685660223192209E-2</v>
      </c>
    </row>
    <row r="141" spans="1:6" ht="15" customHeight="1" x14ac:dyDescent="0.2">
      <c r="A141" s="147">
        <v>9</v>
      </c>
      <c r="B141" s="169" t="s">
        <v>268</v>
      </c>
      <c r="C141" s="157">
        <v>372782</v>
      </c>
      <c r="D141" s="157">
        <v>346255</v>
      </c>
      <c r="E141" s="157">
        <f t="shared" si="8"/>
        <v>-26527</v>
      </c>
      <c r="F141" s="161">
        <f t="shared" si="9"/>
        <v>-7.1159551695092568E-2</v>
      </c>
    </row>
    <row r="142" spans="1:6" ht="15" customHeight="1" x14ac:dyDescent="0.2">
      <c r="A142" s="147">
        <v>10</v>
      </c>
      <c r="B142" s="169" t="s">
        <v>269</v>
      </c>
      <c r="C142" s="157">
        <v>3356317</v>
      </c>
      <c r="D142" s="157">
        <v>3313575</v>
      </c>
      <c r="E142" s="157">
        <f t="shared" si="8"/>
        <v>-42742</v>
      </c>
      <c r="F142" s="161">
        <f t="shared" si="9"/>
        <v>-1.2734792333382098E-2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271973</v>
      </c>
      <c r="D144" s="157">
        <v>368715</v>
      </c>
      <c r="E144" s="157">
        <f t="shared" si="8"/>
        <v>96742</v>
      </c>
      <c r="F144" s="161">
        <f t="shared" si="9"/>
        <v>0.35570442654234058</v>
      </c>
    </row>
    <row r="145" spans="1:6" ht="15" customHeight="1" x14ac:dyDescent="0.2">
      <c r="A145" s="147">
        <v>13</v>
      </c>
      <c r="B145" s="169" t="s">
        <v>272</v>
      </c>
      <c r="C145" s="157">
        <v>68199</v>
      </c>
      <c r="D145" s="157">
        <v>82796</v>
      </c>
      <c r="E145" s="157">
        <f t="shared" si="8"/>
        <v>14597</v>
      </c>
      <c r="F145" s="161">
        <f t="shared" si="9"/>
        <v>0.21403539641343713</v>
      </c>
    </row>
    <row r="146" spans="1:6" ht="15" customHeight="1" x14ac:dyDescent="0.2">
      <c r="A146" s="147">
        <v>14</v>
      </c>
      <c r="B146" s="169" t="s">
        <v>273</v>
      </c>
      <c r="C146" s="157">
        <v>19810</v>
      </c>
      <c r="D146" s="157">
        <v>17484</v>
      </c>
      <c r="E146" s="157">
        <f t="shared" si="8"/>
        <v>-2326</v>
      </c>
      <c r="F146" s="161">
        <f t="shared" si="9"/>
        <v>-0.11741544674406865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703567</v>
      </c>
      <c r="D150" s="157">
        <v>660885</v>
      </c>
      <c r="E150" s="157">
        <f t="shared" si="8"/>
        <v>-42682</v>
      </c>
      <c r="F150" s="161">
        <f t="shared" si="9"/>
        <v>-6.0665153425331207E-2</v>
      </c>
    </row>
    <row r="151" spans="1:6" ht="15" customHeight="1" x14ac:dyDescent="0.2">
      <c r="A151" s="147">
        <v>19</v>
      </c>
      <c r="B151" s="169" t="s">
        <v>278</v>
      </c>
      <c r="C151" s="157">
        <v>315586</v>
      </c>
      <c r="D151" s="157">
        <v>352059</v>
      </c>
      <c r="E151" s="157">
        <f t="shared" si="8"/>
        <v>36473</v>
      </c>
      <c r="F151" s="161">
        <f t="shared" si="9"/>
        <v>0.11557230041890325</v>
      </c>
    </row>
    <row r="152" spans="1:6" ht="15" customHeight="1" x14ac:dyDescent="0.2">
      <c r="A152" s="147">
        <v>20</v>
      </c>
      <c r="B152" s="169" t="s">
        <v>279</v>
      </c>
      <c r="C152" s="157">
        <v>129372</v>
      </c>
      <c r="D152" s="157">
        <v>144522</v>
      </c>
      <c r="E152" s="157">
        <f t="shared" si="8"/>
        <v>15150</v>
      </c>
      <c r="F152" s="161">
        <f t="shared" si="9"/>
        <v>0.11710416473425471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197885</v>
      </c>
      <c r="D154" s="157">
        <v>195784</v>
      </c>
      <c r="E154" s="157">
        <f t="shared" si="8"/>
        <v>-2101</v>
      </c>
      <c r="F154" s="161">
        <f t="shared" si="9"/>
        <v>-1.0617277711802309E-2</v>
      </c>
    </row>
    <row r="155" spans="1:6" ht="15" customHeight="1" x14ac:dyDescent="0.2">
      <c r="A155" s="147">
        <v>23</v>
      </c>
      <c r="B155" s="169" t="s">
        <v>282</v>
      </c>
      <c r="C155" s="157">
        <v>92255</v>
      </c>
      <c r="D155" s="157">
        <v>40665</v>
      </c>
      <c r="E155" s="157">
        <f t="shared" si="8"/>
        <v>-51590</v>
      </c>
      <c r="F155" s="161">
        <f t="shared" si="9"/>
        <v>-0.5592108828789768</v>
      </c>
    </row>
    <row r="156" spans="1:6" ht="15" customHeight="1" x14ac:dyDescent="0.2">
      <c r="A156" s="147">
        <v>24</v>
      </c>
      <c r="B156" s="169" t="s">
        <v>283</v>
      </c>
      <c r="C156" s="157">
        <v>3094824</v>
      </c>
      <c r="D156" s="157">
        <v>2963680</v>
      </c>
      <c r="E156" s="157">
        <f t="shared" si="8"/>
        <v>-131144</v>
      </c>
      <c r="F156" s="161">
        <f t="shared" si="9"/>
        <v>-4.2375269159086265E-2</v>
      </c>
    </row>
    <row r="157" spans="1:6" ht="15" customHeight="1" x14ac:dyDescent="0.2">
      <c r="A157" s="147">
        <v>25</v>
      </c>
      <c r="B157" s="169" t="s">
        <v>284</v>
      </c>
      <c r="C157" s="157">
        <v>689520</v>
      </c>
      <c r="D157" s="157">
        <v>717667</v>
      </c>
      <c r="E157" s="157">
        <f t="shared" si="8"/>
        <v>28147</v>
      </c>
      <c r="F157" s="161">
        <f t="shared" si="9"/>
        <v>4.0821150945585333E-2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769147</v>
      </c>
      <c r="D164" s="157">
        <v>739425</v>
      </c>
      <c r="E164" s="157">
        <f t="shared" si="8"/>
        <v>-29722</v>
      </c>
      <c r="F164" s="161">
        <f t="shared" si="9"/>
        <v>-3.8642808201813178E-2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1873019</v>
      </c>
      <c r="D166" s="157">
        <v>2188137</v>
      </c>
      <c r="E166" s="157">
        <f t="shared" si="8"/>
        <v>315118</v>
      </c>
      <c r="F166" s="161">
        <f t="shared" si="9"/>
        <v>0.1682406852252967</v>
      </c>
    </row>
    <row r="167" spans="1:6" ht="15.75" customHeight="1" x14ac:dyDescent="0.25">
      <c r="A167" s="147"/>
      <c r="B167" s="165" t="s">
        <v>294</v>
      </c>
      <c r="C167" s="158">
        <f>SUM(C133:C166)</f>
        <v>17154071</v>
      </c>
      <c r="D167" s="158">
        <f>SUM(D133:D166)</f>
        <v>17173039</v>
      </c>
      <c r="E167" s="158">
        <f t="shared" si="8"/>
        <v>18968</v>
      </c>
      <c r="F167" s="159">
        <f t="shared" si="9"/>
        <v>1.1057433538662631E-3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3562559</v>
      </c>
      <c r="D170" s="157">
        <v>3486572</v>
      </c>
      <c r="E170" s="157">
        <f t="shared" ref="E170:E183" si="10">D170-C170</f>
        <v>-75987</v>
      </c>
      <c r="F170" s="161">
        <f t="shared" ref="F170:F183" si="11">IF(C170=0,0,E170/C170)</f>
        <v>-2.1329330966869602E-2</v>
      </c>
    </row>
    <row r="171" spans="1:6" ht="15" customHeight="1" x14ac:dyDescent="0.2">
      <c r="A171" s="147">
        <v>2</v>
      </c>
      <c r="B171" s="169" t="s">
        <v>297</v>
      </c>
      <c r="C171" s="157">
        <v>1373067</v>
      </c>
      <c r="D171" s="157">
        <v>1395827</v>
      </c>
      <c r="E171" s="157">
        <f t="shared" si="10"/>
        <v>22760</v>
      </c>
      <c r="F171" s="161">
        <f t="shared" si="11"/>
        <v>1.6576030157304779E-2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2183818</v>
      </c>
      <c r="D173" s="157">
        <v>2312673</v>
      </c>
      <c r="E173" s="157">
        <f t="shared" si="10"/>
        <v>128855</v>
      </c>
      <c r="F173" s="161">
        <f t="shared" si="11"/>
        <v>5.9004459162805695E-2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1116371</v>
      </c>
      <c r="D175" s="157">
        <v>1102223</v>
      </c>
      <c r="E175" s="157">
        <f t="shared" si="10"/>
        <v>-14148</v>
      </c>
      <c r="F175" s="161">
        <f t="shared" si="11"/>
        <v>-1.2673206308655456E-2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3293674</v>
      </c>
      <c r="D179" s="157">
        <v>3184119</v>
      </c>
      <c r="E179" s="157">
        <f t="shared" si="10"/>
        <v>-109555</v>
      </c>
      <c r="F179" s="161">
        <f t="shared" si="11"/>
        <v>-3.3262247569127969E-2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11529489</v>
      </c>
      <c r="D183" s="158">
        <f>SUM(D170:D182)</f>
        <v>11481414</v>
      </c>
      <c r="E183" s="158">
        <f t="shared" si="10"/>
        <v>-48075</v>
      </c>
      <c r="F183" s="159">
        <f t="shared" si="11"/>
        <v>-4.1697424751435215E-3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63578052</v>
      </c>
      <c r="D188" s="158">
        <f>+D186+D183+D167+D130+D121</f>
        <v>66456723</v>
      </c>
      <c r="E188" s="158">
        <f>D188-C188</f>
        <v>2878671</v>
      </c>
      <c r="F188" s="159">
        <f>IF(C188=0,0,E188/C188)</f>
        <v>4.5277747735963977E-2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FILING&amp;RJOHNSON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65318419</v>
      </c>
      <c r="D11" s="183">
        <v>59633584</v>
      </c>
      <c r="E11" s="76">
        <v>66648825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282934</v>
      </c>
      <c r="D12" s="185">
        <v>718658</v>
      </c>
      <c r="E12" s="185">
        <v>650812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65601353</v>
      </c>
      <c r="D13" s="76">
        <f>+D11+D12</f>
        <v>60352242</v>
      </c>
      <c r="E13" s="76">
        <f>+E11+E12</f>
        <v>67299637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65981058</v>
      </c>
      <c r="D14" s="185">
        <v>63578052</v>
      </c>
      <c r="E14" s="185">
        <v>66456723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-379705</v>
      </c>
      <c r="D15" s="76">
        <f>+D13-D14</f>
        <v>-3225810</v>
      </c>
      <c r="E15" s="76">
        <f>+E13-E14</f>
        <v>842914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430461</v>
      </c>
      <c r="D16" s="185">
        <v>232279</v>
      </c>
      <c r="E16" s="185">
        <v>361403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50756</v>
      </c>
      <c r="D17" s="76">
        <f>D15+D16</f>
        <v>-2993531</v>
      </c>
      <c r="E17" s="76">
        <f>E15+E16</f>
        <v>1204317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-5.7503342252569348E-3</v>
      </c>
      <c r="D20" s="189">
        <f>IF(+D27=0,0,+D24/+D27)</f>
        <v>-5.3244788384148485E-2</v>
      </c>
      <c r="E20" s="189">
        <f>IF(+E27=0,0,+E24/+E27)</f>
        <v>1.2457893050417198E-2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6.5189940109777996E-3</v>
      </c>
      <c r="D21" s="189">
        <f>IF(D27=0,0,+D26/D27)</f>
        <v>3.8339661049725886E-3</v>
      </c>
      <c r="E21" s="189">
        <f>IF(E27=0,0,+E26/E27)</f>
        <v>5.3413751843010395E-3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7.6865978572086477E-4</v>
      </c>
      <c r="D22" s="189">
        <f>IF(D27=0,0,+D28/D27)</f>
        <v>-4.9410822279175898E-2</v>
      </c>
      <c r="E22" s="189">
        <f>IF(E27=0,0,+E28/E27)</f>
        <v>1.7799268234718238E-2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-379705</v>
      </c>
      <c r="D24" s="76">
        <f>+D15</f>
        <v>-3225810</v>
      </c>
      <c r="E24" s="76">
        <f>+E15</f>
        <v>842914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65601353</v>
      </c>
      <c r="D25" s="76">
        <f>+D13</f>
        <v>60352242</v>
      </c>
      <c r="E25" s="76">
        <f>+E13</f>
        <v>67299637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430461</v>
      </c>
      <c r="D26" s="76">
        <f>+D16</f>
        <v>232279</v>
      </c>
      <c r="E26" s="76">
        <f>+E16</f>
        <v>361403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66031814</v>
      </c>
      <c r="D27" s="76">
        <f>+D25+D26</f>
        <v>60584521</v>
      </c>
      <c r="E27" s="76">
        <f>+E25+E26</f>
        <v>67661040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50756</v>
      </c>
      <c r="D28" s="76">
        <f>+D17</f>
        <v>-2993531</v>
      </c>
      <c r="E28" s="76">
        <f>+E17</f>
        <v>1204317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4961873</v>
      </c>
      <c r="D31" s="76">
        <v>2069573</v>
      </c>
      <c r="E31" s="76">
        <v>3321184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9684598</v>
      </c>
      <c r="D32" s="76">
        <v>6911814</v>
      </c>
      <c r="E32" s="76">
        <v>8290975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994585</v>
      </c>
      <c r="D33" s="76">
        <f>+D32-C32</f>
        <v>-2772784</v>
      </c>
      <c r="E33" s="76">
        <f>+E32-D32</f>
        <v>1379161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1.1144000000000001</v>
      </c>
      <c r="D34" s="193">
        <f>IF(C32=0,0,+D33/C32)</f>
        <v>-0.28630863149921143</v>
      </c>
      <c r="E34" s="193">
        <f>IF(D32=0,0,+E33/D32)</f>
        <v>0.19953676415482247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0.43135426055264997</v>
      </c>
      <c r="D38" s="195">
        <f>IF((D40+D41)=0,0,+D39/(D40+D41))</f>
        <v>0.39884241069094017</v>
      </c>
      <c r="E38" s="195">
        <f>IF((E40+E41)=0,0,+E39/(E40+E41))</f>
        <v>0.38846739163696486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65981058</v>
      </c>
      <c r="D39" s="76">
        <v>63578052</v>
      </c>
      <c r="E39" s="196">
        <v>66456723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152679640</v>
      </c>
      <c r="D40" s="76">
        <v>159131313</v>
      </c>
      <c r="E40" s="196">
        <v>170600762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282934</v>
      </c>
      <c r="D41" s="76">
        <v>275135</v>
      </c>
      <c r="E41" s="196">
        <v>473373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1.2823343828394123</v>
      </c>
      <c r="D43" s="197">
        <f>IF(D38=0,0,IF((D46-D47)=0,0,((+D44-D45)/(D46-D47)/D38)))</f>
        <v>1.3383997719777381</v>
      </c>
      <c r="E43" s="197">
        <f>IF(E38=0,0,IF((E46-E47)=0,0,((+E44-E45)/(E46-E47)/E38)))</f>
        <v>1.4372511733679871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30763776</v>
      </c>
      <c r="D44" s="76">
        <v>28880836</v>
      </c>
      <c r="E44" s="196">
        <v>32000079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122287</v>
      </c>
      <c r="D45" s="76">
        <v>95489</v>
      </c>
      <c r="E45" s="196">
        <v>290267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58588470</v>
      </c>
      <c r="D46" s="76">
        <v>56461997</v>
      </c>
      <c r="E46" s="196">
        <v>59307952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3192970</v>
      </c>
      <c r="D47" s="76">
        <v>2537726</v>
      </c>
      <c r="E47" s="76">
        <v>2513433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0.829281376934216</v>
      </c>
      <c r="D49" s="198">
        <f>IF(D38=0,0,IF(D51=0,0,(D50/D51)/D38))</f>
        <v>0.74028182304579804</v>
      </c>
      <c r="E49" s="198">
        <f>IF(E38=0,0,IF(E51=0,0,(E50/E51)/E38))</f>
        <v>0.80327198976758829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24669733</v>
      </c>
      <c r="D50" s="199">
        <v>22452248</v>
      </c>
      <c r="E50" s="199">
        <v>24671781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68964953</v>
      </c>
      <c r="D51" s="199">
        <v>76043380</v>
      </c>
      <c r="E51" s="199">
        <v>79064824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0.67863804022928775</v>
      </c>
      <c r="D53" s="198">
        <f>IF(D38=0,0,IF(D55=0,0,(D54/D55)/D38))</f>
        <v>0.58284535312317987</v>
      </c>
      <c r="E53" s="198">
        <f>IF(E38=0,0,IF(E55=0,0,(E54/E55)/E38))</f>
        <v>0.79356982087102712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7096251</v>
      </c>
      <c r="D54" s="199">
        <v>5963226</v>
      </c>
      <c r="E54" s="199">
        <v>9637836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24241343</v>
      </c>
      <c r="D55" s="199">
        <v>25652317</v>
      </c>
      <c r="E55" s="199">
        <v>31263660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1620752.8130758444</v>
      </c>
      <c r="D57" s="88">
        <f>+D60*D38</f>
        <v>1900823.1029914173</v>
      </c>
      <c r="E57" s="88">
        <f>+E60*E38</f>
        <v>1750687.7359229026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193108</v>
      </c>
      <c r="D58" s="199">
        <v>310398</v>
      </c>
      <c r="E58" s="199">
        <v>387404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3564251</v>
      </c>
      <c r="D59" s="199">
        <v>4455452</v>
      </c>
      <c r="E59" s="199">
        <v>4119249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3757359</v>
      </c>
      <c r="D60" s="76">
        <v>4765850</v>
      </c>
      <c r="E60" s="201">
        <v>4506653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2.4563910646535018E-2</v>
      </c>
      <c r="D62" s="202">
        <f>IF(D63=0,0,+D57/D63)</f>
        <v>2.9897473156167434E-2</v>
      </c>
      <c r="E62" s="202">
        <f>IF(E63=0,0,+E57/E63)</f>
        <v>2.6343275095326361E-2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65981058</v>
      </c>
      <c r="D63" s="199">
        <v>63578052</v>
      </c>
      <c r="E63" s="199">
        <v>66456723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0.95058854138630211</v>
      </c>
      <c r="D67" s="203">
        <f>IF(D69=0,0,D68/D69)</f>
        <v>0.43428757019677983</v>
      </c>
      <c r="E67" s="203">
        <f>IF(E69=0,0,E68/E69)</f>
        <v>0.44367606375174112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11019268</v>
      </c>
      <c r="D68" s="204">
        <v>11357806</v>
      </c>
      <c r="E68" s="204">
        <v>12570047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11592048</v>
      </c>
      <c r="D69" s="204">
        <v>26152731</v>
      </c>
      <c r="E69" s="204">
        <v>28331587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4.5792825904920731</v>
      </c>
      <c r="D71" s="203">
        <f>IF((D77/365)=0,0,+D74/(D77/365))</f>
        <v>1.1353814568808447</v>
      </c>
      <c r="E71" s="203">
        <f>IF((E77/365)=0,0,+E74/(E77/365))</f>
        <v>2.5306768913019182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787925</v>
      </c>
      <c r="D72" s="183">
        <v>188181</v>
      </c>
      <c r="E72" s="183">
        <v>444722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787925</v>
      </c>
      <c r="D74" s="204">
        <f>+D72+D73</f>
        <v>188181</v>
      </c>
      <c r="E74" s="204">
        <f>+E72+E73</f>
        <v>444722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65981058</v>
      </c>
      <c r="D75" s="204">
        <f>+D14</f>
        <v>63578052</v>
      </c>
      <c r="E75" s="204">
        <f>+E14</f>
        <v>66456723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3178071</v>
      </c>
      <c r="D76" s="204">
        <v>3082027</v>
      </c>
      <c r="E76" s="204">
        <v>2314386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62802987</v>
      </c>
      <c r="D77" s="204">
        <f>+D75-D76</f>
        <v>60496025</v>
      </c>
      <c r="E77" s="204">
        <f>+E75-E76</f>
        <v>64142337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37.725747388343862</v>
      </c>
      <c r="D79" s="203">
        <f>IF((D84/365)=0,0,+D83/(D84/365))</f>
        <v>29.060076114157418</v>
      </c>
      <c r="E79" s="203">
        <f>IF((E84/365)=0,0,+E83/(E84/365))</f>
        <v>32.420501336670227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8023775</v>
      </c>
      <c r="D80" s="212">
        <v>7312397</v>
      </c>
      <c r="E80" s="212">
        <v>8595481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1272580</v>
      </c>
      <c r="D82" s="212">
        <v>2564571</v>
      </c>
      <c r="E82" s="212">
        <v>2675513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6751195</v>
      </c>
      <c r="D83" s="212">
        <f>+D80+D81-D82</f>
        <v>4747826</v>
      </c>
      <c r="E83" s="212">
        <f>+E80+E81-E82</f>
        <v>5919968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65318419</v>
      </c>
      <c r="D84" s="204">
        <f>+D11</f>
        <v>59633584</v>
      </c>
      <c r="E84" s="204">
        <f>+E11</f>
        <v>66648825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67.370959919470067</v>
      </c>
      <c r="D86" s="203">
        <f>IF((D90/365)=0,0,+D87/(D90/365))</f>
        <v>157.79130637095577</v>
      </c>
      <c r="E86" s="203">
        <f>IF((E90/365)=0,0,+E87/(E90/365))</f>
        <v>161.22002625192781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11592048</v>
      </c>
      <c r="D87" s="76">
        <f>+D69</f>
        <v>26152731</v>
      </c>
      <c r="E87" s="76">
        <f>+E69</f>
        <v>28331587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65981058</v>
      </c>
      <c r="D88" s="76">
        <f t="shared" si="0"/>
        <v>63578052</v>
      </c>
      <c r="E88" s="76">
        <f t="shared" si="0"/>
        <v>66456723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3178071</v>
      </c>
      <c r="D89" s="201">
        <f t="shared" si="0"/>
        <v>3082027</v>
      </c>
      <c r="E89" s="201">
        <f t="shared" si="0"/>
        <v>2314386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62802987</v>
      </c>
      <c r="D90" s="76">
        <f>+D88-D89</f>
        <v>60496025</v>
      </c>
      <c r="E90" s="76">
        <f>+E88-E89</f>
        <v>64142337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22.50092098454456</v>
      </c>
      <c r="D94" s="214">
        <f>IF(D96=0,0,(D95/D96)*100)</f>
        <v>16.444822531155175</v>
      </c>
      <c r="E94" s="214">
        <f>IF(E96=0,0,(E95/E96)*100)</f>
        <v>18.220427400080457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9684598</v>
      </c>
      <c r="D95" s="76">
        <f>+D32</f>
        <v>6911814</v>
      </c>
      <c r="E95" s="76">
        <f>+E32</f>
        <v>8290975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43040896</v>
      </c>
      <c r="D96" s="76">
        <v>42030335</v>
      </c>
      <c r="E96" s="76">
        <v>45503735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13.793514590424302</v>
      </c>
      <c r="D98" s="214">
        <f>IF(D104=0,0,(D101/D104)*100)</f>
        <v>0.3383814868129833</v>
      </c>
      <c r="E98" s="214">
        <f>IF(E104=0,0,(E101/E104)*100)</f>
        <v>12.419717257631914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50756</v>
      </c>
      <c r="D99" s="76">
        <f>+D28</f>
        <v>-2993531</v>
      </c>
      <c r="E99" s="76">
        <f>+E28</f>
        <v>1204317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3178071</v>
      </c>
      <c r="D100" s="201">
        <f>+D76</f>
        <v>3082027</v>
      </c>
      <c r="E100" s="201">
        <f>+E76</f>
        <v>2314386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3228827</v>
      </c>
      <c r="D101" s="76">
        <f>+D99+D100</f>
        <v>88496</v>
      </c>
      <c r="E101" s="76">
        <f>+E99+E100</f>
        <v>3518703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11592048</v>
      </c>
      <c r="D102" s="204">
        <f>+D69</f>
        <v>26152731</v>
      </c>
      <c r="E102" s="204">
        <f>+E69</f>
        <v>28331587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11816250</v>
      </c>
      <c r="D103" s="216">
        <v>0</v>
      </c>
      <c r="E103" s="216">
        <v>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23408298</v>
      </c>
      <c r="D104" s="204">
        <f>+D102+D103</f>
        <v>26152731</v>
      </c>
      <c r="E104" s="204">
        <f>+E102+E103</f>
        <v>28331587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54.957134713942445</v>
      </c>
      <c r="D106" s="214">
        <f>IF(D109=0,0,(D107/D109)*100)</f>
        <v>0</v>
      </c>
      <c r="E106" s="214">
        <f>IF(E109=0,0,(E107/E109)*100)</f>
        <v>0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11816250</v>
      </c>
      <c r="D107" s="204">
        <f>+D103</f>
        <v>0</v>
      </c>
      <c r="E107" s="204">
        <f>+E103</f>
        <v>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9684598</v>
      </c>
      <c r="D108" s="204">
        <f>+D32</f>
        <v>6911814</v>
      </c>
      <c r="E108" s="204">
        <f>+E32</f>
        <v>8290975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21500848</v>
      </c>
      <c r="D109" s="204">
        <f>+D107+D108</f>
        <v>6911814</v>
      </c>
      <c r="E109" s="204">
        <f>+E107+E108</f>
        <v>8290975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2.4437480021393272</v>
      </c>
      <c r="D111" s="214">
        <f>IF((+D113+D115)=0,0,((+D112+D113+D114)/(+D113+D115)))</f>
        <v>0.91278999209022393</v>
      </c>
      <c r="E111" s="214">
        <f>IF((+E113+E115)=0,0,((+E112+E113+E114)/(+E113+E115)))</f>
        <v>3.178705723923783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50756</v>
      </c>
      <c r="D112" s="76">
        <f>+D17</f>
        <v>-2993531</v>
      </c>
      <c r="E112" s="76">
        <f>+E17</f>
        <v>1204317</v>
      </c>
    </row>
    <row r="113" spans="1:8" ht="24" customHeight="1" x14ac:dyDescent="0.2">
      <c r="A113" s="85">
        <v>17</v>
      </c>
      <c r="B113" s="75" t="s">
        <v>88</v>
      </c>
      <c r="C113" s="218">
        <v>1495715</v>
      </c>
      <c r="D113" s="76">
        <v>1408245</v>
      </c>
      <c r="E113" s="76">
        <v>1459503</v>
      </c>
    </row>
    <row r="114" spans="1:8" ht="24" customHeight="1" x14ac:dyDescent="0.2">
      <c r="A114" s="85">
        <v>18</v>
      </c>
      <c r="B114" s="75" t="s">
        <v>374</v>
      </c>
      <c r="C114" s="218">
        <v>3178071</v>
      </c>
      <c r="D114" s="76">
        <v>3082027</v>
      </c>
      <c r="E114" s="76">
        <v>2314386</v>
      </c>
    </row>
    <row r="115" spans="1:8" ht="24" customHeight="1" x14ac:dyDescent="0.2">
      <c r="A115" s="85">
        <v>19</v>
      </c>
      <c r="B115" s="75" t="s">
        <v>104</v>
      </c>
      <c r="C115" s="218">
        <v>437603</v>
      </c>
      <c r="D115" s="76">
        <v>231498</v>
      </c>
      <c r="E115" s="76">
        <v>106608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12.333967365738525</v>
      </c>
      <c r="D119" s="214">
        <f>IF(+D121=0,0,(+D120)/(+D121))</f>
        <v>13.63219076276749</v>
      </c>
      <c r="E119" s="214">
        <f>IF(+E121=0,0,(+E120)/(+E121))</f>
        <v>19.067054933792374</v>
      </c>
    </row>
    <row r="120" spans="1:8" ht="24" customHeight="1" x14ac:dyDescent="0.2">
      <c r="A120" s="85">
        <v>21</v>
      </c>
      <c r="B120" s="75" t="s">
        <v>378</v>
      </c>
      <c r="C120" s="218">
        <v>39198224</v>
      </c>
      <c r="D120" s="218">
        <v>42014780</v>
      </c>
      <c r="E120" s="218">
        <v>44128525</v>
      </c>
    </row>
    <row r="121" spans="1:8" ht="24" customHeight="1" x14ac:dyDescent="0.2">
      <c r="A121" s="85">
        <v>22</v>
      </c>
      <c r="B121" s="75" t="s">
        <v>374</v>
      </c>
      <c r="C121" s="218">
        <v>3178071</v>
      </c>
      <c r="D121" s="218">
        <v>3082027</v>
      </c>
      <c r="E121" s="218">
        <v>2314386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16189</v>
      </c>
      <c r="D124" s="218">
        <v>16130</v>
      </c>
      <c r="E124" s="218">
        <v>16270</v>
      </c>
    </row>
    <row r="125" spans="1:8" ht="24" customHeight="1" x14ac:dyDescent="0.2">
      <c r="A125" s="85">
        <v>2</v>
      </c>
      <c r="B125" s="75" t="s">
        <v>381</v>
      </c>
      <c r="C125" s="218">
        <v>3251</v>
      </c>
      <c r="D125" s="218">
        <v>3139</v>
      </c>
      <c r="E125" s="218">
        <v>3191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4.9796985542909873</v>
      </c>
      <c r="D126" s="219">
        <f>IF(D125=0,0,D124/D125)</f>
        <v>5.1385791653392801</v>
      </c>
      <c r="E126" s="219">
        <f>IF(E125=0,0,E124/E125)</f>
        <v>5.0987151363209025</v>
      </c>
    </row>
    <row r="127" spans="1:8" ht="24" customHeight="1" x14ac:dyDescent="0.2">
      <c r="A127" s="85">
        <v>4</v>
      </c>
      <c r="B127" s="75" t="s">
        <v>383</v>
      </c>
      <c r="C127" s="218">
        <v>72</v>
      </c>
      <c r="D127" s="218">
        <v>70</v>
      </c>
      <c r="E127" s="218">
        <v>70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101</v>
      </c>
      <c r="E129" s="218">
        <v>101</v>
      </c>
    </row>
    <row r="130" spans="1:7" ht="24" customHeight="1" x14ac:dyDescent="0.2">
      <c r="A130" s="85">
        <v>7</v>
      </c>
      <c r="B130" s="75" t="s">
        <v>386</v>
      </c>
      <c r="C130" s="193">
        <v>0.61599999999999999</v>
      </c>
      <c r="D130" s="193">
        <v>0.63129999999999997</v>
      </c>
      <c r="E130" s="193">
        <v>0.63670000000000004</v>
      </c>
    </row>
    <row r="131" spans="1:7" ht="24" customHeight="1" x14ac:dyDescent="0.2">
      <c r="A131" s="85">
        <v>8</v>
      </c>
      <c r="B131" s="75" t="s">
        <v>387</v>
      </c>
      <c r="C131" s="193">
        <v>0.46679999999999999</v>
      </c>
      <c r="D131" s="193">
        <v>0.46510000000000001</v>
      </c>
      <c r="E131" s="193">
        <v>0.46920000000000001</v>
      </c>
    </row>
    <row r="132" spans="1:7" ht="24" customHeight="1" x14ac:dyDescent="0.2">
      <c r="A132" s="85">
        <v>9</v>
      </c>
      <c r="B132" s="75" t="s">
        <v>388</v>
      </c>
      <c r="C132" s="219">
        <v>464.2</v>
      </c>
      <c r="D132" s="219">
        <v>460.3</v>
      </c>
      <c r="E132" s="219">
        <v>447.2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0.362821788157216</v>
      </c>
      <c r="D135" s="227">
        <f>IF(D149=0,0,D143/D149)</f>
        <v>0.33886649951791703</v>
      </c>
      <c r="E135" s="227">
        <f>IF(E149=0,0,E143/E149)</f>
        <v>0.3329089409342732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0.45169711560755582</v>
      </c>
      <c r="D136" s="227">
        <f>IF(D149=0,0,D144/D149)</f>
        <v>0.47786559770294862</v>
      </c>
      <c r="E136" s="227">
        <f>IF(E149=0,0,E144/E149)</f>
        <v>0.46344941882498741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0.15877259731552942</v>
      </c>
      <c r="D137" s="227">
        <f>IF(D149=0,0,D145/D149)</f>
        <v>0.16120219532154553</v>
      </c>
      <c r="E137" s="227">
        <f>IF(E149=0,0,E145/E149)</f>
        <v>0.18325627408393405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2.0912873517385817E-2</v>
      </c>
      <c r="D139" s="227">
        <f>IF(D149=0,0,D147/D149)</f>
        <v>1.5947370458760685E-2</v>
      </c>
      <c r="E139" s="227">
        <f>IF(E149=0,0,E147/E149)</f>
        <v>1.4732835718518069E-2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5.7956254023129742E-3</v>
      </c>
      <c r="D140" s="227">
        <f>IF(D149=0,0,D148/D149)</f>
        <v>6.1183369988281316E-3</v>
      </c>
      <c r="E140" s="227">
        <f>IF(E149=0,0,E148/E149)</f>
        <v>5.6525304382872565E-3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55395500</v>
      </c>
      <c r="D143" s="229">
        <f>+D46-D147</f>
        <v>53924271</v>
      </c>
      <c r="E143" s="229">
        <f>+E46-E147</f>
        <v>56794519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68964953</v>
      </c>
      <c r="D144" s="229">
        <f>+D51</f>
        <v>76043380</v>
      </c>
      <c r="E144" s="229">
        <f>+E51</f>
        <v>79064824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24241343</v>
      </c>
      <c r="D145" s="229">
        <f>+D55</f>
        <v>25652317</v>
      </c>
      <c r="E145" s="229">
        <f>+E55</f>
        <v>31263660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3192970</v>
      </c>
      <c r="D147" s="229">
        <f>+D47</f>
        <v>2537726</v>
      </c>
      <c r="E147" s="229">
        <f>+E47</f>
        <v>2513433</v>
      </c>
    </row>
    <row r="148" spans="1:7" ht="20.100000000000001" customHeight="1" x14ac:dyDescent="0.2">
      <c r="A148" s="226">
        <v>13</v>
      </c>
      <c r="B148" s="224" t="s">
        <v>402</v>
      </c>
      <c r="C148" s="230">
        <v>884874</v>
      </c>
      <c r="D148" s="229">
        <v>973619</v>
      </c>
      <c r="E148" s="229">
        <v>964326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152679640</v>
      </c>
      <c r="D149" s="229">
        <f>SUM(D143:D148)</f>
        <v>159131313</v>
      </c>
      <c r="E149" s="229">
        <f>SUM(E143:E148)</f>
        <v>170600762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0.48761263121417697</v>
      </c>
      <c r="D152" s="227">
        <f>IF(D166=0,0,D160/D166)</f>
        <v>0.4995055241243857</v>
      </c>
      <c r="E152" s="227">
        <f>IF(E166=0,0,E160/E166)</f>
        <v>0.47577431641283185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0.39258122930909828</v>
      </c>
      <c r="D153" s="227">
        <f>IF(D166=0,0,D161/D166)</f>
        <v>0.38960870977204792</v>
      </c>
      <c r="E153" s="227">
        <f>IF(E166=0,0,E161/E166)</f>
        <v>0.37017563333273917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0.11292602725233863</v>
      </c>
      <c r="D154" s="227">
        <f>IF(D166=0,0,D162/D166)</f>
        <v>0.10347849301945758</v>
      </c>
      <c r="E154" s="227">
        <f>IF(E166=0,0,E162/E166)</f>
        <v>0.14460618166386421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1.946011364959714E-3</v>
      </c>
      <c r="D156" s="227">
        <f>IF(D166=0,0,D164/D166)</f>
        <v>1.6569987151140984E-3</v>
      </c>
      <c r="E156" s="227">
        <f>IF(E166=0,0,E164/E166)</f>
        <v>4.3551687882035835E-3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4.9341008594264227E-3</v>
      </c>
      <c r="D157" s="227">
        <f>IF(D166=0,0,D165/D166)</f>
        <v>5.7502743689946938E-3</v>
      </c>
      <c r="E157" s="227">
        <f>IF(E166=0,0,E165/E166)</f>
        <v>5.0886998023611874E-3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30641489</v>
      </c>
      <c r="D160" s="229">
        <f>+D44-D164</f>
        <v>28785347</v>
      </c>
      <c r="E160" s="229">
        <f>+E44-E164</f>
        <v>31709812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24669733</v>
      </c>
      <c r="D161" s="229">
        <f>+D50</f>
        <v>22452248</v>
      </c>
      <c r="E161" s="229">
        <f>+E50</f>
        <v>24671781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7096251</v>
      </c>
      <c r="D162" s="229">
        <f>+D54</f>
        <v>5963226</v>
      </c>
      <c r="E162" s="229">
        <f>+E54</f>
        <v>9637836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122287</v>
      </c>
      <c r="D164" s="229">
        <f>+D45</f>
        <v>95489</v>
      </c>
      <c r="E164" s="229">
        <f>+E45</f>
        <v>290267</v>
      </c>
    </row>
    <row r="165" spans="1:6" ht="20.100000000000001" customHeight="1" x14ac:dyDescent="0.2">
      <c r="A165" s="226">
        <v>13</v>
      </c>
      <c r="B165" s="224" t="s">
        <v>417</v>
      </c>
      <c r="C165" s="230">
        <v>310058</v>
      </c>
      <c r="D165" s="229">
        <v>331375</v>
      </c>
      <c r="E165" s="229">
        <v>339156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62839818</v>
      </c>
      <c r="D166" s="229">
        <f>SUM(D160:D165)</f>
        <v>57627685</v>
      </c>
      <c r="E166" s="229">
        <f>SUM(E160:E165)</f>
        <v>66648852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985</v>
      </c>
      <c r="D169" s="218">
        <v>896</v>
      </c>
      <c r="E169" s="218">
        <v>915</v>
      </c>
    </row>
    <row r="170" spans="1:6" ht="20.100000000000001" customHeight="1" x14ac:dyDescent="0.2">
      <c r="A170" s="226">
        <v>2</v>
      </c>
      <c r="B170" s="224" t="s">
        <v>420</v>
      </c>
      <c r="C170" s="218">
        <v>1601</v>
      </c>
      <c r="D170" s="218">
        <v>1633</v>
      </c>
      <c r="E170" s="218">
        <v>1571</v>
      </c>
    </row>
    <row r="171" spans="1:6" ht="20.100000000000001" customHeight="1" x14ac:dyDescent="0.2">
      <c r="A171" s="226">
        <v>3</v>
      </c>
      <c r="B171" s="224" t="s">
        <v>421</v>
      </c>
      <c r="C171" s="218">
        <v>646</v>
      </c>
      <c r="D171" s="218">
        <v>581</v>
      </c>
      <c r="E171" s="218">
        <v>681</v>
      </c>
    </row>
    <row r="172" spans="1:6" ht="20.100000000000001" customHeight="1" x14ac:dyDescent="0.2">
      <c r="A172" s="226">
        <v>4</v>
      </c>
      <c r="B172" s="224" t="s">
        <v>422</v>
      </c>
      <c r="C172" s="218">
        <v>646</v>
      </c>
      <c r="D172" s="218">
        <v>581</v>
      </c>
      <c r="E172" s="218">
        <v>681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19</v>
      </c>
      <c r="D174" s="218">
        <v>29</v>
      </c>
      <c r="E174" s="218">
        <v>24</v>
      </c>
    </row>
    <row r="175" spans="1:6" ht="20.100000000000001" customHeight="1" x14ac:dyDescent="0.2">
      <c r="A175" s="226">
        <v>7</v>
      </c>
      <c r="B175" s="224" t="s">
        <v>425</v>
      </c>
      <c r="C175" s="218">
        <v>76</v>
      </c>
      <c r="D175" s="218">
        <v>48</v>
      </c>
      <c r="E175" s="218">
        <v>42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3251</v>
      </c>
      <c r="D176" s="218">
        <f>+D169+D170+D171+D174</f>
        <v>3139</v>
      </c>
      <c r="E176" s="218">
        <f>+E169+E170+E171+E174</f>
        <v>3191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1.03942</v>
      </c>
      <c r="D179" s="231">
        <v>0.96850000000000003</v>
      </c>
      <c r="E179" s="231">
        <v>1.0093000000000001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1.3225</v>
      </c>
      <c r="D180" s="231">
        <v>1.3169999999999999</v>
      </c>
      <c r="E180" s="231">
        <v>1.2617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0.97484999999999999</v>
      </c>
      <c r="D181" s="231">
        <v>0.94340000000000002</v>
      </c>
      <c r="E181" s="231">
        <v>0.94079999999999997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0.97484999999999999</v>
      </c>
      <c r="D182" s="231">
        <v>0.94340000000000002</v>
      </c>
      <c r="E182" s="231">
        <v>0.94079999999999997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0.85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1.1223000000000001</v>
      </c>
      <c r="D184" s="231">
        <v>1.0887</v>
      </c>
      <c r="E184" s="231">
        <v>0.91200000000000003</v>
      </c>
    </row>
    <row r="185" spans="1:6" ht="20.100000000000001" customHeight="1" x14ac:dyDescent="0.2">
      <c r="A185" s="226">
        <v>7</v>
      </c>
      <c r="B185" s="224" t="s">
        <v>425</v>
      </c>
      <c r="C185" s="231">
        <v>0.97609999999999997</v>
      </c>
      <c r="D185" s="231">
        <v>1.0148999999999999</v>
      </c>
      <c r="E185" s="231">
        <v>1.0101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1.16648</v>
      </c>
      <c r="D186" s="231">
        <v>1.1462639999999999</v>
      </c>
      <c r="E186" s="231">
        <v>1.1182110000000001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2537</v>
      </c>
      <c r="D189" s="218">
        <v>2309</v>
      </c>
      <c r="E189" s="218">
        <v>2270</v>
      </c>
    </row>
    <row r="190" spans="1:6" ht="20.100000000000001" customHeight="1" x14ac:dyDescent="0.2">
      <c r="A190" s="226">
        <v>2</v>
      </c>
      <c r="B190" s="224" t="s">
        <v>433</v>
      </c>
      <c r="C190" s="218">
        <v>18145</v>
      </c>
      <c r="D190" s="218">
        <v>17817</v>
      </c>
      <c r="E190" s="218">
        <v>16780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20682</v>
      </c>
      <c r="D191" s="218">
        <f>+D190+D189</f>
        <v>20126</v>
      </c>
      <c r="E191" s="218">
        <f>+E190+E189</f>
        <v>19050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FILING&amp;RJOHNSON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633828</v>
      </c>
      <c r="D14" s="258">
        <v>307463</v>
      </c>
      <c r="E14" s="258">
        <f t="shared" ref="E14:E24" si="0">D14-C14</f>
        <v>-326365</v>
      </c>
      <c r="F14" s="259">
        <f t="shared" ref="F14:F24" si="1">IF(C14=0,0,E14/C14)</f>
        <v>-0.51491098531462798</v>
      </c>
    </row>
    <row r="15" spans="1:7" ht="20.25" customHeight="1" x14ac:dyDescent="0.3">
      <c r="A15" s="256">
        <v>2</v>
      </c>
      <c r="B15" s="257" t="s">
        <v>442</v>
      </c>
      <c r="C15" s="258">
        <v>236733</v>
      </c>
      <c r="D15" s="258">
        <v>126743</v>
      </c>
      <c r="E15" s="258">
        <f t="shared" si="0"/>
        <v>-109990</v>
      </c>
      <c r="F15" s="259">
        <f t="shared" si="1"/>
        <v>-0.46461625544389673</v>
      </c>
    </row>
    <row r="16" spans="1:7" ht="20.25" customHeight="1" x14ac:dyDescent="0.3">
      <c r="A16" s="256">
        <v>3</v>
      </c>
      <c r="B16" s="257" t="s">
        <v>443</v>
      </c>
      <c r="C16" s="258">
        <v>453147</v>
      </c>
      <c r="D16" s="258">
        <v>487207</v>
      </c>
      <c r="E16" s="258">
        <f t="shared" si="0"/>
        <v>34060</v>
      </c>
      <c r="F16" s="259">
        <f t="shared" si="1"/>
        <v>7.5163247246478521E-2</v>
      </c>
    </row>
    <row r="17" spans="1:6" ht="20.25" customHeight="1" x14ac:dyDescent="0.3">
      <c r="A17" s="256">
        <v>4</v>
      </c>
      <c r="B17" s="257" t="s">
        <v>444</v>
      </c>
      <c r="C17" s="258">
        <v>102608</v>
      </c>
      <c r="D17" s="258">
        <v>128920</v>
      </c>
      <c r="E17" s="258">
        <f t="shared" si="0"/>
        <v>26312</v>
      </c>
      <c r="F17" s="259">
        <f t="shared" si="1"/>
        <v>0.25643224699828471</v>
      </c>
    </row>
    <row r="18" spans="1:6" ht="20.25" customHeight="1" x14ac:dyDescent="0.3">
      <c r="A18" s="256">
        <v>5</v>
      </c>
      <c r="B18" s="257" t="s">
        <v>381</v>
      </c>
      <c r="C18" s="260">
        <v>19</v>
      </c>
      <c r="D18" s="260">
        <v>16</v>
      </c>
      <c r="E18" s="260">
        <f t="shared" si="0"/>
        <v>-3</v>
      </c>
      <c r="F18" s="259">
        <f t="shared" si="1"/>
        <v>-0.15789473684210525</v>
      </c>
    </row>
    <row r="19" spans="1:6" ht="20.25" customHeight="1" x14ac:dyDescent="0.3">
      <c r="A19" s="256">
        <v>6</v>
      </c>
      <c r="B19" s="257" t="s">
        <v>380</v>
      </c>
      <c r="C19" s="260">
        <v>159</v>
      </c>
      <c r="D19" s="260">
        <v>69</v>
      </c>
      <c r="E19" s="260">
        <f t="shared" si="0"/>
        <v>-90</v>
      </c>
      <c r="F19" s="259">
        <f t="shared" si="1"/>
        <v>-0.56603773584905659</v>
      </c>
    </row>
    <row r="20" spans="1:6" ht="20.25" customHeight="1" x14ac:dyDescent="0.3">
      <c r="A20" s="256">
        <v>7</v>
      </c>
      <c r="B20" s="257" t="s">
        <v>445</v>
      </c>
      <c r="C20" s="260">
        <v>398</v>
      </c>
      <c r="D20" s="260">
        <v>347</v>
      </c>
      <c r="E20" s="260">
        <f t="shared" si="0"/>
        <v>-51</v>
      </c>
      <c r="F20" s="259">
        <f t="shared" si="1"/>
        <v>-0.12814070351758794</v>
      </c>
    </row>
    <row r="21" spans="1:6" ht="20.25" customHeight="1" x14ac:dyDescent="0.3">
      <c r="A21" s="256">
        <v>8</v>
      </c>
      <c r="B21" s="257" t="s">
        <v>446</v>
      </c>
      <c r="C21" s="260">
        <v>49</v>
      </c>
      <c r="D21" s="260">
        <v>35</v>
      </c>
      <c r="E21" s="260">
        <f t="shared" si="0"/>
        <v>-14</v>
      </c>
      <c r="F21" s="259">
        <f t="shared" si="1"/>
        <v>-0.2857142857142857</v>
      </c>
    </row>
    <row r="22" spans="1:6" ht="20.25" customHeight="1" x14ac:dyDescent="0.3">
      <c r="A22" s="256">
        <v>9</v>
      </c>
      <c r="B22" s="257" t="s">
        <v>447</v>
      </c>
      <c r="C22" s="260">
        <v>17</v>
      </c>
      <c r="D22" s="260">
        <v>16</v>
      </c>
      <c r="E22" s="260">
        <f t="shared" si="0"/>
        <v>-1</v>
      </c>
      <c r="F22" s="259">
        <f t="shared" si="1"/>
        <v>-5.8823529411764705E-2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1086975</v>
      </c>
      <c r="D23" s="263">
        <f>+D14+D16</f>
        <v>794670</v>
      </c>
      <c r="E23" s="263">
        <f t="shared" si="0"/>
        <v>-292305</v>
      </c>
      <c r="F23" s="264">
        <f t="shared" si="1"/>
        <v>-0.26891602842751672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339341</v>
      </c>
      <c r="D24" s="263">
        <f>+D15+D17</f>
        <v>255663</v>
      </c>
      <c r="E24" s="263">
        <f t="shared" si="0"/>
        <v>-83678</v>
      </c>
      <c r="F24" s="264">
        <f t="shared" si="1"/>
        <v>-0.2465897135919326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3499</v>
      </c>
      <c r="D29" s="258">
        <v>0</v>
      </c>
      <c r="E29" s="258">
        <f t="shared" si="2"/>
        <v>-3499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703</v>
      </c>
      <c r="D30" s="258">
        <v>0</v>
      </c>
      <c r="E30" s="258">
        <f t="shared" si="2"/>
        <v>-703</v>
      </c>
      <c r="F30" s="259">
        <f t="shared" si="3"/>
        <v>-1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2</v>
      </c>
      <c r="D33" s="260">
        <v>0</v>
      </c>
      <c r="E33" s="260">
        <f t="shared" si="2"/>
        <v>-2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3499</v>
      </c>
      <c r="D36" s="263">
        <f>+D27+D29</f>
        <v>0</v>
      </c>
      <c r="E36" s="263">
        <f t="shared" si="2"/>
        <v>-3499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703</v>
      </c>
      <c r="D37" s="263">
        <f>+D28+D30</f>
        <v>0</v>
      </c>
      <c r="E37" s="263">
        <f t="shared" si="2"/>
        <v>-703</v>
      </c>
      <c r="F37" s="264">
        <f t="shared" si="3"/>
        <v>-1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2211313</v>
      </c>
      <c r="D40" s="258">
        <v>2827006</v>
      </c>
      <c r="E40" s="258">
        <f t="shared" ref="E40:E50" si="4">D40-C40</f>
        <v>615693</v>
      </c>
      <c r="F40" s="259">
        <f t="shared" ref="F40:F50" si="5">IF(C40=0,0,E40/C40)</f>
        <v>0.27842869824398447</v>
      </c>
    </row>
    <row r="41" spans="1:6" ht="20.25" customHeight="1" x14ac:dyDescent="0.3">
      <c r="A41" s="256">
        <v>2</v>
      </c>
      <c r="B41" s="257" t="s">
        <v>442</v>
      </c>
      <c r="C41" s="258">
        <v>760389</v>
      </c>
      <c r="D41" s="258">
        <v>1045119</v>
      </c>
      <c r="E41" s="258">
        <f t="shared" si="4"/>
        <v>284730</v>
      </c>
      <c r="F41" s="259">
        <f t="shared" si="5"/>
        <v>0.37445307599136757</v>
      </c>
    </row>
    <row r="42" spans="1:6" ht="20.25" customHeight="1" x14ac:dyDescent="0.3">
      <c r="A42" s="256">
        <v>3</v>
      </c>
      <c r="B42" s="257" t="s">
        <v>443</v>
      </c>
      <c r="C42" s="258">
        <v>2829357</v>
      </c>
      <c r="D42" s="258">
        <v>4697631</v>
      </c>
      <c r="E42" s="258">
        <f t="shared" si="4"/>
        <v>1868274</v>
      </c>
      <c r="F42" s="259">
        <f t="shared" si="5"/>
        <v>0.6603175209066936</v>
      </c>
    </row>
    <row r="43" spans="1:6" ht="20.25" customHeight="1" x14ac:dyDescent="0.3">
      <c r="A43" s="256">
        <v>4</v>
      </c>
      <c r="B43" s="257" t="s">
        <v>444</v>
      </c>
      <c r="C43" s="258">
        <v>665236</v>
      </c>
      <c r="D43" s="258">
        <v>1226970</v>
      </c>
      <c r="E43" s="258">
        <f t="shared" si="4"/>
        <v>561734</v>
      </c>
      <c r="F43" s="259">
        <f t="shared" si="5"/>
        <v>0.84441311053520851</v>
      </c>
    </row>
    <row r="44" spans="1:6" ht="20.25" customHeight="1" x14ac:dyDescent="0.3">
      <c r="A44" s="256">
        <v>5</v>
      </c>
      <c r="B44" s="257" t="s">
        <v>381</v>
      </c>
      <c r="C44" s="260">
        <v>98</v>
      </c>
      <c r="D44" s="260">
        <v>125</v>
      </c>
      <c r="E44" s="260">
        <f t="shared" si="4"/>
        <v>27</v>
      </c>
      <c r="F44" s="259">
        <f t="shared" si="5"/>
        <v>0.27551020408163263</v>
      </c>
    </row>
    <row r="45" spans="1:6" ht="20.25" customHeight="1" x14ac:dyDescent="0.3">
      <c r="A45" s="256">
        <v>6</v>
      </c>
      <c r="B45" s="257" t="s">
        <v>380</v>
      </c>
      <c r="C45" s="260">
        <v>421</v>
      </c>
      <c r="D45" s="260">
        <v>602</v>
      </c>
      <c r="E45" s="260">
        <f t="shared" si="4"/>
        <v>181</v>
      </c>
      <c r="F45" s="259">
        <f t="shared" si="5"/>
        <v>0.42992874109263657</v>
      </c>
    </row>
    <row r="46" spans="1:6" ht="20.25" customHeight="1" x14ac:dyDescent="0.3">
      <c r="A46" s="256">
        <v>7</v>
      </c>
      <c r="B46" s="257" t="s">
        <v>445</v>
      </c>
      <c r="C46" s="260">
        <v>2868</v>
      </c>
      <c r="D46" s="260">
        <v>3323</v>
      </c>
      <c r="E46" s="260">
        <f t="shared" si="4"/>
        <v>455</v>
      </c>
      <c r="F46" s="259">
        <f t="shared" si="5"/>
        <v>0.1586471408647141</v>
      </c>
    </row>
    <row r="47" spans="1:6" ht="20.25" customHeight="1" x14ac:dyDescent="0.3">
      <c r="A47" s="256">
        <v>8</v>
      </c>
      <c r="B47" s="257" t="s">
        <v>446</v>
      </c>
      <c r="C47" s="260">
        <v>243</v>
      </c>
      <c r="D47" s="260">
        <v>351</v>
      </c>
      <c r="E47" s="260">
        <f t="shared" si="4"/>
        <v>108</v>
      </c>
      <c r="F47" s="259">
        <f t="shared" si="5"/>
        <v>0.44444444444444442</v>
      </c>
    </row>
    <row r="48" spans="1:6" ht="20.25" customHeight="1" x14ac:dyDescent="0.3">
      <c r="A48" s="256">
        <v>9</v>
      </c>
      <c r="B48" s="257" t="s">
        <v>447</v>
      </c>
      <c r="C48" s="260">
        <v>84</v>
      </c>
      <c r="D48" s="260">
        <v>104</v>
      </c>
      <c r="E48" s="260">
        <f t="shared" si="4"/>
        <v>20</v>
      </c>
      <c r="F48" s="259">
        <f t="shared" si="5"/>
        <v>0.23809523809523808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5040670</v>
      </c>
      <c r="D49" s="263">
        <f>+D40+D42</f>
        <v>7524637</v>
      </c>
      <c r="E49" s="263">
        <f t="shared" si="4"/>
        <v>2483967</v>
      </c>
      <c r="F49" s="264">
        <f t="shared" si="5"/>
        <v>0.49278508610958466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1425625</v>
      </c>
      <c r="D50" s="263">
        <f>+D41+D43</f>
        <v>2272089</v>
      </c>
      <c r="E50" s="263">
        <f t="shared" si="4"/>
        <v>846464</v>
      </c>
      <c r="F50" s="264">
        <f t="shared" si="5"/>
        <v>0.59374940815431831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24415</v>
      </c>
      <c r="D66" s="258">
        <v>35744</v>
      </c>
      <c r="E66" s="258">
        <f t="shared" ref="E66:E76" si="8">D66-C66</f>
        <v>11329</v>
      </c>
      <c r="F66" s="259">
        <f t="shared" ref="F66:F76" si="9">IF(C66=0,0,E66/C66)</f>
        <v>0.46401802170796641</v>
      </c>
    </row>
    <row r="67" spans="1:6" ht="20.25" customHeight="1" x14ac:dyDescent="0.3">
      <c r="A67" s="256">
        <v>2</v>
      </c>
      <c r="B67" s="257" t="s">
        <v>442</v>
      </c>
      <c r="C67" s="258">
        <v>7722</v>
      </c>
      <c r="D67" s="258">
        <v>8403</v>
      </c>
      <c r="E67" s="258">
        <f t="shared" si="8"/>
        <v>681</v>
      </c>
      <c r="F67" s="259">
        <f t="shared" si="9"/>
        <v>8.8189588189588192E-2</v>
      </c>
    </row>
    <row r="68" spans="1:6" ht="20.25" customHeight="1" x14ac:dyDescent="0.3">
      <c r="A68" s="256">
        <v>3</v>
      </c>
      <c r="B68" s="257" t="s">
        <v>443</v>
      </c>
      <c r="C68" s="258">
        <v>24007</v>
      </c>
      <c r="D68" s="258">
        <v>72368</v>
      </c>
      <c r="E68" s="258">
        <f t="shared" si="8"/>
        <v>48361</v>
      </c>
      <c r="F68" s="259">
        <f t="shared" si="9"/>
        <v>2.014454117549048</v>
      </c>
    </row>
    <row r="69" spans="1:6" ht="20.25" customHeight="1" x14ac:dyDescent="0.3">
      <c r="A69" s="256">
        <v>4</v>
      </c>
      <c r="B69" s="257" t="s">
        <v>444</v>
      </c>
      <c r="C69" s="258">
        <v>5229</v>
      </c>
      <c r="D69" s="258">
        <v>20695</v>
      </c>
      <c r="E69" s="258">
        <f t="shared" si="8"/>
        <v>15466</v>
      </c>
      <c r="F69" s="259">
        <f t="shared" si="9"/>
        <v>2.9577357047236563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3</v>
      </c>
      <c r="E70" s="260">
        <f t="shared" si="8"/>
        <v>2</v>
      </c>
      <c r="F70" s="259">
        <f t="shared" si="9"/>
        <v>2</v>
      </c>
    </row>
    <row r="71" spans="1:6" ht="20.25" customHeight="1" x14ac:dyDescent="0.3">
      <c r="A71" s="256">
        <v>6</v>
      </c>
      <c r="B71" s="257" t="s">
        <v>380</v>
      </c>
      <c r="C71" s="260">
        <v>1</v>
      </c>
      <c r="D71" s="260">
        <v>10</v>
      </c>
      <c r="E71" s="260">
        <f t="shared" si="8"/>
        <v>9</v>
      </c>
      <c r="F71" s="259">
        <f t="shared" si="9"/>
        <v>9</v>
      </c>
    </row>
    <row r="72" spans="1:6" ht="20.25" customHeight="1" x14ac:dyDescent="0.3">
      <c r="A72" s="256">
        <v>7</v>
      </c>
      <c r="B72" s="257" t="s">
        <v>445</v>
      </c>
      <c r="C72" s="260">
        <v>2</v>
      </c>
      <c r="D72" s="260">
        <v>5</v>
      </c>
      <c r="E72" s="260">
        <f t="shared" si="8"/>
        <v>3</v>
      </c>
      <c r="F72" s="259">
        <f t="shared" si="9"/>
        <v>1.5</v>
      </c>
    </row>
    <row r="73" spans="1:6" ht="20.25" customHeight="1" x14ac:dyDescent="0.3">
      <c r="A73" s="256">
        <v>8</v>
      </c>
      <c r="B73" s="257" t="s">
        <v>446</v>
      </c>
      <c r="C73" s="260">
        <v>6</v>
      </c>
      <c r="D73" s="260">
        <v>38</v>
      </c>
      <c r="E73" s="260">
        <f t="shared" si="8"/>
        <v>32</v>
      </c>
      <c r="F73" s="259">
        <f t="shared" si="9"/>
        <v>5.333333333333333</v>
      </c>
    </row>
    <row r="74" spans="1:6" ht="20.25" customHeight="1" x14ac:dyDescent="0.3">
      <c r="A74" s="256">
        <v>9</v>
      </c>
      <c r="B74" s="257" t="s">
        <v>447</v>
      </c>
      <c r="C74" s="260">
        <v>1</v>
      </c>
      <c r="D74" s="260">
        <v>3</v>
      </c>
      <c r="E74" s="260">
        <f t="shared" si="8"/>
        <v>2</v>
      </c>
      <c r="F74" s="259">
        <f t="shared" si="9"/>
        <v>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48422</v>
      </c>
      <c r="D75" s="263">
        <f>+D66+D68</f>
        <v>108112</v>
      </c>
      <c r="E75" s="263">
        <f t="shared" si="8"/>
        <v>59690</v>
      </c>
      <c r="F75" s="264">
        <f t="shared" si="9"/>
        <v>1.2327041427450331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12951</v>
      </c>
      <c r="D76" s="263">
        <f>+D67+D69</f>
        <v>29098</v>
      </c>
      <c r="E76" s="263">
        <f t="shared" si="8"/>
        <v>16147</v>
      </c>
      <c r="F76" s="264">
        <f t="shared" si="9"/>
        <v>1.2467763107095977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3963375</v>
      </c>
      <c r="D92" s="258">
        <v>3921388</v>
      </c>
      <c r="E92" s="258">
        <f t="shared" ref="E92:E102" si="12">D92-C92</f>
        <v>-41987</v>
      </c>
      <c r="F92" s="259">
        <f t="shared" ref="F92:F102" si="13">IF(C92=0,0,E92/C92)</f>
        <v>-1.0593749014413222E-2</v>
      </c>
    </row>
    <row r="93" spans="1:6" ht="20.25" customHeight="1" x14ac:dyDescent="0.3">
      <c r="A93" s="256">
        <v>2</v>
      </c>
      <c r="B93" s="257" t="s">
        <v>442</v>
      </c>
      <c r="C93" s="258">
        <v>1290413</v>
      </c>
      <c r="D93" s="258">
        <v>1332326</v>
      </c>
      <c r="E93" s="258">
        <f t="shared" si="12"/>
        <v>41913</v>
      </c>
      <c r="F93" s="259">
        <f t="shared" si="13"/>
        <v>3.2480298943051565E-2</v>
      </c>
    </row>
    <row r="94" spans="1:6" ht="20.25" customHeight="1" x14ac:dyDescent="0.3">
      <c r="A94" s="256">
        <v>3</v>
      </c>
      <c r="B94" s="257" t="s">
        <v>443</v>
      </c>
      <c r="C94" s="258">
        <v>3202758</v>
      </c>
      <c r="D94" s="258">
        <v>3617576</v>
      </c>
      <c r="E94" s="258">
        <f t="shared" si="12"/>
        <v>414818</v>
      </c>
      <c r="F94" s="259">
        <f t="shared" si="13"/>
        <v>0.12951899581548154</v>
      </c>
    </row>
    <row r="95" spans="1:6" ht="20.25" customHeight="1" x14ac:dyDescent="0.3">
      <c r="A95" s="256">
        <v>4</v>
      </c>
      <c r="B95" s="257" t="s">
        <v>444</v>
      </c>
      <c r="C95" s="258">
        <v>862374</v>
      </c>
      <c r="D95" s="258">
        <v>903768</v>
      </c>
      <c r="E95" s="258">
        <f t="shared" si="12"/>
        <v>41394</v>
      </c>
      <c r="F95" s="259">
        <f t="shared" si="13"/>
        <v>4.8000055660305158E-2</v>
      </c>
    </row>
    <row r="96" spans="1:6" ht="20.25" customHeight="1" x14ac:dyDescent="0.3">
      <c r="A96" s="256">
        <v>5</v>
      </c>
      <c r="B96" s="257" t="s">
        <v>381</v>
      </c>
      <c r="C96" s="260">
        <v>145</v>
      </c>
      <c r="D96" s="260">
        <v>168</v>
      </c>
      <c r="E96" s="260">
        <f t="shared" si="12"/>
        <v>23</v>
      </c>
      <c r="F96" s="259">
        <f t="shared" si="13"/>
        <v>0.15862068965517243</v>
      </c>
    </row>
    <row r="97" spans="1:6" ht="20.25" customHeight="1" x14ac:dyDescent="0.3">
      <c r="A97" s="256">
        <v>6</v>
      </c>
      <c r="B97" s="257" t="s">
        <v>380</v>
      </c>
      <c r="C97" s="260">
        <v>886</v>
      </c>
      <c r="D97" s="260">
        <v>842</v>
      </c>
      <c r="E97" s="260">
        <f t="shared" si="12"/>
        <v>-44</v>
      </c>
      <c r="F97" s="259">
        <f t="shared" si="13"/>
        <v>-4.9661399548532728E-2</v>
      </c>
    </row>
    <row r="98" spans="1:6" ht="20.25" customHeight="1" x14ac:dyDescent="0.3">
      <c r="A98" s="256">
        <v>7</v>
      </c>
      <c r="B98" s="257" t="s">
        <v>445</v>
      </c>
      <c r="C98" s="260">
        <v>3272</v>
      </c>
      <c r="D98" s="260">
        <v>3205</v>
      </c>
      <c r="E98" s="260">
        <f t="shared" si="12"/>
        <v>-67</v>
      </c>
      <c r="F98" s="259">
        <f t="shared" si="13"/>
        <v>-2.047677261613692E-2</v>
      </c>
    </row>
    <row r="99" spans="1:6" ht="20.25" customHeight="1" x14ac:dyDescent="0.3">
      <c r="A99" s="256">
        <v>8</v>
      </c>
      <c r="B99" s="257" t="s">
        <v>446</v>
      </c>
      <c r="C99" s="260">
        <v>318</v>
      </c>
      <c r="D99" s="260">
        <v>299</v>
      </c>
      <c r="E99" s="260">
        <f t="shared" si="12"/>
        <v>-19</v>
      </c>
      <c r="F99" s="259">
        <f t="shared" si="13"/>
        <v>-5.9748427672955975E-2</v>
      </c>
    </row>
    <row r="100" spans="1:6" ht="20.25" customHeight="1" x14ac:dyDescent="0.3">
      <c r="A100" s="256">
        <v>9</v>
      </c>
      <c r="B100" s="257" t="s">
        <v>447</v>
      </c>
      <c r="C100" s="260">
        <v>132</v>
      </c>
      <c r="D100" s="260">
        <v>152</v>
      </c>
      <c r="E100" s="260">
        <f t="shared" si="12"/>
        <v>20</v>
      </c>
      <c r="F100" s="259">
        <f t="shared" si="13"/>
        <v>0.15151515151515152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7166133</v>
      </c>
      <c r="D101" s="263">
        <f>+D92+D94</f>
        <v>7538964</v>
      </c>
      <c r="E101" s="263">
        <f t="shared" si="12"/>
        <v>372831</v>
      </c>
      <c r="F101" s="264">
        <f t="shared" si="13"/>
        <v>5.2026804414598504E-2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2152787</v>
      </c>
      <c r="D102" s="263">
        <f>+D93+D95</f>
        <v>2236094</v>
      </c>
      <c r="E102" s="263">
        <f t="shared" si="12"/>
        <v>83307</v>
      </c>
      <c r="F102" s="264">
        <f t="shared" si="13"/>
        <v>3.8697279387138628E-2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154468</v>
      </c>
      <c r="D105" s="258">
        <v>644798</v>
      </c>
      <c r="E105" s="258">
        <f t="shared" ref="E105:E115" si="14">D105-C105</f>
        <v>490330</v>
      </c>
      <c r="F105" s="259">
        <f t="shared" ref="F105:F115" si="15">IF(C105=0,0,E105/C105)</f>
        <v>3.1743144211098739</v>
      </c>
    </row>
    <row r="106" spans="1:6" ht="20.25" customHeight="1" x14ac:dyDescent="0.3">
      <c r="A106" s="256">
        <v>2</v>
      </c>
      <c r="B106" s="257" t="s">
        <v>442</v>
      </c>
      <c r="C106" s="258">
        <v>51608</v>
      </c>
      <c r="D106" s="258">
        <v>179963</v>
      </c>
      <c r="E106" s="258">
        <f t="shared" si="14"/>
        <v>128355</v>
      </c>
      <c r="F106" s="259">
        <f t="shared" si="15"/>
        <v>2.4871144008680823</v>
      </c>
    </row>
    <row r="107" spans="1:6" ht="20.25" customHeight="1" x14ac:dyDescent="0.3">
      <c r="A107" s="256">
        <v>3</v>
      </c>
      <c r="B107" s="257" t="s">
        <v>443</v>
      </c>
      <c r="C107" s="258">
        <v>342713</v>
      </c>
      <c r="D107" s="258">
        <v>720807</v>
      </c>
      <c r="E107" s="258">
        <f t="shared" si="14"/>
        <v>378094</v>
      </c>
      <c r="F107" s="259">
        <f t="shared" si="15"/>
        <v>1.1032379863034083</v>
      </c>
    </row>
    <row r="108" spans="1:6" ht="20.25" customHeight="1" x14ac:dyDescent="0.3">
      <c r="A108" s="256">
        <v>4</v>
      </c>
      <c r="B108" s="257" t="s">
        <v>444</v>
      </c>
      <c r="C108" s="258">
        <v>72268</v>
      </c>
      <c r="D108" s="258">
        <v>140694</v>
      </c>
      <c r="E108" s="258">
        <f t="shared" si="14"/>
        <v>68426</v>
      </c>
      <c r="F108" s="259">
        <f t="shared" si="15"/>
        <v>0.94683677422925772</v>
      </c>
    </row>
    <row r="109" spans="1:6" ht="20.25" customHeight="1" x14ac:dyDescent="0.3">
      <c r="A109" s="256">
        <v>5</v>
      </c>
      <c r="B109" s="257" t="s">
        <v>381</v>
      </c>
      <c r="C109" s="260">
        <v>8</v>
      </c>
      <c r="D109" s="260">
        <v>21</v>
      </c>
      <c r="E109" s="260">
        <f t="shared" si="14"/>
        <v>13</v>
      </c>
      <c r="F109" s="259">
        <f t="shared" si="15"/>
        <v>1.625</v>
      </c>
    </row>
    <row r="110" spans="1:6" ht="20.25" customHeight="1" x14ac:dyDescent="0.3">
      <c r="A110" s="256">
        <v>6</v>
      </c>
      <c r="B110" s="257" t="s">
        <v>380</v>
      </c>
      <c r="C110" s="260">
        <v>31</v>
      </c>
      <c r="D110" s="260">
        <v>142</v>
      </c>
      <c r="E110" s="260">
        <f t="shared" si="14"/>
        <v>111</v>
      </c>
      <c r="F110" s="259">
        <f t="shared" si="15"/>
        <v>3.5806451612903225</v>
      </c>
    </row>
    <row r="111" spans="1:6" ht="20.25" customHeight="1" x14ac:dyDescent="0.3">
      <c r="A111" s="256">
        <v>7</v>
      </c>
      <c r="B111" s="257" t="s">
        <v>445</v>
      </c>
      <c r="C111" s="260">
        <v>184</v>
      </c>
      <c r="D111" s="260">
        <v>287</v>
      </c>
      <c r="E111" s="260">
        <f t="shared" si="14"/>
        <v>103</v>
      </c>
      <c r="F111" s="259">
        <f t="shared" si="15"/>
        <v>0.55978260869565222</v>
      </c>
    </row>
    <row r="112" spans="1:6" ht="20.25" customHeight="1" x14ac:dyDescent="0.3">
      <c r="A112" s="256">
        <v>8</v>
      </c>
      <c r="B112" s="257" t="s">
        <v>446</v>
      </c>
      <c r="C112" s="260">
        <v>48</v>
      </c>
      <c r="D112" s="260">
        <v>70</v>
      </c>
      <c r="E112" s="260">
        <f t="shared" si="14"/>
        <v>22</v>
      </c>
      <c r="F112" s="259">
        <f t="shared" si="15"/>
        <v>0.45833333333333331</v>
      </c>
    </row>
    <row r="113" spans="1:6" ht="20.25" customHeight="1" x14ac:dyDescent="0.3">
      <c r="A113" s="256">
        <v>9</v>
      </c>
      <c r="B113" s="257" t="s">
        <v>447</v>
      </c>
      <c r="C113" s="260">
        <v>7</v>
      </c>
      <c r="D113" s="260">
        <v>18</v>
      </c>
      <c r="E113" s="260">
        <f t="shared" si="14"/>
        <v>11</v>
      </c>
      <c r="F113" s="259">
        <f t="shared" si="15"/>
        <v>1.5714285714285714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497181</v>
      </c>
      <c r="D114" s="263">
        <f>+D105+D107</f>
        <v>1365605</v>
      </c>
      <c r="E114" s="263">
        <f t="shared" si="14"/>
        <v>868424</v>
      </c>
      <c r="F114" s="264">
        <f t="shared" si="15"/>
        <v>1.7466958713225162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123876</v>
      </c>
      <c r="D115" s="263">
        <f>+D106+D108</f>
        <v>320657</v>
      </c>
      <c r="E115" s="263">
        <f t="shared" si="14"/>
        <v>196781</v>
      </c>
      <c r="F115" s="264">
        <f t="shared" si="15"/>
        <v>1.5885320804675644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867624</v>
      </c>
      <c r="D118" s="258">
        <v>954864</v>
      </c>
      <c r="E118" s="258">
        <f t="shared" ref="E118:E128" si="16">D118-C118</f>
        <v>87240</v>
      </c>
      <c r="F118" s="259">
        <f t="shared" ref="F118:F128" si="17">IF(C118=0,0,E118/C118)</f>
        <v>0.10055046886669802</v>
      </c>
    </row>
    <row r="119" spans="1:6" ht="20.25" customHeight="1" x14ac:dyDescent="0.3">
      <c r="A119" s="256">
        <v>2</v>
      </c>
      <c r="B119" s="257" t="s">
        <v>442</v>
      </c>
      <c r="C119" s="258">
        <v>312790</v>
      </c>
      <c r="D119" s="258">
        <v>368043</v>
      </c>
      <c r="E119" s="258">
        <f t="shared" si="16"/>
        <v>55253</v>
      </c>
      <c r="F119" s="259">
        <f t="shared" si="17"/>
        <v>0.1766456728156271</v>
      </c>
    </row>
    <row r="120" spans="1:6" ht="20.25" customHeight="1" x14ac:dyDescent="0.3">
      <c r="A120" s="256">
        <v>3</v>
      </c>
      <c r="B120" s="257" t="s">
        <v>443</v>
      </c>
      <c r="C120" s="258">
        <v>802593</v>
      </c>
      <c r="D120" s="258">
        <v>1544779</v>
      </c>
      <c r="E120" s="258">
        <f t="shared" si="16"/>
        <v>742186</v>
      </c>
      <c r="F120" s="259">
        <f t="shared" si="17"/>
        <v>0.92473520202643178</v>
      </c>
    </row>
    <row r="121" spans="1:6" ht="20.25" customHeight="1" x14ac:dyDescent="0.3">
      <c r="A121" s="256">
        <v>4</v>
      </c>
      <c r="B121" s="257" t="s">
        <v>444</v>
      </c>
      <c r="C121" s="258">
        <v>186831</v>
      </c>
      <c r="D121" s="258">
        <v>426751</v>
      </c>
      <c r="E121" s="258">
        <f t="shared" si="16"/>
        <v>239920</v>
      </c>
      <c r="F121" s="259">
        <f t="shared" si="17"/>
        <v>1.2841551990836639</v>
      </c>
    </row>
    <row r="122" spans="1:6" ht="20.25" customHeight="1" x14ac:dyDescent="0.3">
      <c r="A122" s="256">
        <v>5</v>
      </c>
      <c r="B122" s="257" t="s">
        <v>381</v>
      </c>
      <c r="C122" s="260">
        <v>33</v>
      </c>
      <c r="D122" s="260">
        <v>36</v>
      </c>
      <c r="E122" s="260">
        <f t="shared" si="16"/>
        <v>3</v>
      </c>
      <c r="F122" s="259">
        <f t="shared" si="17"/>
        <v>9.0909090909090912E-2</v>
      </c>
    </row>
    <row r="123" spans="1:6" ht="20.25" customHeight="1" x14ac:dyDescent="0.3">
      <c r="A123" s="256">
        <v>6</v>
      </c>
      <c r="B123" s="257" t="s">
        <v>380</v>
      </c>
      <c r="C123" s="260">
        <v>203</v>
      </c>
      <c r="D123" s="260">
        <v>246</v>
      </c>
      <c r="E123" s="260">
        <f t="shared" si="16"/>
        <v>43</v>
      </c>
      <c r="F123" s="259">
        <f t="shared" si="17"/>
        <v>0.21182266009852216</v>
      </c>
    </row>
    <row r="124" spans="1:6" ht="20.25" customHeight="1" x14ac:dyDescent="0.3">
      <c r="A124" s="256">
        <v>7</v>
      </c>
      <c r="B124" s="257" t="s">
        <v>445</v>
      </c>
      <c r="C124" s="260">
        <v>597</v>
      </c>
      <c r="D124" s="260">
        <v>909</v>
      </c>
      <c r="E124" s="260">
        <f t="shared" si="16"/>
        <v>312</v>
      </c>
      <c r="F124" s="259">
        <f t="shared" si="17"/>
        <v>0.52261306532663321</v>
      </c>
    </row>
    <row r="125" spans="1:6" ht="20.25" customHeight="1" x14ac:dyDescent="0.3">
      <c r="A125" s="256">
        <v>8</v>
      </c>
      <c r="B125" s="257" t="s">
        <v>446</v>
      </c>
      <c r="C125" s="260">
        <v>57</v>
      </c>
      <c r="D125" s="260">
        <v>83</v>
      </c>
      <c r="E125" s="260">
        <f t="shared" si="16"/>
        <v>26</v>
      </c>
      <c r="F125" s="259">
        <f t="shared" si="17"/>
        <v>0.45614035087719296</v>
      </c>
    </row>
    <row r="126" spans="1:6" ht="20.25" customHeight="1" x14ac:dyDescent="0.3">
      <c r="A126" s="256">
        <v>9</v>
      </c>
      <c r="B126" s="257" t="s">
        <v>447</v>
      </c>
      <c r="C126" s="260">
        <v>27</v>
      </c>
      <c r="D126" s="260">
        <v>27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1670217</v>
      </c>
      <c r="D127" s="263">
        <f>+D118+D120</f>
        <v>2499643</v>
      </c>
      <c r="E127" s="263">
        <f t="shared" si="16"/>
        <v>829426</v>
      </c>
      <c r="F127" s="264">
        <f t="shared" si="17"/>
        <v>0.49659774747832169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499621</v>
      </c>
      <c r="D128" s="263">
        <f>+D119+D121</f>
        <v>794794</v>
      </c>
      <c r="E128" s="263">
        <f t="shared" si="16"/>
        <v>295173</v>
      </c>
      <c r="F128" s="264">
        <f t="shared" si="17"/>
        <v>0.59079382171686134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41553</v>
      </c>
      <c r="D131" s="258">
        <v>0</v>
      </c>
      <c r="E131" s="258">
        <f t="shared" ref="E131:E141" si="18">D131-C131</f>
        <v>-41553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13324</v>
      </c>
      <c r="D132" s="258">
        <v>0</v>
      </c>
      <c r="E132" s="258">
        <f t="shared" si="18"/>
        <v>-13324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36207</v>
      </c>
      <c r="D133" s="258">
        <v>25658</v>
      </c>
      <c r="E133" s="258">
        <f t="shared" si="18"/>
        <v>-10549</v>
      </c>
      <c r="F133" s="259">
        <f t="shared" si="19"/>
        <v>-0.2913525008976165</v>
      </c>
    </row>
    <row r="134" spans="1:6" ht="20.25" customHeight="1" x14ac:dyDescent="0.3">
      <c r="A134" s="256">
        <v>4</v>
      </c>
      <c r="B134" s="257" t="s">
        <v>444</v>
      </c>
      <c r="C134" s="258">
        <v>11757</v>
      </c>
      <c r="D134" s="258">
        <v>9252</v>
      </c>
      <c r="E134" s="258">
        <f t="shared" si="18"/>
        <v>-2505</v>
      </c>
      <c r="F134" s="259">
        <f t="shared" si="19"/>
        <v>-0.21306455728502169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0</v>
      </c>
      <c r="E135" s="260">
        <f t="shared" si="18"/>
        <v>-2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8</v>
      </c>
      <c r="D136" s="260">
        <v>0</v>
      </c>
      <c r="E136" s="260">
        <f t="shared" si="18"/>
        <v>-8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33</v>
      </c>
      <c r="D137" s="260">
        <v>19</v>
      </c>
      <c r="E137" s="260">
        <f t="shared" si="18"/>
        <v>-14</v>
      </c>
      <c r="F137" s="259">
        <f t="shared" si="19"/>
        <v>-0.42424242424242425</v>
      </c>
    </row>
    <row r="138" spans="1:6" ht="20.25" customHeight="1" x14ac:dyDescent="0.3">
      <c r="A138" s="256">
        <v>8</v>
      </c>
      <c r="B138" s="257" t="s">
        <v>446</v>
      </c>
      <c r="C138" s="260">
        <v>10</v>
      </c>
      <c r="D138" s="260">
        <v>9</v>
      </c>
      <c r="E138" s="260">
        <f t="shared" si="18"/>
        <v>-1</v>
      </c>
      <c r="F138" s="259">
        <f t="shared" si="19"/>
        <v>-0.1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0</v>
      </c>
      <c r="E139" s="260">
        <f t="shared" si="18"/>
        <v>-2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77760</v>
      </c>
      <c r="D140" s="263">
        <f>+D131+D133</f>
        <v>25658</v>
      </c>
      <c r="E140" s="263">
        <f t="shared" si="18"/>
        <v>-52102</v>
      </c>
      <c r="F140" s="264">
        <f t="shared" si="19"/>
        <v>-0.67003600823045273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25081</v>
      </c>
      <c r="D141" s="263">
        <f>+D132+D134</f>
        <v>9252</v>
      </c>
      <c r="E141" s="263">
        <f t="shared" si="18"/>
        <v>-15829</v>
      </c>
      <c r="F141" s="264">
        <f t="shared" si="19"/>
        <v>-0.63111518679478484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224962</v>
      </c>
      <c r="D144" s="258">
        <v>117575</v>
      </c>
      <c r="E144" s="258">
        <f t="shared" ref="E144:E154" si="20">D144-C144</f>
        <v>-107387</v>
      </c>
      <c r="F144" s="259">
        <f t="shared" ref="F144:F154" si="21">IF(C144=0,0,E144/C144)</f>
        <v>-0.47735617570967542</v>
      </c>
    </row>
    <row r="145" spans="1:6" ht="20.25" customHeight="1" x14ac:dyDescent="0.3">
      <c r="A145" s="256">
        <v>2</v>
      </c>
      <c r="B145" s="257" t="s">
        <v>442</v>
      </c>
      <c r="C145" s="258">
        <v>73340</v>
      </c>
      <c r="D145" s="258">
        <v>41095</v>
      </c>
      <c r="E145" s="258">
        <f t="shared" si="20"/>
        <v>-32245</v>
      </c>
      <c r="F145" s="259">
        <f t="shared" si="21"/>
        <v>-0.43966457594764113</v>
      </c>
    </row>
    <row r="146" spans="1:6" ht="20.25" customHeight="1" x14ac:dyDescent="0.3">
      <c r="A146" s="256">
        <v>3</v>
      </c>
      <c r="B146" s="257" t="s">
        <v>443</v>
      </c>
      <c r="C146" s="258">
        <v>458427</v>
      </c>
      <c r="D146" s="258">
        <v>726252</v>
      </c>
      <c r="E146" s="258">
        <f t="shared" si="20"/>
        <v>267825</v>
      </c>
      <c r="F146" s="259">
        <f t="shared" si="21"/>
        <v>0.58422605998337795</v>
      </c>
    </row>
    <row r="147" spans="1:6" ht="20.25" customHeight="1" x14ac:dyDescent="0.3">
      <c r="A147" s="256">
        <v>4</v>
      </c>
      <c r="B147" s="257" t="s">
        <v>444</v>
      </c>
      <c r="C147" s="258">
        <v>101440</v>
      </c>
      <c r="D147" s="258">
        <v>179487</v>
      </c>
      <c r="E147" s="258">
        <f t="shared" si="20"/>
        <v>78047</v>
      </c>
      <c r="F147" s="259">
        <f t="shared" si="21"/>
        <v>0.76939077287066249</v>
      </c>
    </row>
    <row r="148" spans="1:6" ht="20.25" customHeight="1" x14ac:dyDescent="0.3">
      <c r="A148" s="256">
        <v>5</v>
      </c>
      <c r="B148" s="257" t="s">
        <v>381</v>
      </c>
      <c r="C148" s="260">
        <v>11</v>
      </c>
      <c r="D148" s="260">
        <v>4</v>
      </c>
      <c r="E148" s="260">
        <f t="shared" si="20"/>
        <v>-7</v>
      </c>
      <c r="F148" s="259">
        <f t="shared" si="21"/>
        <v>-0.63636363636363635</v>
      </c>
    </row>
    <row r="149" spans="1:6" ht="20.25" customHeight="1" x14ac:dyDescent="0.3">
      <c r="A149" s="256">
        <v>6</v>
      </c>
      <c r="B149" s="257" t="s">
        <v>380</v>
      </c>
      <c r="C149" s="260">
        <v>56</v>
      </c>
      <c r="D149" s="260">
        <v>23</v>
      </c>
      <c r="E149" s="260">
        <f t="shared" si="20"/>
        <v>-33</v>
      </c>
      <c r="F149" s="259">
        <f t="shared" si="21"/>
        <v>-0.5892857142857143</v>
      </c>
    </row>
    <row r="150" spans="1:6" ht="20.25" customHeight="1" x14ac:dyDescent="0.3">
      <c r="A150" s="256">
        <v>7</v>
      </c>
      <c r="B150" s="257" t="s">
        <v>445</v>
      </c>
      <c r="C150" s="260">
        <v>273</v>
      </c>
      <c r="D150" s="260">
        <v>283</v>
      </c>
      <c r="E150" s="260">
        <f t="shared" si="20"/>
        <v>10</v>
      </c>
      <c r="F150" s="259">
        <f t="shared" si="21"/>
        <v>3.6630036630036632E-2</v>
      </c>
    </row>
    <row r="151" spans="1:6" ht="20.25" customHeight="1" x14ac:dyDescent="0.3">
      <c r="A151" s="256">
        <v>8</v>
      </c>
      <c r="B151" s="257" t="s">
        <v>446</v>
      </c>
      <c r="C151" s="260">
        <v>31</v>
      </c>
      <c r="D151" s="260">
        <v>33</v>
      </c>
      <c r="E151" s="260">
        <f t="shared" si="20"/>
        <v>2</v>
      </c>
      <c r="F151" s="259">
        <f t="shared" si="21"/>
        <v>6.4516129032258063E-2</v>
      </c>
    </row>
    <row r="152" spans="1:6" ht="20.25" customHeight="1" x14ac:dyDescent="0.3">
      <c r="A152" s="256">
        <v>9</v>
      </c>
      <c r="B152" s="257" t="s">
        <v>447</v>
      </c>
      <c r="C152" s="260">
        <v>10</v>
      </c>
      <c r="D152" s="260">
        <v>2</v>
      </c>
      <c r="E152" s="260">
        <f t="shared" si="20"/>
        <v>-8</v>
      </c>
      <c r="F152" s="259">
        <f t="shared" si="21"/>
        <v>-0.8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683389</v>
      </c>
      <c r="D153" s="263">
        <f>+D144+D146</f>
        <v>843827</v>
      </c>
      <c r="E153" s="263">
        <f t="shared" si="20"/>
        <v>160438</v>
      </c>
      <c r="F153" s="264">
        <f t="shared" si="21"/>
        <v>0.23476819205459848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174780</v>
      </c>
      <c r="D154" s="263">
        <f>+D145+D147</f>
        <v>220582</v>
      </c>
      <c r="E154" s="263">
        <f t="shared" si="20"/>
        <v>45802</v>
      </c>
      <c r="F154" s="264">
        <f t="shared" si="21"/>
        <v>0.26205515505206545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396269</v>
      </c>
      <c r="D183" s="258">
        <v>38969</v>
      </c>
      <c r="E183" s="258">
        <f t="shared" ref="E183:E193" si="26">D183-C183</f>
        <v>-357300</v>
      </c>
      <c r="F183" s="259">
        <f t="shared" ref="F183:F193" si="27">IF(C183=0,0,E183/C183)</f>
        <v>-0.90166023584988986</v>
      </c>
    </row>
    <row r="184" spans="1:6" ht="20.25" customHeight="1" x14ac:dyDescent="0.3">
      <c r="A184" s="256">
        <v>2</v>
      </c>
      <c r="B184" s="257" t="s">
        <v>442</v>
      </c>
      <c r="C184" s="258">
        <v>150633</v>
      </c>
      <c r="D184" s="258">
        <v>17631</v>
      </c>
      <c r="E184" s="258">
        <f t="shared" si="26"/>
        <v>-133002</v>
      </c>
      <c r="F184" s="259">
        <f t="shared" si="27"/>
        <v>-0.88295393439684533</v>
      </c>
    </row>
    <row r="185" spans="1:6" ht="20.25" customHeight="1" x14ac:dyDescent="0.3">
      <c r="A185" s="256">
        <v>3</v>
      </c>
      <c r="B185" s="257" t="s">
        <v>443</v>
      </c>
      <c r="C185" s="258">
        <v>159359</v>
      </c>
      <c r="D185" s="258">
        <v>105659</v>
      </c>
      <c r="E185" s="258">
        <f t="shared" si="26"/>
        <v>-53700</v>
      </c>
      <c r="F185" s="259">
        <f t="shared" si="27"/>
        <v>-0.33697500611826131</v>
      </c>
    </row>
    <row r="186" spans="1:6" ht="20.25" customHeight="1" x14ac:dyDescent="0.3">
      <c r="A186" s="256">
        <v>4</v>
      </c>
      <c r="B186" s="257" t="s">
        <v>444</v>
      </c>
      <c r="C186" s="258">
        <v>38754</v>
      </c>
      <c r="D186" s="258">
        <v>27365</v>
      </c>
      <c r="E186" s="258">
        <f t="shared" si="26"/>
        <v>-11389</v>
      </c>
      <c r="F186" s="259">
        <f t="shared" si="27"/>
        <v>-0.29387934148733036</v>
      </c>
    </row>
    <row r="187" spans="1:6" ht="20.25" customHeight="1" x14ac:dyDescent="0.3">
      <c r="A187" s="256">
        <v>5</v>
      </c>
      <c r="B187" s="257" t="s">
        <v>381</v>
      </c>
      <c r="C187" s="260">
        <v>15</v>
      </c>
      <c r="D187" s="260">
        <v>3</v>
      </c>
      <c r="E187" s="260">
        <f t="shared" si="26"/>
        <v>-12</v>
      </c>
      <c r="F187" s="259">
        <f t="shared" si="27"/>
        <v>-0.8</v>
      </c>
    </row>
    <row r="188" spans="1:6" ht="20.25" customHeight="1" x14ac:dyDescent="0.3">
      <c r="A188" s="256">
        <v>6</v>
      </c>
      <c r="B188" s="257" t="s">
        <v>380</v>
      </c>
      <c r="C188" s="260">
        <v>97</v>
      </c>
      <c r="D188" s="260">
        <v>10</v>
      </c>
      <c r="E188" s="260">
        <f t="shared" si="26"/>
        <v>-87</v>
      </c>
      <c r="F188" s="259">
        <f t="shared" si="27"/>
        <v>-0.89690721649484539</v>
      </c>
    </row>
    <row r="189" spans="1:6" ht="20.25" customHeight="1" x14ac:dyDescent="0.3">
      <c r="A189" s="256">
        <v>7</v>
      </c>
      <c r="B189" s="257" t="s">
        <v>445</v>
      </c>
      <c r="C189" s="260">
        <v>617</v>
      </c>
      <c r="D189" s="260">
        <v>812</v>
      </c>
      <c r="E189" s="260">
        <f t="shared" si="26"/>
        <v>195</v>
      </c>
      <c r="F189" s="259">
        <f t="shared" si="27"/>
        <v>0.31604538087520262</v>
      </c>
    </row>
    <row r="190" spans="1:6" ht="20.25" customHeight="1" x14ac:dyDescent="0.3">
      <c r="A190" s="256">
        <v>8</v>
      </c>
      <c r="B190" s="257" t="s">
        <v>446</v>
      </c>
      <c r="C190" s="260">
        <v>29</v>
      </c>
      <c r="D190" s="260">
        <v>15</v>
      </c>
      <c r="E190" s="260">
        <f t="shared" si="26"/>
        <v>-14</v>
      </c>
      <c r="F190" s="259">
        <f t="shared" si="27"/>
        <v>-0.48275862068965519</v>
      </c>
    </row>
    <row r="191" spans="1:6" ht="20.25" customHeight="1" x14ac:dyDescent="0.3">
      <c r="A191" s="256">
        <v>9</v>
      </c>
      <c r="B191" s="257" t="s">
        <v>447</v>
      </c>
      <c r="C191" s="260">
        <v>13</v>
      </c>
      <c r="D191" s="260">
        <v>3</v>
      </c>
      <c r="E191" s="260">
        <f t="shared" si="26"/>
        <v>-10</v>
      </c>
      <c r="F191" s="259">
        <f t="shared" si="27"/>
        <v>-0.76923076923076927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555628</v>
      </c>
      <c r="D192" s="263">
        <f>+D183+D185</f>
        <v>144628</v>
      </c>
      <c r="E192" s="263">
        <f t="shared" si="26"/>
        <v>-411000</v>
      </c>
      <c r="F192" s="264">
        <f t="shared" si="27"/>
        <v>-0.73970354265803739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189387</v>
      </c>
      <c r="D193" s="263">
        <f>+D184+D186</f>
        <v>44996</v>
      </c>
      <c r="E193" s="263">
        <f t="shared" si="26"/>
        <v>-144391</v>
      </c>
      <c r="F193" s="264">
        <f t="shared" si="27"/>
        <v>-0.76241241479087796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8517807</v>
      </c>
      <c r="D198" s="263">
        <f t="shared" si="28"/>
        <v>8847807</v>
      </c>
      <c r="E198" s="263">
        <f t="shared" ref="E198:E208" si="29">D198-C198</f>
        <v>330000</v>
      </c>
      <c r="F198" s="273">
        <f t="shared" ref="F198:F208" si="30">IF(C198=0,0,E198/C198)</f>
        <v>3.87423664330502E-2</v>
      </c>
    </row>
    <row r="199" spans="1:9" ht="20.25" customHeight="1" x14ac:dyDescent="0.3">
      <c r="A199" s="271"/>
      <c r="B199" s="272" t="s">
        <v>466</v>
      </c>
      <c r="C199" s="263">
        <f t="shared" si="28"/>
        <v>2896952</v>
      </c>
      <c r="D199" s="263">
        <f t="shared" si="28"/>
        <v>3119323</v>
      </c>
      <c r="E199" s="263">
        <f t="shared" si="29"/>
        <v>222371</v>
      </c>
      <c r="F199" s="273">
        <f t="shared" si="30"/>
        <v>7.6760332929230443E-2</v>
      </c>
    </row>
    <row r="200" spans="1:9" ht="20.25" customHeight="1" x14ac:dyDescent="0.3">
      <c r="A200" s="271"/>
      <c r="B200" s="272" t="s">
        <v>467</v>
      </c>
      <c r="C200" s="263">
        <f t="shared" si="28"/>
        <v>8312067</v>
      </c>
      <c r="D200" s="263">
        <f t="shared" si="28"/>
        <v>11997937</v>
      </c>
      <c r="E200" s="263">
        <f t="shared" si="29"/>
        <v>3685870</v>
      </c>
      <c r="F200" s="273">
        <f t="shared" si="30"/>
        <v>0.44343603101370571</v>
      </c>
    </row>
    <row r="201" spans="1:9" ht="20.25" customHeight="1" x14ac:dyDescent="0.3">
      <c r="A201" s="271"/>
      <c r="B201" s="272" t="s">
        <v>468</v>
      </c>
      <c r="C201" s="263">
        <f t="shared" si="28"/>
        <v>2047200</v>
      </c>
      <c r="D201" s="263">
        <f t="shared" si="28"/>
        <v>3063902</v>
      </c>
      <c r="E201" s="263">
        <f t="shared" si="29"/>
        <v>1016702</v>
      </c>
      <c r="F201" s="273">
        <f t="shared" si="30"/>
        <v>0.49663051973427119</v>
      </c>
    </row>
    <row r="202" spans="1:9" ht="20.25" customHeight="1" x14ac:dyDescent="0.3">
      <c r="A202" s="271"/>
      <c r="B202" s="272" t="s">
        <v>138</v>
      </c>
      <c r="C202" s="274">
        <f t="shared" si="28"/>
        <v>332</v>
      </c>
      <c r="D202" s="274">
        <f t="shared" si="28"/>
        <v>376</v>
      </c>
      <c r="E202" s="274">
        <f t="shared" si="29"/>
        <v>44</v>
      </c>
      <c r="F202" s="273">
        <f t="shared" si="30"/>
        <v>0.13253012048192772</v>
      </c>
    </row>
    <row r="203" spans="1:9" ht="20.25" customHeight="1" x14ac:dyDescent="0.3">
      <c r="A203" s="271"/>
      <c r="B203" s="272" t="s">
        <v>140</v>
      </c>
      <c r="C203" s="274">
        <f t="shared" si="28"/>
        <v>1862</v>
      </c>
      <c r="D203" s="274">
        <f t="shared" si="28"/>
        <v>1944</v>
      </c>
      <c r="E203" s="274">
        <f t="shared" si="29"/>
        <v>82</v>
      </c>
      <c r="F203" s="273">
        <f t="shared" si="30"/>
        <v>4.4038668098818477E-2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8246</v>
      </c>
      <c r="D204" s="274">
        <f t="shared" si="28"/>
        <v>9190</v>
      </c>
      <c r="E204" s="274">
        <f t="shared" si="29"/>
        <v>944</v>
      </c>
      <c r="F204" s="273">
        <f t="shared" si="30"/>
        <v>0.11447974775648799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791</v>
      </c>
      <c r="D205" s="274">
        <f t="shared" si="28"/>
        <v>933</v>
      </c>
      <c r="E205" s="274">
        <f t="shared" si="29"/>
        <v>142</v>
      </c>
      <c r="F205" s="273">
        <f t="shared" si="30"/>
        <v>0.179519595448799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293</v>
      </c>
      <c r="D206" s="274">
        <f t="shared" si="28"/>
        <v>325</v>
      </c>
      <c r="E206" s="274">
        <f t="shared" si="29"/>
        <v>32</v>
      </c>
      <c r="F206" s="273">
        <f t="shared" si="30"/>
        <v>0.10921501706484642</v>
      </c>
    </row>
    <row r="207" spans="1:9" ht="20.25" customHeight="1" x14ac:dyDescent="0.3">
      <c r="A207" s="271"/>
      <c r="B207" s="262" t="s">
        <v>471</v>
      </c>
      <c r="C207" s="263">
        <f>+C198+C200</f>
        <v>16829874</v>
      </c>
      <c r="D207" s="263">
        <f>+D198+D200</f>
        <v>20845744</v>
      </c>
      <c r="E207" s="263">
        <f t="shared" si="29"/>
        <v>4015870</v>
      </c>
      <c r="F207" s="273">
        <f t="shared" si="30"/>
        <v>0.23861557133463981</v>
      </c>
    </row>
    <row r="208" spans="1:9" ht="20.25" customHeight="1" x14ac:dyDescent="0.3">
      <c r="A208" s="271"/>
      <c r="B208" s="262" t="s">
        <v>472</v>
      </c>
      <c r="C208" s="263">
        <f>+C199+C201</f>
        <v>4944152</v>
      </c>
      <c r="D208" s="263">
        <f>+D199+D201</f>
        <v>6183225</v>
      </c>
      <c r="E208" s="263">
        <f t="shared" si="29"/>
        <v>1239073</v>
      </c>
      <c r="F208" s="273">
        <f t="shared" si="30"/>
        <v>0.25061385653191892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FILING&amp;RJOHNSON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FILING&amp;RJOHNSON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875661</v>
      </c>
      <c r="D13" s="22">
        <v>1528751</v>
      </c>
      <c r="E13" s="22">
        <f t="shared" ref="E13:E22" si="0">D13-C13</f>
        <v>653090</v>
      </c>
      <c r="F13" s="306">
        <f t="shared" ref="F13:F22" si="1">IF(C13=0,0,E13/C13)</f>
        <v>0.74582515379810221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10135389</v>
      </c>
      <c r="D15" s="22">
        <v>11658028</v>
      </c>
      <c r="E15" s="22">
        <f t="shared" si="0"/>
        <v>1522639</v>
      </c>
      <c r="F15" s="306">
        <f t="shared" si="1"/>
        <v>0.15022995170683631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1317470</v>
      </c>
      <c r="D19" s="22">
        <v>1295797</v>
      </c>
      <c r="E19" s="22">
        <f t="shared" si="0"/>
        <v>-21673</v>
      </c>
      <c r="F19" s="306">
        <f t="shared" si="1"/>
        <v>-1.6450469460405171E-2</v>
      </c>
    </row>
    <row r="20" spans="1:11" ht="24" customHeight="1" x14ac:dyDescent="0.2">
      <c r="A20" s="304">
        <v>8</v>
      </c>
      <c r="B20" s="305" t="s">
        <v>23</v>
      </c>
      <c r="C20" s="22">
        <v>1110135</v>
      </c>
      <c r="D20" s="22">
        <v>2288803</v>
      </c>
      <c r="E20" s="22">
        <f t="shared" si="0"/>
        <v>1178668</v>
      </c>
      <c r="F20" s="306">
        <f t="shared" si="1"/>
        <v>1.0617339332603692</v>
      </c>
    </row>
    <row r="21" spans="1:11" ht="24" customHeight="1" x14ac:dyDescent="0.2">
      <c r="A21" s="304">
        <v>9</v>
      </c>
      <c r="B21" s="305" t="s">
        <v>24</v>
      </c>
      <c r="C21" s="22">
        <v>2026862</v>
      </c>
      <c r="D21" s="22">
        <v>1078149</v>
      </c>
      <c r="E21" s="22">
        <f t="shared" si="0"/>
        <v>-948713</v>
      </c>
      <c r="F21" s="306">
        <f t="shared" si="1"/>
        <v>-0.46806985379369687</v>
      </c>
    </row>
    <row r="22" spans="1:11" ht="24" customHeight="1" x14ac:dyDescent="0.25">
      <c r="A22" s="307"/>
      <c r="B22" s="308" t="s">
        <v>25</v>
      </c>
      <c r="C22" s="309">
        <f>SUM(C13:C21)</f>
        <v>15465517</v>
      </c>
      <c r="D22" s="309">
        <f>SUM(D13:D21)</f>
        <v>17849528</v>
      </c>
      <c r="E22" s="309">
        <f t="shared" si="0"/>
        <v>2384011</v>
      </c>
      <c r="F22" s="310">
        <f t="shared" si="1"/>
        <v>0.15415010051070391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4760328</v>
      </c>
      <c r="D25" s="22">
        <v>4822532</v>
      </c>
      <c r="E25" s="22">
        <f>D25-C25</f>
        <v>62204</v>
      </c>
      <c r="F25" s="306">
        <f>IF(C25=0,0,E25/C25)</f>
        <v>1.3067166800270905E-2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268338</v>
      </c>
      <c r="D27" s="22">
        <v>224048</v>
      </c>
      <c r="E27" s="22">
        <f>D27-C27</f>
        <v>-44290</v>
      </c>
      <c r="F27" s="306">
        <f>IF(C27=0,0,E27/C27)</f>
        <v>-0.16505303013363742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5028666</v>
      </c>
      <c r="D29" s="309">
        <f>SUM(D25:D28)</f>
        <v>5046580</v>
      </c>
      <c r="E29" s="309">
        <f>D29-C29</f>
        <v>17914</v>
      </c>
      <c r="F29" s="310">
        <f>IF(C29=0,0,E29/C29)</f>
        <v>3.5623761848569782E-3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3174149</v>
      </c>
      <c r="D32" s="22">
        <v>3409730</v>
      </c>
      <c r="E32" s="22">
        <f>D32-C32</f>
        <v>235581</v>
      </c>
      <c r="F32" s="306">
        <f>IF(C32=0,0,E32/C32)</f>
        <v>7.4218633088742839E-2</v>
      </c>
    </row>
    <row r="33" spans="1:8" ht="24" customHeight="1" x14ac:dyDescent="0.2">
      <c r="A33" s="304">
        <v>7</v>
      </c>
      <c r="B33" s="305" t="s">
        <v>35</v>
      </c>
      <c r="C33" s="22">
        <v>775787</v>
      </c>
      <c r="D33" s="22">
        <v>1888856</v>
      </c>
      <c r="E33" s="22">
        <f>D33-C33</f>
        <v>1113069</v>
      </c>
      <c r="F33" s="306">
        <f>IF(C33=0,0,E33/C33)</f>
        <v>1.4347610877728036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87268202</v>
      </c>
      <c r="D36" s="22">
        <v>88738708</v>
      </c>
      <c r="E36" s="22">
        <f>D36-C36</f>
        <v>1470506</v>
      </c>
      <c r="F36" s="306">
        <f>IF(C36=0,0,E36/C36)</f>
        <v>1.6850421646134064E-2</v>
      </c>
    </row>
    <row r="37" spans="1:8" ht="24" customHeight="1" x14ac:dyDescent="0.2">
      <c r="A37" s="304">
        <v>2</v>
      </c>
      <c r="B37" s="305" t="s">
        <v>39</v>
      </c>
      <c r="C37" s="22">
        <v>60233946</v>
      </c>
      <c r="D37" s="22">
        <v>65468893</v>
      </c>
      <c r="E37" s="22">
        <f>D37-C37</f>
        <v>5234947</v>
      </c>
      <c r="F37" s="22">
        <f>IF(C37=0,0,E37/C37)</f>
        <v>8.6910244930657535E-2</v>
      </c>
    </row>
    <row r="38" spans="1:8" ht="24" customHeight="1" x14ac:dyDescent="0.25">
      <c r="A38" s="307"/>
      <c r="B38" s="308" t="s">
        <v>40</v>
      </c>
      <c r="C38" s="309">
        <f>C36-C37</f>
        <v>27034256</v>
      </c>
      <c r="D38" s="309">
        <f>D36-D37</f>
        <v>23269815</v>
      </c>
      <c r="E38" s="309">
        <f>D38-C38</f>
        <v>-3764441</v>
      </c>
      <c r="F38" s="310">
        <f>IF(C38=0,0,E38/C38)</f>
        <v>-0.13924707230707589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27034256</v>
      </c>
      <c r="D41" s="309">
        <f>+D38+D40</f>
        <v>23269815</v>
      </c>
      <c r="E41" s="309">
        <f>D41-C41</f>
        <v>-3764441</v>
      </c>
      <c r="F41" s="310">
        <f>IF(C41=0,0,E41/C41)</f>
        <v>-0.13924707230707589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51478375</v>
      </c>
      <c r="D43" s="309">
        <f>D22+D29+D31+D32+D33+D41</f>
        <v>51464509</v>
      </c>
      <c r="E43" s="309">
        <f>D43-C43</f>
        <v>-13866</v>
      </c>
      <c r="F43" s="310">
        <f>IF(C43=0,0,E43/C43)</f>
        <v>-2.6935582174068237E-4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7095451</v>
      </c>
      <c r="D49" s="22">
        <v>8408688</v>
      </c>
      <c r="E49" s="22">
        <f t="shared" ref="E49:E56" si="2">D49-C49</f>
        <v>1313237</v>
      </c>
      <c r="F49" s="306">
        <f t="shared" ref="F49:F56" si="3">IF(C49=0,0,E49/C49)</f>
        <v>0.18508154027136542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2807220</v>
      </c>
      <c r="D50" s="22">
        <v>2789581</v>
      </c>
      <c r="E50" s="22">
        <f t="shared" si="2"/>
        <v>-17639</v>
      </c>
      <c r="F50" s="306">
        <f t="shared" si="3"/>
        <v>-6.2834405568498375E-3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2784065</v>
      </c>
      <c r="D51" s="22">
        <v>2911614</v>
      </c>
      <c r="E51" s="22">
        <f t="shared" si="2"/>
        <v>127549</v>
      </c>
      <c r="F51" s="306">
        <f t="shared" si="3"/>
        <v>4.5813944717526353E-2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29202278</v>
      </c>
      <c r="D53" s="22">
        <v>29141197</v>
      </c>
      <c r="E53" s="22">
        <f t="shared" si="2"/>
        <v>-61081</v>
      </c>
      <c r="F53" s="306">
        <f t="shared" si="3"/>
        <v>-2.0916518909928875E-3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471952</v>
      </c>
      <c r="D54" s="22">
        <v>323071</v>
      </c>
      <c r="E54" s="22">
        <f t="shared" si="2"/>
        <v>-148881</v>
      </c>
      <c r="F54" s="306">
        <f t="shared" si="3"/>
        <v>-0.3154579279248737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5001298</v>
      </c>
      <c r="D55" s="22">
        <v>6549172</v>
      </c>
      <c r="E55" s="22">
        <f t="shared" si="2"/>
        <v>1547874</v>
      </c>
      <c r="F55" s="306">
        <f t="shared" si="3"/>
        <v>0.30949445523941982</v>
      </c>
    </row>
    <row r="56" spans="1:6" ht="24" customHeight="1" x14ac:dyDescent="0.25">
      <c r="A56" s="307"/>
      <c r="B56" s="308" t="s">
        <v>54</v>
      </c>
      <c r="C56" s="309">
        <f>SUM(C49:C55)</f>
        <v>47362264</v>
      </c>
      <c r="D56" s="309">
        <f>SUM(D49:D55)</f>
        <v>50123323</v>
      </c>
      <c r="E56" s="309">
        <f t="shared" si="2"/>
        <v>2761059</v>
      </c>
      <c r="F56" s="310">
        <f t="shared" si="3"/>
        <v>5.8296600855060478E-2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0</v>
      </c>
      <c r="D61" s="309">
        <f>SUM(D59:D60)</f>
        <v>0</v>
      </c>
      <c r="E61" s="309">
        <f>D61-C61</f>
        <v>0</v>
      </c>
      <c r="F61" s="310">
        <f>IF(C61=0,0,E61/C61)</f>
        <v>0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7802859</v>
      </c>
      <c r="D64" s="22">
        <v>8245286</v>
      </c>
      <c r="E64" s="22">
        <f>D64-C64</f>
        <v>442427</v>
      </c>
      <c r="F64" s="306">
        <f>IF(C64=0,0,E64/C64)</f>
        <v>5.670062729571302E-2</v>
      </c>
    </row>
    <row r="65" spans="1:6" ht="24" customHeight="1" x14ac:dyDescent="0.25">
      <c r="A65" s="307"/>
      <c r="B65" s="308" t="s">
        <v>61</v>
      </c>
      <c r="C65" s="309">
        <f>SUM(C61:C64)</f>
        <v>7802859</v>
      </c>
      <c r="D65" s="309">
        <f>SUM(D61:D64)</f>
        <v>8245286</v>
      </c>
      <c r="E65" s="309">
        <f>D65-C65</f>
        <v>442427</v>
      </c>
      <c r="F65" s="310">
        <f>IF(C65=0,0,E65/C65)</f>
        <v>5.670062729571302E-2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-8766006</v>
      </c>
      <c r="D70" s="22">
        <v>-12121840</v>
      </c>
      <c r="E70" s="22">
        <f>D70-C70</f>
        <v>-3355834</v>
      </c>
      <c r="F70" s="306">
        <f>IF(C70=0,0,E70/C70)</f>
        <v>0.38282360290421885</v>
      </c>
    </row>
    <row r="71" spans="1:6" ht="24" customHeight="1" x14ac:dyDescent="0.2">
      <c r="A71" s="304">
        <v>2</v>
      </c>
      <c r="B71" s="305" t="s">
        <v>65</v>
      </c>
      <c r="C71" s="22">
        <v>335709</v>
      </c>
      <c r="D71" s="22">
        <v>410595</v>
      </c>
      <c r="E71" s="22">
        <f>D71-C71</f>
        <v>74886</v>
      </c>
      <c r="F71" s="306">
        <f>IF(C71=0,0,E71/C71)</f>
        <v>0.22306819298857045</v>
      </c>
    </row>
    <row r="72" spans="1:6" ht="24" customHeight="1" x14ac:dyDescent="0.2">
      <c r="A72" s="304">
        <v>3</v>
      </c>
      <c r="B72" s="305" t="s">
        <v>66</v>
      </c>
      <c r="C72" s="22">
        <v>4743549</v>
      </c>
      <c r="D72" s="22">
        <v>4807145</v>
      </c>
      <c r="E72" s="22">
        <f>D72-C72</f>
        <v>63596</v>
      </c>
      <c r="F72" s="306">
        <f>IF(C72=0,0,E72/C72)</f>
        <v>1.3406839478205031E-2</v>
      </c>
    </row>
    <row r="73" spans="1:6" ht="24" customHeight="1" x14ac:dyDescent="0.25">
      <c r="A73" s="304"/>
      <c r="B73" s="308" t="s">
        <v>67</v>
      </c>
      <c r="C73" s="309">
        <f>SUM(C70:C72)</f>
        <v>-3686748</v>
      </c>
      <c r="D73" s="309">
        <f>SUM(D70:D72)</f>
        <v>-6904100</v>
      </c>
      <c r="E73" s="309">
        <f>D73-C73</f>
        <v>-3217352</v>
      </c>
      <c r="F73" s="310">
        <f>IF(C73=0,0,E73/C73)</f>
        <v>0.87268020488517251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51478375</v>
      </c>
      <c r="D75" s="309">
        <f>D56+D65+D67+D73</f>
        <v>51464509</v>
      </c>
      <c r="E75" s="309">
        <f>D75-C75</f>
        <v>-13866</v>
      </c>
      <c r="F75" s="310">
        <f>IF(C75=0,0,E75/C75)</f>
        <v>-2.6935582174068237E-4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FILING&amp;RJOHNSON MEMORIAL MEDICAL CENTER,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199469902</v>
      </c>
      <c r="D11" s="76">
        <v>208384764</v>
      </c>
      <c r="E11" s="76">
        <f t="shared" ref="E11:E20" si="0">D11-C11</f>
        <v>8914862</v>
      </c>
      <c r="F11" s="77">
        <f t="shared" ref="F11:F20" si="1">IF(C11=0,0,E11/C11)</f>
        <v>4.4692767733951158E-2</v>
      </c>
    </row>
    <row r="12" spans="1:7" ht="23.1" customHeight="1" x14ac:dyDescent="0.2">
      <c r="A12" s="74">
        <v>2</v>
      </c>
      <c r="B12" s="75" t="s">
        <v>72</v>
      </c>
      <c r="C12" s="76">
        <v>108128508</v>
      </c>
      <c r="D12" s="76">
        <v>111383001</v>
      </c>
      <c r="E12" s="76">
        <f t="shared" si="0"/>
        <v>3254493</v>
      </c>
      <c r="F12" s="77">
        <f t="shared" si="1"/>
        <v>3.0098380715657336E-2</v>
      </c>
    </row>
    <row r="13" spans="1:7" ht="23.1" customHeight="1" x14ac:dyDescent="0.2">
      <c r="A13" s="74">
        <v>3</v>
      </c>
      <c r="B13" s="75" t="s">
        <v>73</v>
      </c>
      <c r="C13" s="76">
        <v>310398</v>
      </c>
      <c r="D13" s="76">
        <v>387403</v>
      </c>
      <c r="E13" s="76">
        <f t="shared" si="0"/>
        <v>77005</v>
      </c>
      <c r="F13" s="77">
        <f t="shared" si="1"/>
        <v>0.24808471704070259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91030996</v>
      </c>
      <c r="D15" s="79">
        <f>D11-D12-D13-D14</f>
        <v>96614360</v>
      </c>
      <c r="E15" s="79">
        <f t="shared" si="0"/>
        <v>5583364</v>
      </c>
      <c r="F15" s="80">
        <f t="shared" si="1"/>
        <v>6.133475678987408E-2</v>
      </c>
    </row>
    <row r="16" spans="1:7" ht="23.1" customHeight="1" x14ac:dyDescent="0.2">
      <c r="A16" s="74">
        <v>5</v>
      </c>
      <c r="B16" s="75" t="s">
        <v>76</v>
      </c>
      <c r="C16" s="76">
        <v>4709325</v>
      </c>
      <c r="D16" s="76">
        <v>4537178</v>
      </c>
      <c r="E16" s="76">
        <f t="shared" si="0"/>
        <v>-172147</v>
      </c>
      <c r="F16" s="77">
        <f t="shared" si="1"/>
        <v>-3.6554495601811302E-2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86321671</v>
      </c>
      <c r="D17" s="79">
        <f>D15-D16</f>
        <v>92077182</v>
      </c>
      <c r="E17" s="79">
        <f t="shared" si="0"/>
        <v>5755511</v>
      </c>
      <c r="F17" s="80">
        <f t="shared" si="1"/>
        <v>6.667515738892496E-2</v>
      </c>
    </row>
    <row r="18" spans="1:7" ht="23.1" customHeight="1" x14ac:dyDescent="0.2">
      <c r="A18" s="74">
        <v>6</v>
      </c>
      <c r="B18" s="75" t="s">
        <v>78</v>
      </c>
      <c r="C18" s="76">
        <v>897142</v>
      </c>
      <c r="D18" s="76">
        <v>1052144</v>
      </c>
      <c r="E18" s="76">
        <f t="shared" si="0"/>
        <v>155002</v>
      </c>
      <c r="F18" s="77">
        <f t="shared" si="1"/>
        <v>0.17277309500614171</v>
      </c>
      <c r="G18" s="65"/>
    </row>
    <row r="19" spans="1:7" ht="33" customHeight="1" x14ac:dyDescent="0.2">
      <c r="A19" s="74">
        <v>7</v>
      </c>
      <c r="B19" s="82" t="s">
        <v>79</v>
      </c>
      <c r="C19" s="76">
        <v>459171</v>
      </c>
      <c r="D19" s="76">
        <v>269758</v>
      </c>
      <c r="E19" s="76">
        <f t="shared" si="0"/>
        <v>-189413</v>
      </c>
      <c r="F19" s="77">
        <f t="shared" si="1"/>
        <v>-0.41251080752050978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87677984</v>
      </c>
      <c r="D20" s="79">
        <f>SUM(D17:D19)</f>
        <v>93399084</v>
      </c>
      <c r="E20" s="79">
        <f t="shared" si="0"/>
        <v>5721100</v>
      </c>
      <c r="F20" s="80">
        <f t="shared" si="1"/>
        <v>6.525127220078418E-2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43355432</v>
      </c>
      <c r="D23" s="76">
        <v>40411635</v>
      </c>
      <c r="E23" s="76">
        <f t="shared" ref="E23:E32" si="2">D23-C23</f>
        <v>-2943797</v>
      </c>
      <c r="F23" s="77">
        <f t="shared" ref="F23:F32" si="3">IF(C23=0,0,E23/C23)</f>
        <v>-6.7899150445554321E-2</v>
      </c>
    </row>
    <row r="24" spans="1:7" ht="23.1" customHeight="1" x14ac:dyDescent="0.2">
      <c r="A24" s="74">
        <v>2</v>
      </c>
      <c r="B24" s="75" t="s">
        <v>83</v>
      </c>
      <c r="C24" s="76">
        <v>10483743</v>
      </c>
      <c r="D24" s="76">
        <v>10541692</v>
      </c>
      <c r="E24" s="76">
        <f t="shared" si="2"/>
        <v>57949</v>
      </c>
      <c r="F24" s="77">
        <f t="shared" si="3"/>
        <v>5.5275105465671945E-3</v>
      </c>
    </row>
    <row r="25" spans="1:7" ht="23.1" customHeight="1" x14ac:dyDescent="0.2">
      <c r="A25" s="74">
        <v>3</v>
      </c>
      <c r="B25" s="75" t="s">
        <v>84</v>
      </c>
      <c r="C25" s="76">
        <v>1889779</v>
      </c>
      <c r="D25" s="76">
        <v>2126346</v>
      </c>
      <c r="E25" s="76">
        <f t="shared" si="2"/>
        <v>236567</v>
      </c>
      <c r="F25" s="77">
        <f t="shared" si="3"/>
        <v>0.12518236259372129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10543386</v>
      </c>
      <c r="D26" s="76">
        <v>12822617</v>
      </c>
      <c r="E26" s="76">
        <f t="shared" si="2"/>
        <v>2279231</v>
      </c>
      <c r="F26" s="77">
        <f t="shared" si="3"/>
        <v>0.21617637825267899</v>
      </c>
    </row>
    <row r="27" spans="1:7" ht="23.1" customHeight="1" x14ac:dyDescent="0.2">
      <c r="A27" s="74">
        <v>5</v>
      </c>
      <c r="B27" s="75" t="s">
        <v>86</v>
      </c>
      <c r="C27" s="76">
        <v>4269259</v>
      </c>
      <c r="D27" s="76">
        <v>3226575</v>
      </c>
      <c r="E27" s="76">
        <f t="shared" si="2"/>
        <v>-1042684</v>
      </c>
      <c r="F27" s="77">
        <f t="shared" si="3"/>
        <v>-0.24423067328545772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1899374</v>
      </c>
      <c r="D29" s="76">
        <v>1985339</v>
      </c>
      <c r="E29" s="76">
        <f t="shared" si="2"/>
        <v>85965</v>
      </c>
      <c r="F29" s="77">
        <f t="shared" si="3"/>
        <v>4.5259648705310275E-2</v>
      </c>
    </row>
    <row r="30" spans="1:7" ht="23.1" customHeight="1" x14ac:dyDescent="0.2">
      <c r="A30" s="74">
        <v>8</v>
      </c>
      <c r="B30" s="75" t="s">
        <v>89</v>
      </c>
      <c r="C30" s="76">
        <v>649270</v>
      </c>
      <c r="D30" s="76">
        <v>1129342</v>
      </c>
      <c r="E30" s="76">
        <f t="shared" si="2"/>
        <v>480072</v>
      </c>
      <c r="F30" s="77">
        <f t="shared" si="3"/>
        <v>0.73940271381705602</v>
      </c>
    </row>
    <row r="31" spans="1:7" ht="23.1" customHeight="1" x14ac:dyDescent="0.2">
      <c r="A31" s="74">
        <v>9</v>
      </c>
      <c r="B31" s="75" t="s">
        <v>90</v>
      </c>
      <c r="C31" s="76">
        <v>19981554</v>
      </c>
      <c r="D31" s="76">
        <v>22452310</v>
      </c>
      <c r="E31" s="76">
        <f t="shared" si="2"/>
        <v>2470756</v>
      </c>
      <c r="F31" s="77">
        <f t="shared" si="3"/>
        <v>0.12365184409580957</v>
      </c>
    </row>
    <row r="32" spans="1:7" ht="23.1" customHeight="1" x14ac:dyDescent="0.25">
      <c r="A32" s="71"/>
      <c r="B32" s="78" t="s">
        <v>91</v>
      </c>
      <c r="C32" s="79">
        <f>SUM(C23:C31)</f>
        <v>93071797</v>
      </c>
      <c r="D32" s="79">
        <f>SUM(D23:D31)</f>
        <v>94695856</v>
      </c>
      <c r="E32" s="79">
        <f t="shared" si="2"/>
        <v>1624059</v>
      </c>
      <c r="F32" s="80">
        <f t="shared" si="3"/>
        <v>1.7449528776155465E-2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-5393813</v>
      </c>
      <c r="D34" s="79">
        <f>+D20-D32</f>
        <v>-1296772</v>
      </c>
      <c r="E34" s="79">
        <f>D34-C34</f>
        <v>4097041</v>
      </c>
      <c r="F34" s="80">
        <f>IF(C34=0,0,E34/C34)</f>
        <v>-0.75958157985825614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160097</v>
      </c>
      <c r="D37" s="76">
        <v>166175</v>
      </c>
      <c r="E37" s="76">
        <f>D37-C37</f>
        <v>6078</v>
      </c>
      <c r="F37" s="77">
        <f>IF(C37=0,0,E37/C37)</f>
        <v>3.7964484031555869E-2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73479</v>
      </c>
      <c r="D39" s="76">
        <v>218759</v>
      </c>
      <c r="E39" s="76">
        <f>D39-C39</f>
        <v>145280</v>
      </c>
      <c r="F39" s="77">
        <f>IF(C39=0,0,E39/C39)</f>
        <v>1.9771635433253039</v>
      </c>
    </row>
    <row r="40" spans="1:6" ht="23.1" customHeight="1" x14ac:dyDescent="0.25">
      <c r="A40" s="83"/>
      <c r="B40" s="78" t="s">
        <v>97</v>
      </c>
      <c r="C40" s="79">
        <f>SUM(C37:C39)</f>
        <v>233576</v>
      </c>
      <c r="D40" s="79">
        <f>SUM(D37:D39)</f>
        <v>384934</v>
      </c>
      <c r="E40" s="79">
        <f>D40-C40</f>
        <v>151358</v>
      </c>
      <c r="F40" s="80">
        <f>IF(C40=0,0,E40/C40)</f>
        <v>0.64800321950885365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-5160237</v>
      </c>
      <c r="D42" s="79">
        <f>D34+D40</f>
        <v>-911838</v>
      </c>
      <c r="E42" s="79">
        <f>D42-C42</f>
        <v>4248399</v>
      </c>
      <c r="F42" s="80">
        <f>IF(C42=0,0,E42/C42)</f>
        <v>-0.82329532538912453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2355632</v>
      </c>
      <c r="D46" s="76">
        <v>-2452326</v>
      </c>
      <c r="E46" s="76">
        <f>D46-C46</f>
        <v>-4807958</v>
      </c>
      <c r="F46" s="77">
        <f>IF(C46=0,0,E46/C46)</f>
        <v>-2.0410480074986244</v>
      </c>
    </row>
    <row r="47" spans="1:6" ht="23.1" customHeight="1" x14ac:dyDescent="0.25">
      <c r="A47" s="83"/>
      <c r="B47" s="78" t="s">
        <v>102</v>
      </c>
      <c r="C47" s="79">
        <f>SUM(C45:C46)</f>
        <v>2355632</v>
      </c>
      <c r="D47" s="79">
        <f>SUM(D45:D46)</f>
        <v>-2452326</v>
      </c>
      <c r="E47" s="79">
        <f>D47-C47</f>
        <v>-4807958</v>
      </c>
      <c r="F47" s="80">
        <f>IF(C47=0,0,E47/C47)</f>
        <v>-2.0410480074986244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-2804605</v>
      </c>
      <c r="D49" s="79">
        <f>D42+D47</f>
        <v>-3364164</v>
      </c>
      <c r="E49" s="79">
        <f>D49-C49</f>
        <v>-559559</v>
      </c>
      <c r="F49" s="80">
        <f>IF(C49=0,0,E49/C49)</f>
        <v>0.19951437011629089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FILING&amp;R&amp;8JOHNSON MEMORIAL MEDICAL CENTER,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2015-07-07T12:47:25Z</cp:lastPrinted>
  <dcterms:created xsi:type="dcterms:W3CDTF">2015-07-07T12:32:08Z</dcterms:created>
  <dcterms:modified xsi:type="dcterms:W3CDTF">2015-07-07T12:47:32Z</dcterms:modified>
</cp:coreProperties>
</file>