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80" i="14"/>
  <c r="D189" i="14"/>
  <c r="D215" i="14"/>
  <c r="D255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207" i="14"/>
  <c r="D208" i="14"/>
  <c r="D135" i="14"/>
  <c r="D130" i="14"/>
  <c r="D129" i="14"/>
  <c r="D123" i="14"/>
  <c r="D124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0" i="14"/>
  <c r="D31" i="14"/>
  <c r="D32" i="14"/>
  <c r="D29" i="14"/>
  <c r="D24" i="14"/>
  <c r="D23" i="14"/>
  <c r="D21" i="14"/>
  <c r="D126" i="14"/>
  <c r="D127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C83" i="19"/>
  <c r="C102" i="19"/>
  <c r="C101" i="19"/>
  <c r="E76" i="19"/>
  <c r="D76" i="19"/>
  <c r="C76" i="19"/>
  <c r="E75" i="19"/>
  <c r="E77" i="19"/>
  <c r="D75" i="19"/>
  <c r="D101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34" i="19"/>
  <c r="E28" i="19"/>
  <c r="D28" i="19"/>
  <c r="C28" i="19"/>
  <c r="E27" i="19"/>
  <c r="D27" i="19"/>
  <c r="C27" i="19"/>
  <c r="E23" i="19"/>
  <c r="E54" i="19"/>
  <c r="C23" i="19"/>
  <c r="C46" i="19"/>
  <c r="E22" i="19"/>
  <c r="E53" i="19"/>
  <c r="E21" i="19"/>
  <c r="D21" i="19"/>
  <c r="C21" i="19"/>
  <c r="E12" i="19"/>
  <c r="E33" i="19"/>
  <c r="D12" i="19"/>
  <c r="D33" i="19"/>
  <c r="C12" i="19"/>
  <c r="C34" i="19"/>
  <c r="C22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D44" i="17"/>
  <c r="C44" i="17"/>
  <c r="E44" i="17"/>
  <c r="D43" i="17"/>
  <c r="D46" i="17"/>
  <c r="C43" i="17"/>
  <c r="C46" i="17"/>
  <c r="D36" i="17"/>
  <c r="D40" i="17"/>
  <c r="E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C41" i="17"/>
  <c r="E24" i="17"/>
  <c r="F24" i="17"/>
  <c r="E23" i="17"/>
  <c r="F23" i="17"/>
  <c r="E22" i="17"/>
  <c r="F22" i="17"/>
  <c r="D19" i="17"/>
  <c r="D20" i="17"/>
  <c r="C19" i="17"/>
  <c r="C20" i="17"/>
  <c r="F18" i="17"/>
  <c r="E18" i="17"/>
  <c r="D16" i="17"/>
  <c r="E16" i="17"/>
  <c r="F16" i="17"/>
  <c r="C16" i="17"/>
  <c r="F15" i="17"/>
  <c r="E15" i="17"/>
  <c r="F13" i="17"/>
  <c r="E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1" i="16"/>
  <c r="E328" i="15"/>
  <c r="E325" i="15"/>
  <c r="D324" i="15"/>
  <c r="E324" i="15"/>
  <c r="C324" i="15"/>
  <c r="C326" i="15"/>
  <c r="C330" i="15"/>
  <c r="E318" i="15"/>
  <c r="E315" i="15"/>
  <c r="D314" i="15"/>
  <c r="D316" i="15"/>
  <c r="D320" i="15"/>
  <c r="C314" i="15"/>
  <c r="E314" i="15"/>
  <c r="E308" i="15"/>
  <c r="E305" i="15"/>
  <c r="D301" i="15"/>
  <c r="C301" i="15"/>
  <c r="E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C251" i="15"/>
  <c r="D233" i="15"/>
  <c r="E233" i="15"/>
  <c r="C233" i="15"/>
  <c r="D232" i="15"/>
  <c r="C232" i="15"/>
  <c r="E232" i="15"/>
  <c r="D231" i="15"/>
  <c r="C231" i="15"/>
  <c r="D230" i="15"/>
  <c r="E230" i="15"/>
  <c r="C230" i="15"/>
  <c r="D228" i="15"/>
  <c r="C228" i="15"/>
  <c r="E228" i="15"/>
  <c r="D227" i="15"/>
  <c r="E227" i="15"/>
  <c r="C227" i="15"/>
  <c r="D221" i="15"/>
  <c r="D245" i="15"/>
  <c r="E245" i="15"/>
  <c r="C221" i="15"/>
  <c r="C245" i="15"/>
  <c r="D220" i="15"/>
  <c r="D244" i="15"/>
  <c r="E220" i="15"/>
  <c r="C220" i="15"/>
  <c r="C244" i="15"/>
  <c r="D219" i="15"/>
  <c r="D243" i="15"/>
  <c r="C219" i="15"/>
  <c r="C243" i="15"/>
  <c r="D218" i="15"/>
  <c r="C218" i="15"/>
  <c r="C242" i="15"/>
  <c r="C217" i="15"/>
  <c r="D216" i="15"/>
  <c r="E216" i="15"/>
  <c r="C216" i="15"/>
  <c r="C240" i="15"/>
  <c r="D215" i="15"/>
  <c r="D239" i="15"/>
  <c r="C215" i="15"/>
  <c r="C210" i="15"/>
  <c r="E209" i="15"/>
  <c r="E208" i="15"/>
  <c r="E207" i="15"/>
  <c r="E206" i="15"/>
  <c r="D205" i="15"/>
  <c r="D229" i="15"/>
  <c r="E229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E155" i="15"/>
  <c r="E154" i="15"/>
  <c r="E153" i="15"/>
  <c r="E152" i="15"/>
  <c r="D151" i="15"/>
  <c r="D156" i="15"/>
  <c r="C151" i="15"/>
  <c r="E150" i="15"/>
  <c r="E149" i="15"/>
  <c r="C144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C71" i="15"/>
  <c r="D70" i="15"/>
  <c r="E70" i="15"/>
  <c r="C70" i="15"/>
  <c r="C76" i="15"/>
  <c r="D69" i="15"/>
  <c r="C69" i="15"/>
  <c r="C77" i="15"/>
  <c r="C65" i="15"/>
  <c r="C66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E39" i="15"/>
  <c r="C39" i="15"/>
  <c r="D38" i="15"/>
  <c r="E38" i="15"/>
  <c r="C38" i="15"/>
  <c r="D37" i="15"/>
  <c r="C37" i="15"/>
  <c r="E37" i="15"/>
  <c r="D36" i="15"/>
  <c r="E36" i="15"/>
  <c r="C36" i="15"/>
  <c r="D32" i="15"/>
  <c r="C32" i="15"/>
  <c r="C33" i="15"/>
  <c r="C295" i="15"/>
  <c r="E31" i="15"/>
  <c r="E30" i="15"/>
  <c r="E29" i="15"/>
  <c r="E28" i="15"/>
  <c r="E27" i="15"/>
  <c r="E26" i="15"/>
  <c r="E25" i="15"/>
  <c r="D21" i="15"/>
  <c r="D22" i="15"/>
  <c r="E22" i="15"/>
  <c r="D283" i="15"/>
  <c r="C21" i="15"/>
  <c r="C22" i="15"/>
  <c r="C284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F329" i="14"/>
  <c r="E329" i="14"/>
  <c r="F316" i="14"/>
  <c r="E316" i="14"/>
  <c r="C311" i="14"/>
  <c r="E311" i="14"/>
  <c r="F308" i="14"/>
  <c r="E308" i="14"/>
  <c r="C307" i="14"/>
  <c r="E307" i="14"/>
  <c r="C299" i="14"/>
  <c r="E299" i="14"/>
  <c r="C298" i="14"/>
  <c r="F298" i="14"/>
  <c r="E297" i="14"/>
  <c r="C297" i="14"/>
  <c r="C296" i="14"/>
  <c r="E296" i="14"/>
  <c r="F296" i="14"/>
  <c r="C295" i="14"/>
  <c r="E295" i="14"/>
  <c r="F295" i="14"/>
  <c r="C294" i="14"/>
  <c r="E294" i="14"/>
  <c r="F294" i="14"/>
  <c r="C250" i="14"/>
  <c r="E250" i="14"/>
  <c r="F250" i="14"/>
  <c r="C306" i="14"/>
  <c r="E306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F238" i="14"/>
  <c r="C237" i="14"/>
  <c r="E237" i="14"/>
  <c r="F237" i="14"/>
  <c r="E234" i="14"/>
  <c r="F234" i="14"/>
  <c r="E233" i="14"/>
  <c r="F233" i="14"/>
  <c r="C230" i="14"/>
  <c r="E230" i="14"/>
  <c r="C229" i="14"/>
  <c r="E229" i="14"/>
  <c r="F229" i="14"/>
  <c r="E228" i="14"/>
  <c r="F228" i="14"/>
  <c r="C226" i="14"/>
  <c r="E225" i="14"/>
  <c r="F225" i="14"/>
  <c r="E224" i="14"/>
  <c r="F224" i="14"/>
  <c r="C223" i="14"/>
  <c r="E223" i="14"/>
  <c r="F223" i="14"/>
  <c r="E222" i="14"/>
  <c r="F222" i="14"/>
  <c r="E221" i="14"/>
  <c r="F221" i="14"/>
  <c r="C204" i="14"/>
  <c r="C203" i="14"/>
  <c r="C283" i="14"/>
  <c r="E283" i="14"/>
  <c r="C198" i="14"/>
  <c r="E198" i="14"/>
  <c r="C191" i="14"/>
  <c r="E191" i="14"/>
  <c r="C189" i="14"/>
  <c r="C262" i="14"/>
  <c r="C188" i="14"/>
  <c r="E188" i="14"/>
  <c r="E180" i="14"/>
  <c r="C180" i="14"/>
  <c r="F180" i="14"/>
  <c r="C179" i="14"/>
  <c r="E179" i="14"/>
  <c r="F171" i="14"/>
  <c r="C171" i="14"/>
  <c r="E171" i="14"/>
  <c r="E170" i="14"/>
  <c r="C170" i="14"/>
  <c r="F170" i="14"/>
  <c r="F169" i="14"/>
  <c r="E169" i="14"/>
  <c r="F168" i="14"/>
  <c r="E168" i="14"/>
  <c r="C165" i="14"/>
  <c r="F165" i="14"/>
  <c r="C164" i="14"/>
  <c r="E164" i="14"/>
  <c r="F163" i="14"/>
  <c r="E163" i="14"/>
  <c r="E158" i="14"/>
  <c r="C158" i="14"/>
  <c r="F158" i="14"/>
  <c r="C159" i="14"/>
  <c r="E159" i="14"/>
  <c r="F157" i="14"/>
  <c r="E157" i="14"/>
  <c r="F156" i="14"/>
  <c r="E156" i="14"/>
  <c r="E155" i="14"/>
  <c r="C155" i="14"/>
  <c r="F155" i="14"/>
  <c r="F154" i="14"/>
  <c r="E154" i="14"/>
  <c r="F153" i="14"/>
  <c r="E153" i="14"/>
  <c r="C145" i="14"/>
  <c r="E145" i="14"/>
  <c r="C144" i="14"/>
  <c r="E144" i="14"/>
  <c r="C136" i="14"/>
  <c r="E136" i="14"/>
  <c r="C135" i="14"/>
  <c r="E135" i="14"/>
  <c r="F135" i="14"/>
  <c r="E134" i="14"/>
  <c r="F134" i="14"/>
  <c r="E133" i="14"/>
  <c r="F133" i="14"/>
  <c r="C130" i="14"/>
  <c r="E130" i="14"/>
  <c r="C129" i="14"/>
  <c r="E129" i="14"/>
  <c r="E128" i="14"/>
  <c r="F128" i="14"/>
  <c r="C123" i="14"/>
  <c r="C193" i="14"/>
  <c r="E122" i="14"/>
  <c r="F122" i="14"/>
  <c r="E121" i="14"/>
  <c r="F121" i="14"/>
  <c r="C120" i="14"/>
  <c r="E120" i="14"/>
  <c r="E119" i="14"/>
  <c r="F119" i="14"/>
  <c r="E118" i="14"/>
  <c r="F118" i="14"/>
  <c r="C110" i="14"/>
  <c r="E109" i="14"/>
  <c r="C109" i="14"/>
  <c r="C111" i="14"/>
  <c r="C101" i="14"/>
  <c r="C102" i="14"/>
  <c r="E102" i="14"/>
  <c r="C100" i="14"/>
  <c r="E99" i="14"/>
  <c r="F99" i="14"/>
  <c r="E98" i="14"/>
  <c r="F98" i="14"/>
  <c r="C95" i="14"/>
  <c r="E95" i="14"/>
  <c r="C94" i="14"/>
  <c r="E94" i="14"/>
  <c r="E93" i="14"/>
  <c r="F93" i="14"/>
  <c r="C88" i="14"/>
  <c r="C89" i="14"/>
  <c r="E87" i="14"/>
  <c r="F87" i="14"/>
  <c r="E86" i="14"/>
  <c r="F86" i="14"/>
  <c r="C85" i="14"/>
  <c r="E85" i="14"/>
  <c r="E84" i="14"/>
  <c r="F84" i="14"/>
  <c r="E83" i="14"/>
  <c r="F83" i="14"/>
  <c r="E76" i="14"/>
  <c r="C76" i="14"/>
  <c r="C77" i="14"/>
  <c r="F74" i="14"/>
  <c r="E74" i="14"/>
  <c r="F73" i="14"/>
  <c r="E73" i="14"/>
  <c r="C67" i="14"/>
  <c r="C66" i="14"/>
  <c r="E66" i="14"/>
  <c r="C59" i="14"/>
  <c r="E59" i="14"/>
  <c r="C58" i="14"/>
  <c r="E58" i="14"/>
  <c r="E57" i="14"/>
  <c r="F57" i="14"/>
  <c r="E56" i="14"/>
  <c r="F56" i="14"/>
  <c r="C53" i="14"/>
  <c r="E52" i="14"/>
  <c r="C52" i="14"/>
  <c r="F52" i="14"/>
  <c r="E51" i="14"/>
  <c r="F51" i="14"/>
  <c r="C47" i="14"/>
  <c r="E47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E36" i="14"/>
  <c r="C35" i="14"/>
  <c r="E35" i="14"/>
  <c r="C30" i="14"/>
  <c r="E30" i="14"/>
  <c r="C29" i="14"/>
  <c r="E29" i="14"/>
  <c r="F29" i="14"/>
  <c r="E28" i="14"/>
  <c r="F28" i="14"/>
  <c r="E27" i="14"/>
  <c r="F27" i="14"/>
  <c r="C24" i="14"/>
  <c r="C23" i="14"/>
  <c r="E23" i="14"/>
  <c r="E22" i="14"/>
  <c r="F22" i="14"/>
  <c r="C20" i="14"/>
  <c r="C266" i="14"/>
  <c r="E19" i="14"/>
  <c r="F19" i="14"/>
  <c r="E18" i="14"/>
  <c r="F18" i="14"/>
  <c r="C17" i="14"/>
  <c r="E17" i="14"/>
  <c r="F17" i="14"/>
  <c r="E16" i="14"/>
  <c r="F16" i="14"/>
  <c r="E15" i="14"/>
  <c r="F15" i="14"/>
  <c r="D23" i="13"/>
  <c r="C23" i="13"/>
  <c r="E23" i="13"/>
  <c r="E22" i="13"/>
  <c r="F22" i="13"/>
  <c r="D19" i="13"/>
  <c r="C19" i="13"/>
  <c r="E19" i="13"/>
  <c r="E18" i="13"/>
  <c r="F18" i="13"/>
  <c r="E17" i="13"/>
  <c r="F17" i="13"/>
  <c r="D14" i="13"/>
  <c r="C14" i="13"/>
  <c r="E14" i="13"/>
  <c r="E13" i="13"/>
  <c r="F13" i="13"/>
  <c r="E12" i="13"/>
  <c r="F12" i="13"/>
  <c r="D99" i="12"/>
  <c r="C99" i="12"/>
  <c r="E99" i="12"/>
  <c r="E98" i="12"/>
  <c r="F98" i="12"/>
  <c r="F97" i="12"/>
  <c r="E97" i="12"/>
  <c r="E96" i="12"/>
  <c r="F96" i="12"/>
  <c r="D92" i="12"/>
  <c r="C92" i="12"/>
  <c r="E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E70" i="12"/>
  <c r="F70" i="12"/>
  <c r="C70" i="12"/>
  <c r="E69" i="12"/>
  <c r="F69" i="12"/>
  <c r="E68" i="12"/>
  <c r="F68" i="12"/>
  <c r="D65" i="12"/>
  <c r="E65" i="12"/>
  <c r="F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E45" i="12"/>
  <c r="C45" i="12"/>
  <c r="F45" i="12"/>
  <c r="F44" i="12"/>
  <c r="E44" i="12"/>
  <c r="F43" i="12"/>
  <c r="E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F30" i="12"/>
  <c r="F29" i="12"/>
  <c r="E29" i="12"/>
  <c r="F28" i="12"/>
  <c r="E28" i="12"/>
  <c r="F27" i="12"/>
  <c r="E27" i="12"/>
  <c r="F26" i="12"/>
  <c r="E26" i="12"/>
  <c r="D23" i="12"/>
  <c r="E23" i="12"/>
  <c r="C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I37" i="11"/>
  <c r="H37" i="11"/>
  <c r="D33" i="11"/>
  <c r="D36" i="11"/>
  <c r="D38" i="11"/>
  <c r="D40" i="11"/>
  <c r="D31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F17" i="11"/>
  <c r="F31" i="11"/>
  <c r="F33" i="11"/>
  <c r="E17" i="11"/>
  <c r="E31" i="11"/>
  <c r="D17" i="11"/>
  <c r="C17" i="11"/>
  <c r="C31" i="11"/>
  <c r="I16" i="11"/>
  <c r="H16" i="11"/>
  <c r="I15" i="11"/>
  <c r="H15" i="11"/>
  <c r="I13" i="11"/>
  <c r="H13" i="11"/>
  <c r="I11" i="11"/>
  <c r="H11" i="11"/>
  <c r="E79" i="10"/>
  <c r="E80" i="10"/>
  <c r="D79" i="10"/>
  <c r="C79" i="10"/>
  <c r="E78" i="10"/>
  <c r="D78" i="10"/>
  <c r="D80" i="10"/>
  <c r="D77" i="10"/>
  <c r="C78" i="10"/>
  <c r="E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D50" i="10"/>
  <c r="C55" i="10"/>
  <c r="E54" i="10"/>
  <c r="E50" i="10"/>
  <c r="D54" i="10"/>
  <c r="C54" i="10"/>
  <c r="C50" i="10"/>
  <c r="E46" i="10"/>
  <c r="D46" i="10"/>
  <c r="D48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E46" i="9"/>
  <c r="E45" i="9"/>
  <c r="F45" i="9"/>
  <c r="F44" i="9"/>
  <c r="E44" i="9"/>
  <c r="D39" i="9"/>
  <c r="C39" i="9"/>
  <c r="E39" i="9"/>
  <c r="F38" i="9"/>
  <c r="E38" i="9"/>
  <c r="F37" i="9"/>
  <c r="E37" i="9"/>
  <c r="E36" i="9"/>
  <c r="F36" i="9"/>
  <c r="D31" i="9"/>
  <c r="E31" i="9"/>
  <c r="F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D33" i="9"/>
  <c r="D41" i="9"/>
  <c r="D48" i="9"/>
  <c r="C16" i="9"/>
  <c r="C19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E64" i="8"/>
  <c r="F64" i="8"/>
  <c r="F63" i="8"/>
  <c r="E63" i="8"/>
  <c r="D61" i="8"/>
  <c r="D65" i="8"/>
  <c r="C61" i="8"/>
  <c r="E60" i="8"/>
  <c r="F60" i="8"/>
  <c r="F59" i="8"/>
  <c r="E59" i="8"/>
  <c r="E56" i="8"/>
  <c r="D56" i="8"/>
  <c r="D75" i="8"/>
  <c r="C56" i="8"/>
  <c r="E55" i="8"/>
  <c r="F55" i="8"/>
  <c r="F54" i="8"/>
  <c r="E54" i="8"/>
  <c r="F53" i="8"/>
  <c r="E53" i="8"/>
  <c r="F52" i="8"/>
  <c r="E52" i="8"/>
  <c r="E51" i="8"/>
  <c r="F51" i="8"/>
  <c r="F50" i="8"/>
  <c r="E50" i="8"/>
  <c r="A50" i="8"/>
  <c r="A51" i="8"/>
  <c r="A52" i="8"/>
  <c r="A53" i="8"/>
  <c r="A54" i="8"/>
  <c r="A55" i="8"/>
  <c r="E49" i="8"/>
  <c r="F49" i="8"/>
  <c r="F40" i="8"/>
  <c r="E40" i="8"/>
  <c r="D38" i="8"/>
  <c r="D41" i="8"/>
  <c r="C38" i="8"/>
  <c r="C41" i="8"/>
  <c r="E37" i="8"/>
  <c r="F37" i="8"/>
  <c r="E36" i="8"/>
  <c r="F36" i="8"/>
  <c r="E33" i="8"/>
  <c r="F33" i="8"/>
  <c r="E32" i="8"/>
  <c r="F32" i="8"/>
  <c r="F31" i="8"/>
  <c r="E31" i="8"/>
  <c r="D29" i="8"/>
  <c r="C29" i="8"/>
  <c r="E29" i="8"/>
  <c r="F28" i="8"/>
  <c r="E28" i="8"/>
  <c r="E27" i="8"/>
  <c r="F27" i="8"/>
  <c r="F26" i="8"/>
  <c r="E26" i="8"/>
  <c r="E25" i="8"/>
  <c r="F25" i="8"/>
  <c r="D22" i="8"/>
  <c r="C22" i="8"/>
  <c r="E21" i="8"/>
  <c r="F21" i="8"/>
  <c r="E20" i="8"/>
  <c r="F20" i="8"/>
  <c r="E19" i="8"/>
  <c r="F19" i="8"/>
  <c r="F18" i="8"/>
  <c r="E18" i="8"/>
  <c r="F17" i="8"/>
  <c r="E17" i="8"/>
  <c r="F16" i="8"/>
  <c r="E16" i="8"/>
  <c r="E15" i="8"/>
  <c r="F15" i="8"/>
  <c r="F14" i="8"/>
  <c r="E14" i="8"/>
  <c r="E13" i="8"/>
  <c r="F13" i="8"/>
  <c r="D120" i="7"/>
  <c r="C120" i="7"/>
  <c r="E120" i="7"/>
  <c r="D119" i="7"/>
  <c r="E119" i="7"/>
  <c r="C119" i="7"/>
  <c r="D118" i="7"/>
  <c r="E118" i="7"/>
  <c r="C118" i="7"/>
  <c r="D117" i="7"/>
  <c r="C117" i="7"/>
  <c r="D116" i="7"/>
  <c r="C116" i="7"/>
  <c r="E116" i="7"/>
  <c r="D115" i="7"/>
  <c r="E115" i="7"/>
  <c r="C115" i="7"/>
  <c r="D114" i="7"/>
  <c r="E114" i="7"/>
  <c r="C114" i="7"/>
  <c r="D113" i="7"/>
  <c r="D122" i="7"/>
  <c r="C113" i="7"/>
  <c r="D112" i="7"/>
  <c r="D121" i="7"/>
  <c r="C112" i="7"/>
  <c r="E112" i="7"/>
  <c r="D108" i="7"/>
  <c r="E108" i="7"/>
  <c r="C108" i="7"/>
  <c r="D107" i="7"/>
  <c r="C107" i="7"/>
  <c r="E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F96" i="7"/>
  <c r="D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C84" i="7"/>
  <c r="E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D47" i="7"/>
  <c r="C47" i="7"/>
  <c r="E47" i="7"/>
  <c r="F46" i="7"/>
  <c r="E46" i="7"/>
  <c r="F45" i="7"/>
  <c r="E45" i="7"/>
  <c r="E44" i="7"/>
  <c r="F44" i="7"/>
  <c r="F43" i="7"/>
  <c r="E43" i="7"/>
  <c r="F42" i="7"/>
  <c r="E42" i="7"/>
  <c r="E41" i="7"/>
  <c r="F41" i="7"/>
  <c r="E40" i="7"/>
  <c r="F40" i="7"/>
  <c r="F39" i="7"/>
  <c r="E39" i="7"/>
  <c r="F38" i="7"/>
  <c r="E38" i="7"/>
  <c r="D36" i="7"/>
  <c r="C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D23" i="7"/>
  <c r="C23" i="7"/>
  <c r="E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E206" i="6"/>
  <c r="D205" i="6"/>
  <c r="E205" i="6"/>
  <c r="C205" i="6"/>
  <c r="D204" i="6"/>
  <c r="E204" i="6"/>
  <c r="C204" i="6"/>
  <c r="D203" i="6"/>
  <c r="C203" i="6"/>
  <c r="D202" i="6"/>
  <c r="C202" i="6"/>
  <c r="E202" i="6"/>
  <c r="D201" i="6"/>
  <c r="E201" i="6"/>
  <c r="C201" i="6"/>
  <c r="D200" i="6"/>
  <c r="E200" i="6"/>
  <c r="C200" i="6"/>
  <c r="D199" i="6"/>
  <c r="D208" i="6"/>
  <c r="C199" i="6"/>
  <c r="D198" i="6"/>
  <c r="D207" i="6"/>
  <c r="C198" i="6"/>
  <c r="E198" i="6"/>
  <c r="D193" i="6"/>
  <c r="E193" i="6"/>
  <c r="C193" i="6"/>
  <c r="D192" i="6"/>
  <c r="E192" i="6"/>
  <c r="C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E154" i="6"/>
  <c r="D153" i="6"/>
  <c r="C153" i="6"/>
  <c r="E153" i="6"/>
  <c r="E152" i="6"/>
  <c r="F152" i="6"/>
  <c r="E151" i="6"/>
  <c r="F151" i="6"/>
  <c r="E150" i="6"/>
  <c r="F150" i="6"/>
  <c r="E149" i="6"/>
  <c r="F149" i="6"/>
  <c r="E148" i="6"/>
  <c r="F148" i="6"/>
  <c r="E147" i="6"/>
  <c r="F147" i="6"/>
  <c r="E146" i="6"/>
  <c r="F146" i="6"/>
  <c r="E145" i="6"/>
  <c r="F145" i="6"/>
  <c r="E144" i="6"/>
  <c r="F144" i="6"/>
  <c r="D141" i="6"/>
  <c r="E141" i="6"/>
  <c r="C141" i="6"/>
  <c r="D140" i="6"/>
  <c r="C140" i="6"/>
  <c r="E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C128" i="6"/>
  <c r="E128" i="6"/>
  <c r="F128" i="6"/>
  <c r="D127" i="6"/>
  <c r="C127" i="6"/>
  <c r="E127" i="6"/>
  <c r="F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D114" i="6"/>
  <c r="E114" i="6"/>
  <c r="C114" i="6"/>
  <c r="E113" i="6"/>
  <c r="F113" i="6"/>
  <c r="E112" i="6"/>
  <c r="F112" i="6"/>
  <c r="E111" i="6"/>
  <c r="F111" i="6"/>
  <c r="F110" i="6"/>
  <c r="E110" i="6"/>
  <c r="E109" i="6"/>
  <c r="F109" i="6"/>
  <c r="E108" i="6"/>
  <c r="F108" i="6"/>
  <c r="E107" i="6"/>
  <c r="F107" i="6"/>
  <c r="F106" i="6"/>
  <c r="E106" i="6"/>
  <c r="E105" i="6"/>
  <c r="F105" i="6"/>
  <c r="D102" i="6"/>
  <c r="C102" i="6"/>
  <c r="E102" i="6"/>
  <c r="D101" i="6"/>
  <c r="C101" i="6"/>
  <c r="E101" i="6"/>
  <c r="F100" i="6"/>
  <c r="E100" i="6"/>
  <c r="E99" i="6"/>
  <c r="F99" i="6"/>
  <c r="F98" i="6"/>
  <c r="E98" i="6"/>
  <c r="E97" i="6"/>
  <c r="F97" i="6"/>
  <c r="E96" i="6"/>
  <c r="F96" i="6"/>
  <c r="E95" i="6"/>
  <c r="F95" i="6"/>
  <c r="F94" i="6"/>
  <c r="E94" i="6"/>
  <c r="E93" i="6"/>
  <c r="F93" i="6"/>
  <c r="E92" i="6"/>
  <c r="F92" i="6"/>
  <c r="D89" i="6"/>
  <c r="E89" i="6"/>
  <c r="C89" i="6"/>
  <c r="F89" i="6"/>
  <c r="D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E76" i="6"/>
  <c r="D75" i="6"/>
  <c r="C75" i="6"/>
  <c r="E74" i="6"/>
  <c r="F74" i="6"/>
  <c r="E73" i="6"/>
  <c r="F73" i="6"/>
  <c r="F72" i="6"/>
  <c r="E72" i="6"/>
  <c r="E71" i="6"/>
  <c r="F71" i="6"/>
  <c r="E70" i="6"/>
  <c r="F70" i="6"/>
  <c r="E69" i="6"/>
  <c r="F69" i="6"/>
  <c r="F68" i="6"/>
  <c r="E68" i="6"/>
  <c r="E67" i="6"/>
  <c r="F67" i="6"/>
  <c r="E66" i="6"/>
  <c r="F66" i="6"/>
  <c r="D63" i="6"/>
  <c r="E63" i="6"/>
  <c r="C63" i="6"/>
  <c r="D62" i="6"/>
  <c r="C62" i="6"/>
  <c r="E62" i="6"/>
  <c r="E61" i="6"/>
  <c r="F61" i="6"/>
  <c r="F60" i="6"/>
  <c r="E60" i="6"/>
  <c r="E59" i="6"/>
  <c r="F59" i="6"/>
  <c r="E58" i="6"/>
  <c r="F58" i="6"/>
  <c r="E57" i="6"/>
  <c r="F57" i="6"/>
  <c r="F56" i="6"/>
  <c r="E56" i="6"/>
  <c r="E55" i="6"/>
  <c r="F55" i="6"/>
  <c r="E54" i="6"/>
  <c r="F54" i="6"/>
  <c r="E53" i="6"/>
  <c r="F53" i="6"/>
  <c r="D50" i="6"/>
  <c r="C50" i="6"/>
  <c r="E50" i="6"/>
  <c r="F50" i="6"/>
  <c r="D49" i="6"/>
  <c r="C49" i="6"/>
  <c r="E49" i="6"/>
  <c r="F49" i="6"/>
  <c r="F48" i="6"/>
  <c r="E48" i="6"/>
  <c r="E47" i="6"/>
  <c r="F47" i="6"/>
  <c r="E46" i="6"/>
  <c r="F46" i="6"/>
  <c r="E45" i="6"/>
  <c r="F45" i="6"/>
  <c r="F44" i="6"/>
  <c r="E44" i="6"/>
  <c r="E43" i="6"/>
  <c r="F43" i="6"/>
  <c r="E42" i="6"/>
  <c r="F42" i="6"/>
  <c r="E41" i="6"/>
  <c r="F41" i="6"/>
  <c r="F40" i="6"/>
  <c r="E40" i="6"/>
  <c r="D37" i="6"/>
  <c r="C37" i="6"/>
  <c r="D36" i="6"/>
  <c r="E36" i="6"/>
  <c r="C36" i="6"/>
  <c r="E35" i="6"/>
  <c r="F35" i="6"/>
  <c r="F34" i="6"/>
  <c r="E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E24" i="6"/>
  <c r="F24" i="6"/>
  <c r="C24" i="6"/>
  <c r="D23" i="6"/>
  <c r="E23" i="6"/>
  <c r="F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D166" i="5"/>
  <c r="C164" i="5"/>
  <c r="C160" i="5"/>
  <c r="E162" i="5"/>
  <c r="D162" i="5"/>
  <c r="C162" i="5"/>
  <c r="E161" i="5"/>
  <c r="D161" i="5"/>
  <c r="C161" i="5"/>
  <c r="E160" i="5"/>
  <c r="E166" i="5"/>
  <c r="E147" i="5"/>
  <c r="E143" i="5"/>
  <c r="E149" i="5"/>
  <c r="D147" i="5"/>
  <c r="C147" i="5"/>
  <c r="C143" i="5"/>
  <c r="C149" i="5"/>
  <c r="E145" i="5"/>
  <c r="D145" i="5"/>
  <c r="C145" i="5"/>
  <c r="E144" i="5"/>
  <c r="D144" i="5"/>
  <c r="C144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D104" i="5"/>
  <c r="E102" i="5"/>
  <c r="E104" i="5"/>
  <c r="D102" i="5"/>
  <c r="C102" i="5"/>
  <c r="C104" i="5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E79" i="5"/>
  <c r="D84" i="5"/>
  <c r="C84" i="5"/>
  <c r="E83" i="5"/>
  <c r="D83" i="5"/>
  <c r="D79" i="5"/>
  <c r="C83" i="5"/>
  <c r="D77" i="5"/>
  <c r="D71" i="5"/>
  <c r="E75" i="5"/>
  <c r="E77" i="5"/>
  <c r="E71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E38" i="5"/>
  <c r="E53" i="5"/>
  <c r="D38" i="5"/>
  <c r="D49" i="5"/>
  <c r="C38" i="5"/>
  <c r="C53" i="5"/>
  <c r="E33" i="5"/>
  <c r="E34" i="5"/>
  <c r="D33" i="5"/>
  <c r="D34" i="5"/>
  <c r="E26" i="5"/>
  <c r="D26" i="5"/>
  <c r="C26" i="5"/>
  <c r="D25" i="5"/>
  <c r="D27" i="5"/>
  <c r="E13" i="5"/>
  <c r="E15" i="5"/>
  <c r="D13" i="5"/>
  <c r="D15" i="5"/>
  <c r="C13" i="5"/>
  <c r="C25" i="5"/>
  <c r="C27" i="5"/>
  <c r="E186" i="4"/>
  <c r="F186" i="4"/>
  <c r="D183" i="4"/>
  <c r="E183" i="4"/>
  <c r="C183" i="4"/>
  <c r="F183" i="4"/>
  <c r="F182" i="4"/>
  <c r="E182" i="4"/>
  <c r="F181" i="4"/>
  <c r="E181" i="4"/>
  <c r="F180" i="4"/>
  <c r="E180" i="4"/>
  <c r="E179" i="4"/>
  <c r="F179" i="4"/>
  <c r="F178" i="4"/>
  <c r="E178" i="4"/>
  <c r="F177" i="4"/>
  <c r="E177" i="4"/>
  <c r="F176" i="4"/>
  <c r="E176" i="4"/>
  <c r="E175" i="4"/>
  <c r="F175" i="4"/>
  <c r="F174" i="4"/>
  <c r="E174" i="4"/>
  <c r="E173" i="4"/>
  <c r="F173" i="4"/>
  <c r="F172" i="4"/>
  <c r="E172" i="4"/>
  <c r="E171" i="4"/>
  <c r="F171" i="4"/>
  <c r="E170" i="4"/>
  <c r="F170" i="4"/>
  <c r="D167" i="4"/>
  <c r="C167" i="4"/>
  <c r="E166" i="4"/>
  <c r="F166" i="4"/>
  <c r="F165" i="4"/>
  <c r="E165" i="4"/>
  <c r="E164" i="4"/>
  <c r="F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E157" i="4"/>
  <c r="F157" i="4"/>
  <c r="E156" i="4"/>
  <c r="F156" i="4"/>
  <c r="E155" i="4"/>
  <c r="F155" i="4"/>
  <c r="E154" i="4"/>
  <c r="F154" i="4"/>
  <c r="F153" i="4"/>
  <c r="E153" i="4"/>
  <c r="E152" i="4"/>
  <c r="F152" i="4"/>
  <c r="E151" i="4"/>
  <c r="F151" i="4"/>
  <c r="E150" i="4"/>
  <c r="F150" i="4"/>
  <c r="F149" i="4"/>
  <c r="E149" i="4"/>
  <c r="F148" i="4"/>
  <c r="E148" i="4"/>
  <c r="F147" i="4"/>
  <c r="E147" i="4"/>
  <c r="E146" i="4"/>
  <c r="F146" i="4"/>
  <c r="E145" i="4"/>
  <c r="F145" i="4"/>
  <c r="E144" i="4"/>
  <c r="F144" i="4"/>
  <c r="F143" i="4"/>
  <c r="E143" i="4"/>
  <c r="E142" i="4"/>
  <c r="F142" i="4"/>
  <c r="E141" i="4"/>
  <c r="F141" i="4"/>
  <c r="E140" i="4"/>
  <c r="F140" i="4"/>
  <c r="F139" i="4"/>
  <c r="E139" i="4"/>
  <c r="E138" i="4"/>
  <c r="F138" i="4"/>
  <c r="E137" i="4"/>
  <c r="F137" i="4"/>
  <c r="F136" i="4"/>
  <c r="E136" i="4"/>
  <c r="E135" i="4"/>
  <c r="F135" i="4"/>
  <c r="E134" i="4"/>
  <c r="F134" i="4"/>
  <c r="E133" i="4"/>
  <c r="F133" i="4"/>
  <c r="D130" i="4"/>
  <c r="C130" i="4"/>
  <c r="C188" i="4"/>
  <c r="F129" i="4"/>
  <c r="E129" i="4"/>
  <c r="F128" i="4"/>
  <c r="E128" i="4"/>
  <c r="E127" i="4"/>
  <c r="F127" i="4"/>
  <c r="E126" i="4"/>
  <c r="F126" i="4"/>
  <c r="F125" i="4"/>
  <c r="E125" i="4"/>
  <c r="E124" i="4"/>
  <c r="F124" i="4"/>
  <c r="D121" i="4"/>
  <c r="C121" i="4"/>
  <c r="E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E90" i="4"/>
  <c r="C90" i="4"/>
  <c r="F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F72" i="4"/>
  <c r="E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E41" i="4"/>
  <c r="E40" i="4"/>
  <c r="F40" i="4"/>
  <c r="E39" i="4"/>
  <c r="F39" i="4"/>
  <c r="E38" i="4"/>
  <c r="F38" i="4"/>
  <c r="D35" i="4"/>
  <c r="E35" i="4"/>
  <c r="F35" i="4"/>
  <c r="C35" i="4"/>
  <c r="E34" i="4"/>
  <c r="F34" i="4"/>
  <c r="E33" i="4"/>
  <c r="F33" i="4"/>
  <c r="D30" i="4"/>
  <c r="E30" i="4"/>
  <c r="F30" i="4"/>
  <c r="C30" i="4"/>
  <c r="E29" i="4"/>
  <c r="F29" i="4"/>
  <c r="E28" i="4"/>
  <c r="F28" i="4"/>
  <c r="E27" i="4"/>
  <c r="F27" i="4"/>
  <c r="D24" i="4"/>
  <c r="C24" i="4"/>
  <c r="E24" i="4"/>
  <c r="F24" i="4"/>
  <c r="E23" i="4"/>
  <c r="F23" i="4"/>
  <c r="F22" i="4"/>
  <c r="E22" i="4"/>
  <c r="E21" i="4"/>
  <c r="F21" i="4"/>
  <c r="D18" i="4"/>
  <c r="C18" i="4"/>
  <c r="E18" i="4"/>
  <c r="E17" i="4"/>
  <c r="F17" i="4"/>
  <c r="F16" i="4"/>
  <c r="E16" i="4"/>
  <c r="E15" i="4"/>
  <c r="F15" i="4"/>
  <c r="D179" i="3"/>
  <c r="C179" i="3"/>
  <c r="E179" i="3"/>
  <c r="F178" i="3"/>
  <c r="E178" i="3"/>
  <c r="F177" i="3"/>
  <c r="E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F166" i="3"/>
  <c r="C166" i="3"/>
  <c r="F165" i="3"/>
  <c r="E165" i="3"/>
  <c r="F164" i="3"/>
  <c r="E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E153" i="3"/>
  <c r="F153" i="3"/>
  <c r="F152" i="3"/>
  <c r="E152" i="3"/>
  <c r="F151" i="3"/>
  <c r="E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E137" i="3"/>
  <c r="F136" i="3"/>
  <c r="E136" i="3"/>
  <c r="F135" i="3"/>
  <c r="E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E124" i="3"/>
  <c r="F123" i="3"/>
  <c r="E123" i="3"/>
  <c r="F122" i="3"/>
  <c r="E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F111" i="3"/>
  <c r="C111" i="3"/>
  <c r="F110" i="3"/>
  <c r="E110" i="3"/>
  <c r="F109" i="3"/>
  <c r="E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E94" i="3"/>
  <c r="D93" i="3"/>
  <c r="C93" i="3"/>
  <c r="E93" i="3"/>
  <c r="D92" i="3"/>
  <c r="C92" i="3"/>
  <c r="E92" i="3"/>
  <c r="F92" i="3"/>
  <c r="D91" i="3"/>
  <c r="C91" i="3"/>
  <c r="E91" i="3"/>
  <c r="D90" i="3"/>
  <c r="C90" i="3"/>
  <c r="E90" i="3"/>
  <c r="F90" i="3"/>
  <c r="D89" i="3"/>
  <c r="C89" i="3"/>
  <c r="E89" i="3"/>
  <c r="D88" i="3"/>
  <c r="C88" i="3"/>
  <c r="E88" i="3"/>
  <c r="F88" i="3"/>
  <c r="D87" i="3"/>
  <c r="C87" i="3"/>
  <c r="E87" i="3"/>
  <c r="D86" i="3"/>
  <c r="C86" i="3"/>
  <c r="E86" i="3"/>
  <c r="F86" i="3"/>
  <c r="D85" i="3"/>
  <c r="C85" i="3"/>
  <c r="E85" i="3"/>
  <c r="D84" i="3"/>
  <c r="D95" i="3"/>
  <c r="C84" i="3"/>
  <c r="E84" i="3"/>
  <c r="D81" i="3"/>
  <c r="C81" i="3"/>
  <c r="E81" i="3"/>
  <c r="F81" i="3"/>
  <c r="F80" i="3"/>
  <c r="E80" i="3"/>
  <c r="F79" i="3"/>
  <c r="E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E68" i="3"/>
  <c r="F67" i="3"/>
  <c r="E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E51" i="3"/>
  <c r="D50" i="3"/>
  <c r="C50" i="3"/>
  <c r="E50" i="3"/>
  <c r="D49" i="3"/>
  <c r="C49" i="3"/>
  <c r="E49" i="3"/>
  <c r="D48" i="3"/>
  <c r="C48" i="3"/>
  <c r="E48" i="3"/>
  <c r="F48" i="3"/>
  <c r="D47" i="3"/>
  <c r="C47" i="3"/>
  <c r="E47" i="3"/>
  <c r="D46" i="3"/>
  <c r="C46" i="3"/>
  <c r="E46" i="3"/>
  <c r="F46" i="3"/>
  <c r="D45" i="3"/>
  <c r="C45" i="3"/>
  <c r="E45" i="3"/>
  <c r="D44" i="3"/>
  <c r="C44" i="3"/>
  <c r="E44" i="3"/>
  <c r="F44" i="3"/>
  <c r="D43" i="3"/>
  <c r="C43" i="3"/>
  <c r="E43" i="3"/>
  <c r="D42" i="3"/>
  <c r="C42" i="3"/>
  <c r="E42" i="3"/>
  <c r="F42" i="3"/>
  <c r="D41" i="3"/>
  <c r="D52" i="3"/>
  <c r="E52" i="3"/>
  <c r="F52" i="3"/>
  <c r="C41" i="3"/>
  <c r="C52" i="3"/>
  <c r="D38" i="3"/>
  <c r="C38" i="3"/>
  <c r="E38" i="3"/>
  <c r="F38" i="3"/>
  <c r="F37" i="3"/>
  <c r="E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5" i="3"/>
  <c r="F24" i="3"/>
  <c r="E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E46" i="2"/>
  <c r="E45" i="2"/>
  <c r="F45" i="2"/>
  <c r="F44" i="2"/>
  <c r="E44" i="2"/>
  <c r="D39" i="2"/>
  <c r="C39" i="2"/>
  <c r="E39" i="2"/>
  <c r="F38" i="2"/>
  <c r="E38" i="2"/>
  <c r="F37" i="2"/>
  <c r="E37" i="2"/>
  <c r="E36" i="2"/>
  <c r="F36" i="2"/>
  <c r="D31" i="2"/>
  <c r="C31" i="2"/>
  <c r="E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E16" i="2"/>
  <c r="D16" i="2"/>
  <c r="D19" i="2"/>
  <c r="C16" i="2"/>
  <c r="C19" i="2"/>
  <c r="F16" i="2"/>
  <c r="F15" i="2"/>
  <c r="E15" i="2"/>
  <c r="E14" i="2"/>
  <c r="F14" i="2"/>
  <c r="E13" i="2"/>
  <c r="F13" i="2"/>
  <c r="E12" i="2"/>
  <c r="F12" i="2"/>
  <c r="D73" i="1"/>
  <c r="E73" i="1"/>
  <c r="F73" i="1"/>
  <c r="C73" i="1"/>
  <c r="E72" i="1"/>
  <c r="F72" i="1"/>
  <c r="E71" i="1"/>
  <c r="F71" i="1"/>
  <c r="E70" i="1"/>
  <c r="F70" i="1"/>
  <c r="F67" i="1"/>
  <c r="E67" i="1"/>
  <c r="E64" i="1"/>
  <c r="F64" i="1"/>
  <c r="F63" i="1"/>
  <c r="E63" i="1"/>
  <c r="D61" i="1"/>
  <c r="E61" i="1"/>
  <c r="C61" i="1"/>
  <c r="E60" i="1"/>
  <c r="F60" i="1"/>
  <c r="F59" i="1"/>
  <c r="E59" i="1"/>
  <c r="D56" i="1"/>
  <c r="C56" i="1"/>
  <c r="E56" i="1"/>
  <c r="E55" i="1"/>
  <c r="F55" i="1"/>
  <c r="F54" i="1"/>
  <c r="E54" i="1"/>
  <c r="F53" i="1"/>
  <c r="E53" i="1"/>
  <c r="F52" i="1"/>
  <c r="E52" i="1"/>
  <c r="E51" i="1"/>
  <c r="F51" i="1"/>
  <c r="F50" i="1"/>
  <c r="E50" i="1"/>
  <c r="A50" i="1"/>
  <c r="A51" i="1"/>
  <c r="A52" i="1"/>
  <c r="A53" i="1"/>
  <c r="A54" i="1"/>
  <c r="A55" i="1"/>
  <c r="E49" i="1"/>
  <c r="F49" i="1"/>
  <c r="D41" i="1"/>
  <c r="F40" i="1"/>
  <c r="E40" i="1"/>
  <c r="D38" i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C29" i="1"/>
  <c r="E29" i="1"/>
  <c r="E28" i="1"/>
  <c r="F28" i="1"/>
  <c r="E27" i="1"/>
  <c r="F27" i="1"/>
  <c r="F26" i="1"/>
  <c r="E26" i="1"/>
  <c r="E25" i="1"/>
  <c r="F25" i="1"/>
  <c r="E22" i="1"/>
  <c r="D22" i="1"/>
  <c r="D43" i="1"/>
  <c r="C22" i="1"/>
  <c r="F22" i="1"/>
  <c r="E21" i="1"/>
  <c r="F21" i="1"/>
  <c r="E20" i="1"/>
  <c r="F20" i="1"/>
  <c r="E19" i="1"/>
  <c r="F19" i="1"/>
  <c r="F18" i="1"/>
  <c r="E18" i="1"/>
  <c r="F17" i="1"/>
  <c r="E17" i="1"/>
  <c r="F16" i="1"/>
  <c r="E16" i="1"/>
  <c r="E15" i="1"/>
  <c r="F15" i="1"/>
  <c r="F14" i="1"/>
  <c r="E14" i="1"/>
  <c r="E13" i="1"/>
  <c r="F13" i="1"/>
  <c r="F23" i="14"/>
  <c r="E77" i="14"/>
  <c r="F120" i="14"/>
  <c r="D278" i="14"/>
  <c r="D264" i="14"/>
  <c r="F76" i="14"/>
  <c r="D37" i="14"/>
  <c r="D262" i="14"/>
  <c r="E262" i="14"/>
  <c r="F262" i="14"/>
  <c r="C140" i="5"/>
  <c r="C136" i="5"/>
  <c r="C139" i="5"/>
  <c r="C135" i="5"/>
  <c r="C141" i="5"/>
  <c r="C138" i="5"/>
  <c r="C137" i="5"/>
  <c r="E157" i="5"/>
  <c r="E155" i="5"/>
  <c r="E154" i="5"/>
  <c r="E156" i="5"/>
  <c r="E153" i="5"/>
  <c r="E152" i="5"/>
  <c r="D156" i="5"/>
  <c r="D157" i="5"/>
  <c r="D154" i="5"/>
  <c r="D153" i="5"/>
  <c r="D152" i="5"/>
  <c r="D155" i="5"/>
  <c r="D33" i="2"/>
  <c r="E24" i="5"/>
  <c r="E17" i="5"/>
  <c r="E135" i="5"/>
  <c r="E138" i="5"/>
  <c r="E137" i="5"/>
  <c r="E140" i="5"/>
  <c r="E136" i="5"/>
  <c r="E139" i="5"/>
  <c r="E41" i="8"/>
  <c r="F41" i="8"/>
  <c r="D137" i="5"/>
  <c r="D136" i="5"/>
  <c r="D140" i="5"/>
  <c r="D139" i="5"/>
  <c r="D135" i="5"/>
  <c r="D141" i="5"/>
  <c r="D138" i="5"/>
  <c r="E19" i="9"/>
  <c r="F19" i="9"/>
  <c r="C33" i="9"/>
  <c r="D21" i="10"/>
  <c r="E15" i="10"/>
  <c r="E25" i="10"/>
  <c r="E27" i="10"/>
  <c r="C95" i="4"/>
  <c r="F31" i="2"/>
  <c r="F43" i="3"/>
  <c r="F45" i="3"/>
  <c r="F47" i="3"/>
  <c r="F49" i="3"/>
  <c r="F50" i="3"/>
  <c r="F51" i="3"/>
  <c r="F84" i="3"/>
  <c r="F85" i="3"/>
  <c r="F87" i="3"/>
  <c r="F89" i="3"/>
  <c r="F91" i="3"/>
  <c r="F93" i="3"/>
  <c r="F94" i="3"/>
  <c r="F124" i="3"/>
  <c r="F179" i="3"/>
  <c r="F41" i="4"/>
  <c r="F121" i="4"/>
  <c r="C15" i="5"/>
  <c r="E25" i="5"/>
  <c r="E27" i="5"/>
  <c r="D53" i="5"/>
  <c r="E57" i="5"/>
  <c r="E62" i="5"/>
  <c r="C77" i="5"/>
  <c r="C71" i="5"/>
  <c r="E88" i="5"/>
  <c r="E90" i="5"/>
  <c r="E86" i="5"/>
  <c r="F36" i="6"/>
  <c r="F63" i="6"/>
  <c r="F76" i="6"/>
  <c r="F114" i="6"/>
  <c r="F141" i="6"/>
  <c r="F153" i="6"/>
  <c r="F154" i="6"/>
  <c r="C207" i="6"/>
  <c r="C121" i="7"/>
  <c r="D42" i="10"/>
  <c r="C80" i="10"/>
  <c r="C77" i="10"/>
  <c r="I17" i="11"/>
  <c r="C33" i="11"/>
  <c r="C36" i="11"/>
  <c r="C38" i="11"/>
  <c r="C40" i="11"/>
  <c r="E59" i="10"/>
  <c r="E61" i="10"/>
  <c r="E57" i="10"/>
  <c r="E48" i="10"/>
  <c r="E42" i="10"/>
  <c r="C95" i="3"/>
  <c r="E95" i="3"/>
  <c r="F95" i="3"/>
  <c r="F192" i="6"/>
  <c r="F200" i="6"/>
  <c r="F204" i="6"/>
  <c r="F107" i="7"/>
  <c r="F114" i="7"/>
  <c r="F118" i="7"/>
  <c r="E22" i="8"/>
  <c r="I31" i="11"/>
  <c r="G33" i="11"/>
  <c r="E30" i="12"/>
  <c r="C25" i="10"/>
  <c r="C27" i="10"/>
  <c r="C15" i="10"/>
  <c r="C125" i="15"/>
  <c r="C121" i="15"/>
  <c r="C114" i="15"/>
  <c r="C110" i="15"/>
  <c r="C127" i="15"/>
  <c r="C123" i="15"/>
  <c r="C112" i="15"/>
  <c r="C109" i="15"/>
  <c r="C126" i="15"/>
  <c r="C115" i="15"/>
  <c r="C124" i="15"/>
  <c r="C113" i="15"/>
  <c r="C122" i="15"/>
  <c r="C111" i="15"/>
  <c r="C252" i="15"/>
  <c r="E243" i="15"/>
  <c r="E38" i="1"/>
  <c r="F38" i="1"/>
  <c r="C65" i="1"/>
  <c r="E41" i="3"/>
  <c r="F41" i="3"/>
  <c r="E167" i="4"/>
  <c r="F167" i="4"/>
  <c r="D57" i="5"/>
  <c r="D62" i="5"/>
  <c r="C166" i="5"/>
  <c r="F101" i="6"/>
  <c r="F102" i="6"/>
  <c r="F193" i="6"/>
  <c r="E199" i="6"/>
  <c r="F199" i="6"/>
  <c r="F201" i="6"/>
  <c r="E203" i="6"/>
  <c r="F203" i="6"/>
  <c r="F205" i="6"/>
  <c r="C208" i="6"/>
  <c r="E208" i="6"/>
  <c r="F208" i="6"/>
  <c r="E24" i="7"/>
  <c r="F24" i="7"/>
  <c r="E35" i="7"/>
  <c r="F35" i="7"/>
  <c r="E48" i="7"/>
  <c r="F48" i="7"/>
  <c r="E59" i="7"/>
  <c r="F59" i="7"/>
  <c r="E71" i="7"/>
  <c r="E83" i="7"/>
  <c r="E95" i="7"/>
  <c r="F108" i="7"/>
  <c r="E113" i="7"/>
  <c r="F113" i="7"/>
  <c r="F115" i="7"/>
  <c r="E117" i="7"/>
  <c r="F117" i="7"/>
  <c r="F119" i="7"/>
  <c r="C122" i="7"/>
  <c r="D43" i="8"/>
  <c r="F29" i="8"/>
  <c r="F56" i="8"/>
  <c r="E61" i="8"/>
  <c r="F61" i="8"/>
  <c r="C65" i="8"/>
  <c r="H33" i="11"/>
  <c r="H36" i="11"/>
  <c r="H38" i="11"/>
  <c r="H40" i="11"/>
  <c r="E33" i="11"/>
  <c r="E36" i="11"/>
  <c r="E38" i="11"/>
  <c r="E40" i="11"/>
  <c r="F36" i="11"/>
  <c r="F38" i="11"/>
  <c r="F40" i="11"/>
  <c r="F16" i="12"/>
  <c r="F23" i="12"/>
  <c r="E37" i="12"/>
  <c r="C48" i="10"/>
  <c r="C42" i="10"/>
  <c r="C59" i="10"/>
  <c r="C61" i="10"/>
  <c r="C57" i="10"/>
  <c r="E111" i="14"/>
  <c r="F111" i="14"/>
  <c r="F62" i="6"/>
  <c r="E88" i="6"/>
  <c r="E115" i="6"/>
  <c r="F115" i="6"/>
  <c r="F140" i="6"/>
  <c r="F198" i="6"/>
  <c r="F202" i="6"/>
  <c r="F206" i="6"/>
  <c r="F23" i="7"/>
  <c r="E36" i="7"/>
  <c r="F36" i="7"/>
  <c r="F47" i="7"/>
  <c r="E60" i="7"/>
  <c r="F60" i="7"/>
  <c r="E72" i="7"/>
  <c r="F112" i="7"/>
  <c r="F116" i="7"/>
  <c r="F120" i="7"/>
  <c r="F22" i="8"/>
  <c r="E38" i="8"/>
  <c r="F38" i="8"/>
  <c r="F73" i="8"/>
  <c r="E16" i="9"/>
  <c r="F16" i="9"/>
  <c r="F39" i="9"/>
  <c r="F46" i="9"/>
  <c r="D33" i="15"/>
  <c r="E32" i="15"/>
  <c r="E251" i="15"/>
  <c r="C45" i="19"/>
  <c r="C39" i="19"/>
  <c r="C35" i="19"/>
  <c r="C29" i="19"/>
  <c r="C110" i="19"/>
  <c r="C53" i="19"/>
  <c r="E110" i="19"/>
  <c r="E109" i="19"/>
  <c r="E108" i="19"/>
  <c r="F92" i="12"/>
  <c r="F23" i="13"/>
  <c r="E24" i="14"/>
  <c r="F24" i="14"/>
  <c r="C31" i="14"/>
  <c r="C37" i="14"/>
  <c r="E53" i="14"/>
  <c r="F53" i="14"/>
  <c r="C60" i="14"/>
  <c r="E67" i="14"/>
  <c r="F67" i="14"/>
  <c r="E89" i="14"/>
  <c r="F89" i="14"/>
  <c r="E100" i="14"/>
  <c r="F100" i="14"/>
  <c r="C103" i="14"/>
  <c r="E110" i="14"/>
  <c r="F110" i="14"/>
  <c r="E123" i="14"/>
  <c r="F129" i="14"/>
  <c r="F198" i="14"/>
  <c r="F230" i="14"/>
  <c r="C239" i="14"/>
  <c r="F283" i="14"/>
  <c r="F297" i="14"/>
  <c r="F307" i="14"/>
  <c r="F311" i="14"/>
  <c r="C43" i="15"/>
  <c r="C259" i="15"/>
  <c r="D222" i="15"/>
  <c r="D223" i="15"/>
  <c r="C146" i="14"/>
  <c r="F144" i="14"/>
  <c r="C277" i="14"/>
  <c r="C261" i="14"/>
  <c r="C254" i="14"/>
  <c r="D55" i="15"/>
  <c r="D284" i="15"/>
  <c r="E284" i="15"/>
  <c r="E55" i="15"/>
  <c r="E54" i="15"/>
  <c r="C163" i="15"/>
  <c r="E163" i="15"/>
  <c r="C156" i="15"/>
  <c r="D189" i="15"/>
  <c r="D261" i="15"/>
  <c r="E188" i="15"/>
  <c r="E205" i="15"/>
  <c r="D210" i="15"/>
  <c r="E218" i="15"/>
  <c r="D217" i="15"/>
  <c r="E75" i="12"/>
  <c r="F75" i="12"/>
  <c r="F30" i="14"/>
  <c r="F36" i="14"/>
  <c r="F59" i="14"/>
  <c r="F85" i="14"/>
  <c r="F94" i="14"/>
  <c r="F102" i="14"/>
  <c r="F145" i="14"/>
  <c r="F179" i="14"/>
  <c r="C181" i="14"/>
  <c r="F181" i="14"/>
  <c r="F191" i="14"/>
  <c r="C200" i="14"/>
  <c r="C214" i="14"/>
  <c r="C280" i="14"/>
  <c r="E280" i="14"/>
  <c r="F280" i="14"/>
  <c r="C290" i="14"/>
  <c r="E69" i="15"/>
  <c r="E221" i="15"/>
  <c r="E181" i="14"/>
  <c r="E239" i="14"/>
  <c r="E226" i="14"/>
  <c r="F226" i="14"/>
  <c r="C227" i="14"/>
  <c r="C180" i="15"/>
  <c r="C145" i="15"/>
  <c r="D157" i="15"/>
  <c r="C108" i="19"/>
  <c r="C109" i="19"/>
  <c r="D209" i="14"/>
  <c r="D104" i="14"/>
  <c r="D174" i="14"/>
  <c r="H17" i="11"/>
  <c r="F84" i="12"/>
  <c r="F99" i="12"/>
  <c r="F14" i="13"/>
  <c r="F19" i="13"/>
  <c r="C304" i="14"/>
  <c r="F66" i="14"/>
  <c r="F109" i="14"/>
  <c r="C124" i="14"/>
  <c r="C172" i="14"/>
  <c r="C194" i="14"/>
  <c r="C264" i="14"/>
  <c r="E21" i="15"/>
  <c r="D43" i="15"/>
  <c r="E219" i="15"/>
  <c r="C239" i="15"/>
  <c r="E239" i="15"/>
  <c r="C283" i="15"/>
  <c r="E283" i="15"/>
  <c r="D326" i="15"/>
  <c r="F40" i="17"/>
  <c r="D90" i="14"/>
  <c r="D272" i="14"/>
  <c r="C285" i="14"/>
  <c r="E204" i="14"/>
  <c r="F204" i="14"/>
  <c r="C269" i="14"/>
  <c r="D71" i="15"/>
  <c r="E71" i="15"/>
  <c r="D65" i="15"/>
  <c r="D289" i="15"/>
  <c r="E289" i="15"/>
  <c r="E60" i="15"/>
  <c r="D144" i="15"/>
  <c r="D175" i="15"/>
  <c r="E175" i="15"/>
  <c r="E139" i="15"/>
  <c r="D252" i="15"/>
  <c r="E252" i="15"/>
  <c r="E231" i="15"/>
  <c r="C37" i="16"/>
  <c r="C38" i="16"/>
  <c r="C127" i="16"/>
  <c r="C129" i="16"/>
  <c r="C133" i="16"/>
  <c r="C22" i="16"/>
  <c r="D175" i="14"/>
  <c r="D62" i="14"/>
  <c r="D210" i="14"/>
  <c r="D105" i="14"/>
  <c r="D254" i="14"/>
  <c r="E214" i="14"/>
  <c r="D216" i="14"/>
  <c r="F123" i="14"/>
  <c r="F130" i="14"/>
  <c r="F188" i="14"/>
  <c r="C190" i="14"/>
  <c r="C192" i="14"/>
  <c r="C199" i="14"/>
  <c r="C206" i="14"/>
  <c r="C215" i="14"/>
  <c r="C255" i="14"/>
  <c r="C274" i="14"/>
  <c r="E151" i="15"/>
  <c r="E195" i="15"/>
  <c r="E215" i="15"/>
  <c r="C253" i="15"/>
  <c r="D240" i="15"/>
  <c r="D242" i="15"/>
  <c r="E242" i="15"/>
  <c r="E244" i="15"/>
  <c r="E260" i="15"/>
  <c r="C303" i="15"/>
  <c r="C306" i="15"/>
  <c r="C310" i="15"/>
  <c r="D41" i="17"/>
  <c r="E29" i="19"/>
  <c r="C33" i="19"/>
  <c r="D34" i="19"/>
  <c r="E35" i="19"/>
  <c r="E39" i="19"/>
  <c r="E45" i="19"/>
  <c r="D102" i="19"/>
  <c r="D103" i="19"/>
  <c r="E111" i="19"/>
  <c r="D125" i="14"/>
  <c r="D138" i="14"/>
  <c r="D161" i="14"/>
  <c r="D267" i="14"/>
  <c r="D277" i="14"/>
  <c r="D285" i="14"/>
  <c r="D286" i="14"/>
  <c r="D22" i="19"/>
  <c r="E30" i="19"/>
  <c r="E36" i="19"/>
  <c r="E40" i="19"/>
  <c r="E46" i="19"/>
  <c r="C54" i="19"/>
  <c r="D160" i="14"/>
  <c r="D192" i="14"/>
  <c r="D200" i="14"/>
  <c r="E200" i="14"/>
  <c r="F200" i="14"/>
  <c r="D206" i="14"/>
  <c r="D274" i="14"/>
  <c r="E274" i="14"/>
  <c r="C222" i="15"/>
  <c r="C246" i="15"/>
  <c r="E19" i="17"/>
  <c r="F19" i="17"/>
  <c r="E39" i="17"/>
  <c r="E43" i="17"/>
  <c r="D23" i="19"/>
  <c r="C111" i="19"/>
  <c r="D49" i="14"/>
  <c r="D91" i="14"/>
  <c r="D199" i="14"/>
  <c r="E199" i="14"/>
  <c r="D205" i="14"/>
  <c r="D261" i="14"/>
  <c r="C30" i="19"/>
  <c r="C36" i="19"/>
  <c r="C40" i="19"/>
  <c r="D190" i="14"/>
  <c r="E190" i="14"/>
  <c r="F190" i="14"/>
  <c r="E65" i="15"/>
  <c r="D66" i="15"/>
  <c r="E66" i="15"/>
  <c r="E326" i="15"/>
  <c r="D330" i="15"/>
  <c r="E330" i="15"/>
  <c r="E43" i="15"/>
  <c r="D241" i="15"/>
  <c r="E217" i="15"/>
  <c r="C263" i="14"/>
  <c r="E103" i="14"/>
  <c r="F103" i="14"/>
  <c r="E60" i="14"/>
  <c r="F60" i="14"/>
  <c r="C61" i="14"/>
  <c r="E31" i="14"/>
  <c r="F31" i="14"/>
  <c r="C32" i="14"/>
  <c r="E21" i="5"/>
  <c r="E20" i="5"/>
  <c r="E33" i="9"/>
  <c r="F33" i="9"/>
  <c r="C41" i="9"/>
  <c r="D139" i="14"/>
  <c r="D288" i="14"/>
  <c r="F239" i="14"/>
  <c r="C223" i="15"/>
  <c r="C247" i="15"/>
  <c r="D53" i="19"/>
  <c r="D45" i="19"/>
  <c r="D39" i="19"/>
  <c r="D35" i="19"/>
  <c r="D29" i="19"/>
  <c r="D270" i="14"/>
  <c r="D211" i="14"/>
  <c r="E264" i="14"/>
  <c r="F264" i="14"/>
  <c r="C265" i="14"/>
  <c r="C300" i="14"/>
  <c r="F172" i="14"/>
  <c r="E172" i="14"/>
  <c r="C173" i="14"/>
  <c r="C168" i="15"/>
  <c r="C157" i="15"/>
  <c r="C169" i="15"/>
  <c r="E146" i="14"/>
  <c r="F146" i="14"/>
  <c r="E37" i="14"/>
  <c r="F37" i="14"/>
  <c r="C75" i="8"/>
  <c r="G36" i="11"/>
  <c r="G38" i="11"/>
  <c r="G40" i="11"/>
  <c r="I33" i="11"/>
  <c r="I36" i="11"/>
  <c r="I38" i="11"/>
  <c r="I40" i="11"/>
  <c r="F121" i="7"/>
  <c r="E121" i="7"/>
  <c r="E24" i="10"/>
  <c r="E17" i="10"/>
  <c r="E28" i="10"/>
  <c r="E70" i="10"/>
  <c r="E72" i="10"/>
  <c r="E69" i="10"/>
  <c r="D44" i="15"/>
  <c r="D300" i="14"/>
  <c r="C44" i="15"/>
  <c r="C254" i="15"/>
  <c r="E122" i="7"/>
  <c r="F122" i="7"/>
  <c r="E46" i="17"/>
  <c r="F46" i="17"/>
  <c r="F43" i="17"/>
  <c r="C286" i="14"/>
  <c r="E286" i="14"/>
  <c r="F286" i="14"/>
  <c r="D46" i="19"/>
  <c r="D40" i="19"/>
  <c r="D36" i="19"/>
  <c r="D30" i="19"/>
  <c r="D54" i="19"/>
  <c r="E48" i="19"/>
  <c r="E38" i="19"/>
  <c r="E113" i="19"/>
  <c r="E56" i="19"/>
  <c r="C56" i="19"/>
  <c r="C48" i="19"/>
  <c r="C38" i="19"/>
  <c r="C113" i="19"/>
  <c r="D287" i="14"/>
  <c r="D279" i="14"/>
  <c r="D284" i="14"/>
  <c r="E277" i="14"/>
  <c r="E47" i="19"/>
  <c r="E37" i="19"/>
  <c r="E112" i="19"/>
  <c r="E55" i="19"/>
  <c r="D106" i="14"/>
  <c r="D176" i="14"/>
  <c r="F269" i="14"/>
  <c r="E269" i="14"/>
  <c r="C216" i="14"/>
  <c r="F214" i="14"/>
  <c r="D234" i="15"/>
  <c r="E210" i="15"/>
  <c r="D211" i="15"/>
  <c r="C112" i="19"/>
  <c r="C55" i="19"/>
  <c r="C47" i="19"/>
  <c r="C37" i="19"/>
  <c r="C17" i="10"/>
  <c r="C28" i="10"/>
  <c r="C70" i="10"/>
  <c r="C72" i="10"/>
  <c r="C69" i="10"/>
  <c r="C24" i="10"/>
  <c r="E207" i="6"/>
  <c r="F207" i="6"/>
  <c r="C24" i="5"/>
  <c r="C17" i="5"/>
  <c r="E20" i="10"/>
  <c r="E21" i="10"/>
  <c r="E112" i="5"/>
  <c r="E111" i="5"/>
  <c r="E28" i="5"/>
  <c r="E99" i="5"/>
  <c r="E101" i="5"/>
  <c r="E98" i="5"/>
  <c r="E216" i="14"/>
  <c r="E206" i="14"/>
  <c r="F274" i="14"/>
  <c r="F199" i="14"/>
  <c r="E255" i="14"/>
  <c r="F255" i="14"/>
  <c r="C272" i="14"/>
  <c r="E156" i="15"/>
  <c r="C75" i="1"/>
  <c r="C117" i="15"/>
  <c r="C116" i="15"/>
  <c r="E158" i="5"/>
  <c r="D268" i="14"/>
  <c r="D271" i="14"/>
  <c r="D263" i="14"/>
  <c r="E263" i="14"/>
  <c r="E261" i="14"/>
  <c r="F261" i="14"/>
  <c r="D92" i="14"/>
  <c r="D162" i="14"/>
  <c r="E215" i="14"/>
  <c r="F215" i="14"/>
  <c r="D63" i="14"/>
  <c r="D50" i="14"/>
  <c r="E41" i="17"/>
  <c r="F41" i="17"/>
  <c r="F39" i="17"/>
  <c r="D193" i="14"/>
  <c r="E192" i="14"/>
  <c r="F192" i="14"/>
  <c r="E240" i="15"/>
  <c r="D253" i="15"/>
  <c r="E253" i="15"/>
  <c r="E254" i="14"/>
  <c r="F254" i="14"/>
  <c r="D168" i="15"/>
  <c r="E168" i="15"/>
  <c r="D180" i="15"/>
  <c r="E180" i="15"/>
  <c r="E144" i="15"/>
  <c r="D145" i="15"/>
  <c r="E124" i="14"/>
  <c r="F124" i="14"/>
  <c r="E227" i="14"/>
  <c r="F227" i="14"/>
  <c r="C287" i="14"/>
  <c r="F277" i="14"/>
  <c r="C284" i="14"/>
  <c r="E222" i="15"/>
  <c r="D246" i="15"/>
  <c r="E246" i="15"/>
  <c r="D295" i="15"/>
  <c r="E295" i="15"/>
  <c r="E33" i="15"/>
  <c r="C154" i="5"/>
  <c r="C153" i="5"/>
  <c r="C152" i="5"/>
  <c r="C156" i="5"/>
  <c r="C155" i="5"/>
  <c r="C158" i="5"/>
  <c r="C157" i="5"/>
  <c r="D41" i="2"/>
  <c r="E285" i="14"/>
  <c r="F285" i="14"/>
  <c r="F206" i="14"/>
  <c r="D140" i="14"/>
  <c r="E272" i="14"/>
  <c r="D294" i="15"/>
  <c r="D76" i="15"/>
  <c r="D259" i="15"/>
  <c r="E157" i="15"/>
  <c r="E290" i="14"/>
  <c r="F290" i="14"/>
  <c r="C128" i="15"/>
  <c r="C129" i="15"/>
  <c r="E65" i="8"/>
  <c r="F65" i="8"/>
  <c r="E141" i="5"/>
  <c r="D158" i="5"/>
  <c r="D194" i="14"/>
  <c r="E193" i="14"/>
  <c r="F193" i="14"/>
  <c r="D266" i="14"/>
  <c r="D282" i="14"/>
  <c r="D70" i="14"/>
  <c r="D324" i="14"/>
  <c r="D113" i="14"/>
  <c r="D99" i="15"/>
  <c r="D95" i="15"/>
  <c r="D88" i="15"/>
  <c r="D84" i="15"/>
  <c r="E44" i="15"/>
  <c r="D101" i="15"/>
  <c r="D97" i="15"/>
  <c r="D86" i="15"/>
  <c r="D83" i="15"/>
  <c r="D258" i="15"/>
  <c r="D100" i="15"/>
  <c r="D89" i="15"/>
  <c r="D98" i="15"/>
  <c r="D87" i="15"/>
  <c r="D96" i="15"/>
  <c r="D85" i="15"/>
  <c r="E75" i="8"/>
  <c r="F75" i="8"/>
  <c r="E173" i="14"/>
  <c r="F173" i="14"/>
  <c r="D47" i="19"/>
  <c r="D37" i="19"/>
  <c r="D55" i="19"/>
  <c r="C131" i="15"/>
  <c r="E284" i="14"/>
  <c r="D304" i="14"/>
  <c r="D273" i="14"/>
  <c r="D235" i="15"/>
  <c r="C258" i="15"/>
  <c r="C98" i="15"/>
  <c r="C87" i="15"/>
  <c r="C83" i="15"/>
  <c r="C100" i="15"/>
  <c r="C96" i="15"/>
  <c r="C89" i="15"/>
  <c r="C85" i="15"/>
  <c r="C97" i="15"/>
  <c r="C86" i="15"/>
  <c r="C95" i="15"/>
  <c r="C84" i="15"/>
  <c r="C101" i="15"/>
  <c r="C99" i="15"/>
  <c r="C88" i="15"/>
  <c r="C175" i="14"/>
  <c r="C105" i="14"/>
  <c r="C62" i="14"/>
  <c r="E32" i="14"/>
  <c r="F32" i="14"/>
  <c r="F284" i="14"/>
  <c r="F216" i="14"/>
  <c r="C112" i="5"/>
  <c r="C111" i="5"/>
  <c r="C28" i="5"/>
  <c r="D291" i="14"/>
  <c r="D289" i="14"/>
  <c r="E287" i="14"/>
  <c r="F287" i="14"/>
  <c r="C174" i="14"/>
  <c r="C104" i="14"/>
  <c r="E61" i="14"/>
  <c r="F61" i="14"/>
  <c r="D254" i="15"/>
  <c r="E254" i="15"/>
  <c r="E22" i="5"/>
  <c r="E76" i="15"/>
  <c r="D77" i="15"/>
  <c r="D183" i="14"/>
  <c r="D323" i="14"/>
  <c r="D141" i="14"/>
  <c r="D48" i="2"/>
  <c r="D181" i="15"/>
  <c r="E145" i="15"/>
  <c r="D169" i="15"/>
  <c r="E169" i="15"/>
  <c r="D56" i="19"/>
  <c r="D48" i="19"/>
  <c r="D38" i="19"/>
  <c r="E41" i="9"/>
  <c r="F41" i="9"/>
  <c r="C48" i="9"/>
  <c r="F272" i="14"/>
  <c r="E22" i="10"/>
  <c r="E300" i="14"/>
  <c r="F300" i="14"/>
  <c r="F263" i="14"/>
  <c r="E104" i="14"/>
  <c r="F104" i="14"/>
  <c r="C63" i="14"/>
  <c r="E62" i="14"/>
  <c r="F62" i="14"/>
  <c r="C176" i="14"/>
  <c r="E175" i="14"/>
  <c r="F175" i="14"/>
  <c r="E258" i="15"/>
  <c r="E95" i="15"/>
  <c r="E266" i="14"/>
  <c r="F266" i="14"/>
  <c r="D265" i="14"/>
  <c r="E265" i="14"/>
  <c r="F265" i="14"/>
  <c r="E87" i="15"/>
  <c r="E101" i="15"/>
  <c r="E304" i="14"/>
  <c r="F304" i="14"/>
  <c r="E96" i="15"/>
  <c r="D102" i="15"/>
  <c r="D103" i="15"/>
  <c r="D281" i="14"/>
  <c r="C102" i="15"/>
  <c r="E100" i="15"/>
  <c r="E97" i="15"/>
  <c r="E88" i="15"/>
  <c r="D90" i="15"/>
  <c r="E84" i="15"/>
  <c r="E194" i="14"/>
  <c r="F194" i="14"/>
  <c r="D196" i="14"/>
  <c r="D195" i="14"/>
  <c r="C103" i="15"/>
  <c r="E85" i="15"/>
  <c r="E89" i="15"/>
  <c r="E86" i="15"/>
  <c r="F48" i="9"/>
  <c r="E48" i="9"/>
  <c r="D322" i="14"/>
  <c r="D325" i="14"/>
  <c r="D148" i="14"/>
  <c r="F174" i="14"/>
  <c r="E174" i="14"/>
  <c r="C99" i="5"/>
  <c r="C101" i="5"/>
  <c r="C98" i="5"/>
  <c r="C22" i="5"/>
  <c r="D126" i="15"/>
  <c r="E126" i="15"/>
  <c r="D122" i="15"/>
  <c r="D115" i="15"/>
  <c r="E115" i="15"/>
  <c r="D111" i="15"/>
  <c r="E111" i="15"/>
  <c r="D124" i="15"/>
  <c r="E124" i="15"/>
  <c r="D113" i="15"/>
  <c r="E113" i="15"/>
  <c r="D109" i="15"/>
  <c r="D125" i="15"/>
  <c r="E125" i="15"/>
  <c r="D114" i="15"/>
  <c r="E114" i="15"/>
  <c r="D123" i="15"/>
  <c r="E123" i="15"/>
  <c r="D112" i="15"/>
  <c r="E112" i="15"/>
  <c r="D121" i="15"/>
  <c r="E121" i="15"/>
  <c r="D110" i="15"/>
  <c r="D127" i="15"/>
  <c r="E127" i="15"/>
  <c r="E77" i="15"/>
  <c r="D305" i="14"/>
  <c r="C106" i="14"/>
  <c r="F106" i="14"/>
  <c r="E105" i="14"/>
  <c r="F105" i="14"/>
  <c r="E83" i="15"/>
  <c r="D91" i="15"/>
  <c r="C90" i="15"/>
  <c r="C91" i="15"/>
  <c r="E98" i="15"/>
  <c r="E99" i="15"/>
  <c r="D309" i="14"/>
  <c r="D197" i="14"/>
  <c r="D105" i="15"/>
  <c r="E103" i="15"/>
  <c r="F176" i="14"/>
  <c r="E176" i="14"/>
  <c r="E63" i="14"/>
  <c r="F63" i="14"/>
  <c r="E110" i="15"/>
  <c r="E106" i="14"/>
  <c r="E122" i="15"/>
  <c r="E109" i="15"/>
  <c r="E102" i="15"/>
  <c r="D310" i="14"/>
  <c r="D312" i="14"/>
  <c r="C105" i="15"/>
  <c r="E105" i="15"/>
  <c r="E91" i="15"/>
  <c r="D263" i="15"/>
  <c r="E259" i="15"/>
  <c r="E223" i="15"/>
  <c r="D247" i="15"/>
  <c r="E247" i="15"/>
  <c r="C21" i="10"/>
  <c r="C20" i="10"/>
  <c r="C22" i="10"/>
  <c r="E19" i="2"/>
  <c r="F19" i="2"/>
  <c r="C33" i="2"/>
  <c r="D24" i="5"/>
  <c r="D17" i="5"/>
  <c r="D313" i="14"/>
  <c r="D128" i="15"/>
  <c r="D116" i="15"/>
  <c r="E90" i="15"/>
  <c r="F41" i="1"/>
  <c r="E41" i="1"/>
  <c r="C43" i="1"/>
  <c r="F61" i="1"/>
  <c r="C21" i="5"/>
  <c r="C20" i="5"/>
  <c r="D21" i="5"/>
  <c r="D20" i="5"/>
  <c r="F29" i="1"/>
  <c r="F56" i="1"/>
  <c r="D65" i="1"/>
  <c r="F39" i="2"/>
  <c r="F46" i="2"/>
  <c r="F25" i="3"/>
  <c r="F68" i="3"/>
  <c r="F137" i="3"/>
  <c r="F18" i="4"/>
  <c r="F59" i="4"/>
  <c r="D95" i="4"/>
  <c r="E95" i="4"/>
  <c r="F95" i="4"/>
  <c r="E130" i="4"/>
  <c r="F130" i="4"/>
  <c r="D188" i="4"/>
  <c r="E188" i="4"/>
  <c r="F188" i="4"/>
  <c r="C57" i="5"/>
  <c r="C62" i="5"/>
  <c r="D43" i="5"/>
  <c r="E49" i="5"/>
  <c r="C43" i="5"/>
  <c r="C49" i="5"/>
  <c r="E43" i="5"/>
  <c r="C79" i="5"/>
  <c r="E37" i="6"/>
  <c r="F37" i="6"/>
  <c r="E75" i="6"/>
  <c r="F75" i="6"/>
  <c r="F84" i="7"/>
  <c r="C43" i="8"/>
  <c r="H31" i="11"/>
  <c r="D15" i="10"/>
  <c r="D59" i="10"/>
  <c r="D61" i="10"/>
  <c r="D57" i="10"/>
  <c r="C282" i="14"/>
  <c r="E20" i="14"/>
  <c r="F20" i="14"/>
  <c r="C21" i="14"/>
  <c r="F35" i="14"/>
  <c r="F47" i="14"/>
  <c r="C48" i="14"/>
  <c r="F58" i="14"/>
  <c r="C68" i="14"/>
  <c r="E88" i="14"/>
  <c r="F88" i="14"/>
  <c r="F95" i="14"/>
  <c r="E101" i="14"/>
  <c r="F101" i="14"/>
  <c r="F136" i="14"/>
  <c r="C137" i="14"/>
  <c r="F159" i="14"/>
  <c r="F164" i="14"/>
  <c r="E165" i="14"/>
  <c r="C267" i="14"/>
  <c r="C278" i="14"/>
  <c r="E298" i="14"/>
  <c r="F299" i="14"/>
  <c r="C294" i="15"/>
  <c r="E294" i="15"/>
  <c r="C261" i="15"/>
  <c r="E261" i="15"/>
  <c r="C189" i="15"/>
  <c r="E189" i="15"/>
  <c r="C234" i="15"/>
  <c r="E234" i="15"/>
  <c r="C65" i="16"/>
  <c r="C114" i="16"/>
  <c r="C116" i="16"/>
  <c r="C119" i="16"/>
  <c r="C123" i="16"/>
  <c r="E20" i="17"/>
  <c r="F20" i="17"/>
  <c r="C103" i="19"/>
  <c r="E189" i="14"/>
  <c r="F189" i="14"/>
  <c r="E203" i="14"/>
  <c r="F203" i="14"/>
  <c r="C205" i="14"/>
  <c r="C241" i="15"/>
  <c r="E241" i="15"/>
  <c r="C211" i="15"/>
  <c r="D302" i="15"/>
  <c r="C316" i="15"/>
  <c r="C49" i="16"/>
  <c r="E25" i="17"/>
  <c r="F25" i="17"/>
  <c r="E36" i="17"/>
  <c r="F36" i="17"/>
  <c r="F44" i="17"/>
  <c r="F45" i="17"/>
  <c r="E101" i="19"/>
  <c r="E103" i="19"/>
  <c r="D77" i="19"/>
  <c r="D109" i="19"/>
  <c r="D111" i="19"/>
  <c r="D108" i="19"/>
  <c r="D110" i="19"/>
  <c r="D112" i="19"/>
  <c r="D113" i="19"/>
  <c r="D303" i="15"/>
  <c r="E302" i="15"/>
  <c r="F137" i="14"/>
  <c r="E137" i="14"/>
  <c r="C138" i="14"/>
  <c r="C207" i="14"/>
  <c r="C161" i="14"/>
  <c r="C49" i="14"/>
  <c r="C91" i="14"/>
  <c r="E21" i="14"/>
  <c r="C196" i="14"/>
  <c r="F21" i="14"/>
  <c r="C126" i="14"/>
  <c r="C281" i="14"/>
  <c r="E282" i="14"/>
  <c r="F282" i="14"/>
  <c r="D24" i="10"/>
  <c r="D20" i="10"/>
  <c r="D17" i="10"/>
  <c r="D28" i="10"/>
  <c r="E43" i="8"/>
  <c r="F43" i="8"/>
  <c r="E43" i="1"/>
  <c r="F43" i="1"/>
  <c r="D129" i="15"/>
  <c r="E129" i="15"/>
  <c r="E128" i="15"/>
  <c r="D112" i="5"/>
  <c r="D111" i="5"/>
  <c r="D28" i="5"/>
  <c r="D264" i="15"/>
  <c r="C320" i="15"/>
  <c r="E320" i="15"/>
  <c r="E316" i="15"/>
  <c r="E211" i="15"/>
  <c r="C235" i="15"/>
  <c r="E235" i="15"/>
  <c r="C181" i="15"/>
  <c r="E181" i="15"/>
  <c r="E205" i="14"/>
  <c r="F205" i="14"/>
  <c r="E278" i="14"/>
  <c r="C279" i="14"/>
  <c r="F278" i="14"/>
  <c r="C288" i="14"/>
  <c r="C271" i="14"/>
  <c r="C268" i="14"/>
  <c r="C270" i="14"/>
  <c r="E267" i="14"/>
  <c r="F267" i="14"/>
  <c r="F68" i="14"/>
  <c r="E68" i="14"/>
  <c r="E48" i="14"/>
  <c r="C125" i="14"/>
  <c r="C195" i="14"/>
  <c r="C160" i="14"/>
  <c r="F48" i="14"/>
  <c r="C90" i="14"/>
  <c r="D75" i="1"/>
  <c r="E75" i="1"/>
  <c r="F75" i="1"/>
  <c r="E65" i="1"/>
  <c r="F65" i="1"/>
  <c r="C263" i="15"/>
  <c r="C264" i="15"/>
  <c r="C266" i="15"/>
  <c r="C267" i="15"/>
  <c r="D117" i="15"/>
  <c r="E116" i="15"/>
  <c r="D315" i="14"/>
  <c r="D251" i="14"/>
  <c r="D256" i="14"/>
  <c r="D314" i="14"/>
  <c r="C41" i="2"/>
  <c r="E33" i="2"/>
  <c r="F33" i="2"/>
  <c r="C48" i="2"/>
  <c r="E41" i="2"/>
  <c r="F41" i="2"/>
  <c r="C269" i="15"/>
  <c r="C268" i="15"/>
  <c r="C271" i="15"/>
  <c r="D318" i="14"/>
  <c r="D257" i="14"/>
  <c r="D131" i="15"/>
  <c r="E131" i="15"/>
  <c r="E117" i="15"/>
  <c r="E90" i="14"/>
  <c r="F90" i="14"/>
  <c r="E160" i="14"/>
  <c r="F160" i="14"/>
  <c r="F125" i="14"/>
  <c r="E125" i="14"/>
  <c r="E271" i="14"/>
  <c r="F271" i="14"/>
  <c r="C273" i="14"/>
  <c r="E263" i="15"/>
  <c r="D99" i="5"/>
  <c r="D101" i="5"/>
  <c r="D98" i="5"/>
  <c r="D22" i="5"/>
  <c r="D70" i="10"/>
  <c r="D72" i="10"/>
  <c r="D69" i="10"/>
  <c r="D22" i="10"/>
  <c r="F281" i="14"/>
  <c r="E281" i="14"/>
  <c r="C50" i="14"/>
  <c r="E49" i="14"/>
  <c r="F49" i="14"/>
  <c r="C208" i="14"/>
  <c r="E207" i="14"/>
  <c r="F207" i="14"/>
  <c r="E195" i="14"/>
  <c r="F195" i="14"/>
  <c r="E270" i="14"/>
  <c r="F270" i="14"/>
  <c r="E268" i="14"/>
  <c r="F268" i="14"/>
  <c r="C291" i="14"/>
  <c r="C289" i="14"/>
  <c r="E288" i="14"/>
  <c r="F288" i="14"/>
  <c r="E279" i="14"/>
  <c r="F279" i="14"/>
  <c r="D266" i="15"/>
  <c r="E264" i="15"/>
  <c r="E126" i="14"/>
  <c r="C127" i="14"/>
  <c r="F126" i="14"/>
  <c r="F196" i="14"/>
  <c r="E196" i="14"/>
  <c r="E91" i="14"/>
  <c r="C92" i="14"/>
  <c r="F91" i="14"/>
  <c r="C162" i="14"/>
  <c r="E161" i="14"/>
  <c r="F161" i="14"/>
  <c r="F138" i="14"/>
  <c r="C140" i="14"/>
  <c r="C139" i="14"/>
  <c r="E138" i="14"/>
  <c r="D306" i="15"/>
  <c r="E303" i="15"/>
  <c r="E139" i="14"/>
  <c r="F139" i="14"/>
  <c r="F162" i="14"/>
  <c r="E162" i="14"/>
  <c r="C323" i="14"/>
  <c r="C183" i="14"/>
  <c r="E140" i="14"/>
  <c r="C141" i="14"/>
  <c r="F140" i="14"/>
  <c r="E92" i="14"/>
  <c r="F92" i="14"/>
  <c r="C113" i="14"/>
  <c r="C324" i="14"/>
  <c r="E266" i="15"/>
  <c r="D267" i="15"/>
  <c r="E289" i="14"/>
  <c r="F289" i="14"/>
  <c r="E50" i="14"/>
  <c r="F50" i="14"/>
  <c r="C70" i="14"/>
  <c r="E48" i="2"/>
  <c r="F48" i="2"/>
  <c r="D310" i="15"/>
  <c r="E310" i="15"/>
  <c r="E306" i="15"/>
  <c r="E127" i="14"/>
  <c r="C197" i="14"/>
  <c r="F127" i="14"/>
  <c r="C148" i="14"/>
  <c r="C305" i="14"/>
  <c r="F291" i="14"/>
  <c r="E291" i="14"/>
  <c r="C210" i="14"/>
  <c r="E208" i="14"/>
  <c r="C209" i="14"/>
  <c r="F208" i="14"/>
  <c r="E273" i="14"/>
  <c r="F273" i="14"/>
  <c r="E210" i="14"/>
  <c r="F210" i="14"/>
  <c r="F305" i="14"/>
  <c r="E305" i="14"/>
  <c r="C309" i="14"/>
  <c r="E70" i="14"/>
  <c r="F70" i="14"/>
  <c r="E113" i="14"/>
  <c r="F113" i="14"/>
  <c r="C211" i="14"/>
  <c r="C322" i="14"/>
  <c r="E141" i="14"/>
  <c r="F141" i="14"/>
  <c r="F183" i="14"/>
  <c r="E183" i="14"/>
  <c r="E209" i="14"/>
  <c r="F209" i="14"/>
  <c r="E148" i="14"/>
  <c r="F148" i="14"/>
  <c r="E197" i="14"/>
  <c r="F197" i="14"/>
  <c r="D268" i="15"/>
  <c r="D269" i="15"/>
  <c r="E269" i="15"/>
  <c r="E267" i="15"/>
  <c r="C325" i="14"/>
  <c r="E324" i="14"/>
  <c r="F324" i="14"/>
  <c r="F323" i="14"/>
  <c r="E323" i="14"/>
  <c r="D271" i="15"/>
  <c r="E271" i="15"/>
  <c r="E268" i="15"/>
  <c r="F322" i="14"/>
  <c r="E322" i="14"/>
  <c r="F211" i="14"/>
  <c r="E211" i="14"/>
  <c r="E325" i="14"/>
  <c r="F325" i="14"/>
  <c r="E309" i="14"/>
  <c r="F309" i="14"/>
  <c r="C310" i="14"/>
  <c r="C312" i="14"/>
  <c r="E310" i="14"/>
  <c r="F310" i="14"/>
  <c r="C313" i="14"/>
  <c r="E312" i="14"/>
  <c r="F312" i="14"/>
  <c r="F313" i="14"/>
  <c r="C251" i="14"/>
  <c r="C256" i="14"/>
  <c r="C315" i="14"/>
  <c r="C314" i="14"/>
  <c r="E313" i="14"/>
  <c r="C257" i="14"/>
  <c r="E256" i="14"/>
  <c r="F256" i="14"/>
  <c r="E315" i="14"/>
  <c r="F315" i="14"/>
  <c r="E251" i="14"/>
  <c r="F251" i="14"/>
  <c r="C318" i="14"/>
  <c r="F314" i="14"/>
  <c r="E314" i="14"/>
  <c r="E318" i="14"/>
  <c r="F318" i="14"/>
  <c r="E257" i="14"/>
  <c r="F257" i="14"/>
</calcChain>
</file>

<file path=xl/sharedStrings.xml><?xml version="1.0" encoding="utf-8"?>
<sst xmlns="http://schemas.openxmlformats.org/spreadsheetml/2006/main" count="2322" uniqueCount="998">
  <si>
    <t>JOHNSON MEMORIAL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</si>
  <si>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</si>
  <si>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</si>
  <si>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</si>
  <si>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</si>
  <si>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</si>
  <si>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</si>
  <si>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</si>
  <si>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</si>
  <si>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</si>
  <si>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</si>
  <si>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</si>
  <si>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</si>
  <si>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</si>
  <si>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</si>
  <si>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</si>
  <si>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</si>
  <si>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</si>
  <si>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</si>
  <si>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</si>
  <si>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</si>
  <si>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</si>
  <si>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</si>
  <si>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</si>
  <si>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</si>
  <si>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</si>
  <si>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</si>
  <si>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</si>
  <si>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</si>
  <si>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</si>
  <si>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</si>
  <si>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</si>
  <si>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</si>
  <si>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</si>
  <si>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</si>
  <si>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</si>
  <si>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</si>
  <si>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</si>
  <si>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</si>
  <si>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</si>
  <si>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</si>
  <si>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</si>
  <si>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</si>
  <si>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</si>
  <si>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</si>
  <si>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</si>
  <si>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</si>
  <si>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</si>
  <si>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</si>
  <si>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</si>
  <si>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</si>
  <si>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</si>
  <si>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</si>
  <si>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</si>
  <si>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</si>
  <si>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</si>
  <si>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</si>
  <si>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</si>
  <si>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</si>
  <si>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</si>
  <si>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</si>
  <si>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</si>
  <si>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</si>
  <si>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</si>
  <si>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</si>
  <si>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</si>
  <si>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</si>
  <si>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</si>
  <si>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</si>
  <si>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</si>
  <si>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</si>
  <si>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</si>
  <si>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</si>
  <si>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</si>
  <si>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</si>
  <si>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</si>
  <si>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</si>
  <si>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</si>
  <si>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</si>
  <si>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</si>
  <si>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</si>
  <si>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</si>
  <si>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</si>
  <si>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</si>
  <si>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</si>
  <si>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</si>
  <si>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</si>
  <si>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</si>
  <si>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</si>
  <si>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</si>
  <si>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</si>
  <si>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</si>
  <si>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</si>
  <si>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</si>
  <si>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</si>
  <si>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</si>
  <si>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</si>
  <si>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</si>
  <si>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</si>
  <si>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</si>
  <si>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</si>
  <si>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</si>
  <si>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</si>
  <si>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</si>
  <si>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</si>
  <si>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</si>
  <si>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</si>
  <si>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</si>
  <si>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</si>
  <si>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</si>
  <si>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</si>
  <si>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</si>
  <si>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</si>
  <si>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</si>
  <si>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</si>
  <si>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</si>
  <si>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</si>
  <si>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</si>
  <si>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</si>
  <si>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</si>
  <si>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</si>
  <si>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</si>
  <si>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</si>
  <si>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</si>
  <si>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</si>
  <si>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</si>
  <si>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</si>
  <si>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</si>
  <si>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</si>
  <si>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</si>
  <si>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</si>
  <si>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</si>
  <si>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</si>
  <si>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</si>
  <si>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</si>
  <si>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</si>
  <si>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</si>
  <si>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</si>
  <si>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</si>
  <si>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</si>
  <si>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</si>
  <si>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</si>
  <si>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</si>
  <si>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</si>
  <si>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</si>
  <si>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</si>
  <si>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</si>
  <si>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</si>
  <si>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</si>
  <si>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</si>
  <si>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</si>
  <si>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</si>
  <si>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</si>
  <si>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</si>
  <si>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</si>
  <si>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</si>
  <si>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</si>
  <si>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</si>
  <si>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</si>
  <si>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</si>
  <si>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</si>
  <si>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</si>
  <si>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</si>
  <si>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</si>
  <si>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</si>
  <si>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</si>
  <si>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</si>
  <si>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</si>
  <si>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</si>
  <si>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</si>
  <si>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</si>
  <si>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</si>
  <si>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</si>
  <si>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</si>
  <si>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</si>
  <si>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</si>
  <si>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</si>
  <si>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</si>
  <si>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</si>
  <si>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</si>
  <si>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</si>
  <si>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</si>
  <si>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</si>
  <si>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</si>
  <si>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</si>
  <si>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</si>
  <si>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</si>
  <si>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</si>
  <si>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</si>
  <si>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</si>
  <si>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</si>
  <si>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</si>
  <si>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</si>
  <si>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</si>
  <si>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</si>
  <si>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</si>
  <si>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</si>
  <si>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</si>
  <si>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</si>
  <si>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</si>
  <si>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</si>
  <si>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</si>
  <si>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</si>
  <si>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</si>
  <si>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</si>
  <si>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</si>
  <si>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</si>
  <si>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</si>
  <si>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</si>
  <si>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</si>
  <si>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</si>
  <si>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</si>
  <si>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</si>
  <si>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</si>
  <si>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</si>
  <si>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</si>
  <si>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</si>
  <si>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</si>
  <si>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</si>
  <si>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</si>
  <si>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</si>
  <si>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</si>
  <si>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</si>
  <si>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</si>
  <si>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</si>
  <si>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</si>
  <si>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</si>
  <si>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</si>
  <si>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</si>
  <si>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</si>
  <si>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</si>
  <si>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</si>
  <si>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</si>
  <si>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</si>
  <si>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</si>
  <si>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</si>
  <si>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</si>
  <si>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</si>
  <si>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</si>
  <si>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</si>
  <si>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</si>
  <si>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</si>
  <si>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</si>
  <si>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</si>
  <si>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</si>
  <si>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</si>
  <si>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</si>
  <si>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</si>
  <si>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</si>
  <si>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</si>
  <si>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</si>
  <si>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</si>
  <si>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</si>
  <si>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</si>
  <si>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</si>
  <si>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</si>
  <si>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</si>
  <si>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</si>
  <si>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</si>
  <si>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</si>
  <si>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</si>
  <si>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</si>
  <si>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</si>
  <si>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</si>
  <si>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</si>
  <si>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</si>
  <si>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</si>
  <si>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</si>
  <si>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</si>
  <si>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</si>
  <si>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</si>
  <si>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</si>
  <si>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</si>
  <si>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</si>
  <si>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</si>
  <si>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</si>
  <si>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</si>
  <si>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</si>
  <si>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</si>
  <si>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</si>
  <si>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</si>
  <si>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</si>
  <si>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</si>
  <si>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</si>
  <si>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</si>
  <si>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</si>
  <si>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</si>
  <si>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</si>
  <si>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</si>
  <si>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</si>
  <si>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</si>
  <si>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</si>
  <si>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</si>
  <si>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</si>
  <si>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</si>
  <si>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</si>
  <si>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</si>
  <si>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</si>
  <si>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</si>
  <si>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</si>
  <si>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</si>
  <si>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</si>
  <si>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</si>
  <si>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</si>
  <si>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</si>
  <si>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</si>
  <si>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</si>
  <si>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</si>
  <si>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</si>
  <si>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</si>
  <si>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</si>
  <si>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</si>
  <si>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</si>
  <si>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</si>
  <si>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</si>
  <si>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</si>
  <si>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</si>
  <si>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</si>
  <si>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</si>
  <si>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</si>
  <si>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</si>
  <si>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</si>
  <si>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</si>
  <si>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</si>
  <si>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</si>
  <si>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</si>
  <si>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</si>
  <si>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</si>
  <si>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</si>
  <si>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</si>
  <si>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</si>
  <si>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</si>
  <si>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</si>
  <si>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</si>
  <si>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</si>
  <si>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</si>
  <si>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</si>
  <si>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</si>
  <si>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</si>
  <si>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</si>
  <si>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</si>
  <si>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</si>
  <si>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</si>
  <si>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</si>
  <si>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</si>
  <si>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</si>
  <si>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</si>
  <si>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</si>
  <si>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</si>
  <si>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</si>
  <si>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</si>
  <si>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</si>
  <si>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</si>
  <si>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</si>
  <si>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</si>
  <si>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</si>
  <si>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</si>
  <si>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</si>
  <si>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</si>
  <si>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</si>
  <si>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</si>
  <si>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</si>
  <si>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</si>
  <si>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</si>
  <si>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</si>
  <si>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</si>
  <si>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</si>
  <si>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</si>
  <si>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</si>
  <si>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</si>
  <si>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</si>
  <si>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</si>
  <si>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</si>
  <si>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</si>
  <si>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</si>
  <si>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</si>
  <si>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</si>
  <si>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</si>
  <si>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</si>
  <si>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</si>
  <si>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</si>
  <si>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</si>
  <si>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</si>
  <si>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</si>
  <si>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</si>
  <si>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</si>
  <si>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</si>
  <si>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</si>
  <si>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</si>
  <si>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</si>
  <si>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</si>
  <si>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</si>
  <si>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</si>
  <si>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</si>
  <si>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</si>
  <si>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</si>
  <si>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</si>
  <si>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</si>
  <si>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</si>
  <si>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</si>
  <si>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</si>
  <si>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</si>
  <si>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</si>
  <si>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</si>
  <si>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</si>
  <si>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</si>
  <si>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</si>
  <si>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</si>
  <si>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</si>
  <si>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</si>
  <si>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</si>
  <si>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</si>
  <si>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</si>
  <si>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</si>
  <si>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</si>
  <si>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</si>
  <si>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</si>
  <si>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</si>
  <si>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</si>
  <si>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</si>
  <si>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</si>
  <si>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</si>
  <si>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</si>
  <si>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</si>
  <si>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</si>
  <si>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</si>
  <si>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</si>
  <si>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</si>
  <si>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</si>
  <si>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</si>
  <si>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</si>
  <si>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</si>
  <si>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</si>
  <si>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</si>
  <si>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</si>
  <si>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</si>
  <si>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</si>
  <si>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</si>
  <si>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</si>
  <si>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</si>
  <si>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</si>
  <si>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</si>
  <si>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</si>
  <si>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</si>
  <si>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</si>
  <si>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</si>
  <si>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</si>
  <si>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</si>
  <si>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</si>
  <si>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</si>
  <si>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</si>
  <si>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</si>
  <si>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</si>
  <si>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</si>
  <si>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</si>
  <si>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</si>
  <si>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</si>
  <si>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</si>
  <si>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</si>
  <si>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</si>
  <si>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</si>
  <si>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</si>
  <si>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</si>
  <si>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</si>
  <si>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</si>
  <si>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</si>
  <si>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</si>
  <si>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</si>
  <si>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</si>
  <si>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</si>
  <si>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</si>
  <si>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</si>
  <si>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</si>
  <si>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</si>
  <si>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</si>
  <si>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</si>
  <si>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</si>
  <si>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</si>
  <si>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</si>
  <si>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</si>
  <si>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</si>
  <si>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</si>
  <si>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</si>
  <si>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</si>
  <si>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</si>
  <si>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</si>
  <si>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</si>
  <si>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</si>
  <si>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</si>
  <si>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</si>
  <si>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</si>
  <si>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JOHNSON MEMORIAL MEDICAL CENTER,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</si>
  <si>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</si>
  <si>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</si>
  <si>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</si>
  <si>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</si>
  <si>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</si>
  <si>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</si>
  <si>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</si>
  <si>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</si>
  <si>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</si>
  <si>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</si>
  <si>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</si>
  <si>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</si>
  <si>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</si>
  <si>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</si>
  <si>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</si>
  <si>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</si>
  <si>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</si>
  <si>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</si>
  <si>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</si>
  <si>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</si>
  <si>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</si>
  <si>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</si>
  <si>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</si>
  <si>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</si>
  <si>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</si>
  <si>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</si>
  <si>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</si>
  <si>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</si>
  <si>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</si>
  <si>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</si>
  <si>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</si>
  <si>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</si>
  <si>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</si>
  <si>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</si>
  <si>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</si>
  <si>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</si>
  <si>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</si>
  <si>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</si>
  <si>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</si>
  <si>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</si>
  <si>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</si>
  <si>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</si>
  <si>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</si>
  <si>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</si>
  <si>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</si>
  <si>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</si>
  <si>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</si>
  <si>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</si>
  <si>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</si>
  <si>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</si>
  <si>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</si>
  <si>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</si>
  <si>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</si>
  <si>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</si>
  <si>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</si>
  <si>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</si>
  <si>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</si>
  <si>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</si>
  <si>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</si>
  <si>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</si>
  <si>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</si>
  <si>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</si>
  <si>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</si>
  <si>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</si>
  <si>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</si>
  <si>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</si>
  <si>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</si>
  <si>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</si>
  <si>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</si>
  <si>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</si>
  <si>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</si>
  <si>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</si>
  <si>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</si>
  <si>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</si>
  <si>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</si>
  <si>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</si>
  <si>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</si>
  <si>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</si>
  <si>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</si>
  <si>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</si>
  <si>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</si>
  <si>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</si>
  <si>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</si>
  <si>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</si>
  <si>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</si>
  <si>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</si>
  <si>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</si>
  <si>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</si>
  <si>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</si>
  <si>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</si>
  <si>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</si>
  <si>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</si>
  <si>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</si>
  <si>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</si>
  <si>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</si>
  <si>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</si>
  <si>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</si>
  <si>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</si>
  <si>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</si>
  <si>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</si>
  <si>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</si>
  <si>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</si>
  <si>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</si>
  <si>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</si>
  <si>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</si>
  <si>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</si>
  <si>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</si>
  <si>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</si>
  <si>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</si>
  <si>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Johnson Memorial Hospital</t>
  </si>
  <si>
    <t>Offsite Surgery Department - Enfield, CT</t>
  </si>
  <si>
    <t xml:space="preserve">      Total Outpatient Surgical Procedures(A)     </t>
  </si>
  <si>
    <t>Offsite Surgical Department - Enfield, CT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</si>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</sst>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884888</v>
      </c>
      <c r="D13" s="23">
        <v>787925</v>
      </c>
      <c r="E13" s="23">
        <f t="shared" ref="E13:E22" si="0">D13-C13</f>
        <v>-96963</v>
      </c>
      <c r="F13" s="24">
        <f t="shared" ref="F13:F22" si="1">IF(C13=0,0,E13/C13)</f>
        <v>-0.10957657918290224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.75" customHeight="1" x14ac:dyDescent="0.2">
      <c r="A15" s="21">
        <v>3</v>
      </c>
      <c r="B15" s="22" t="s">
        <v>18</v>
      </c>
      <c r="C15" s="23">
        <v>7216452</v>
      </c>
      <c r="D15" s="23">
        <v>8023775</v>
      </c>
      <c r="E15" s="23">
        <f t="shared" si="0"/>
        <v>807323</v>
      </c>
      <c r="F15" s="24">
        <f t="shared" si="1"/>
        <v>0.11187256563197538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1216495</v>
      </c>
      <c r="D19" s="23">
        <v>1254591</v>
      </c>
      <c r="E19" s="23">
        <f t="shared" si="0"/>
        <v>38096</v>
      </c>
      <c r="F19" s="24">
        <f t="shared" si="1"/>
        <v>3.1316199408957704E-2</v>
      </c>
    </row>
    <row r="20" spans="1:11" ht="24" customHeight="1" x14ac:dyDescent="0.2">
      <c r="A20" s="21">
        <v>8</v>
      </c>
      <c r="B20" s="22" t="s">
        <v>23</v>
      </c>
      <c r="C20" s="23">
        <v>901401</v>
      </c>
      <c r="D20" s="23">
        <v>759969</v>
      </c>
      <c r="E20" s="23">
        <f t="shared" si="0"/>
        <v>-141432</v>
      </c>
      <c r="F20" s="24">
        <f t="shared" si="1"/>
        <v>-0.15690242189658099</v>
      </c>
    </row>
    <row r="21" spans="1:11" ht="24" customHeight="1" x14ac:dyDescent="0.2">
      <c r="A21" s="21">
        <v>9</v>
      </c>
      <c r="B21" s="22" t="s">
        <v>24</v>
      </c>
      <c r="C21" s="23">
        <v>1412421</v>
      </c>
      <c r="D21" s="23">
        <v>193008</v>
      </c>
      <c r="E21" s="23">
        <f t="shared" si="0"/>
        <v>-1219413</v>
      </c>
      <c r="F21" s="24">
        <f t="shared" si="1"/>
        <v>-0.86334952538938459</v>
      </c>
    </row>
    <row r="22" spans="1:11" ht="24" customHeight="1" x14ac:dyDescent="0.25">
      <c r="A22" s="25"/>
      <c r="B22" s="26" t="s">
        <v>25</v>
      </c>
      <c r="C22" s="27">
        <f>SUM(C13:C21)</f>
        <v>11631657</v>
      </c>
      <c r="D22" s="27">
        <f>SUM(D13:D21)</f>
        <v>11019268</v>
      </c>
      <c r="E22" s="27">
        <f t="shared" si="0"/>
        <v>-612389</v>
      </c>
      <c r="F22" s="28">
        <f t="shared" si="1"/>
        <v>-5.2648474761592436E-2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3165722</v>
      </c>
      <c r="D25" s="23">
        <v>3616492</v>
      </c>
      <c r="E25" s="23">
        <f>D25-C25</f>
        <v>450770</v>
      </c>
      <c r="F25" s="24">
        <f>IF(C25=0,0,E25/C25)</f>
        <v>0.14239089850593326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517407</v>
      </c>
      <c r="D27" s="23">
        <v>363097</v>
      </c>
      <c r="E27" s="23">
        <f>D27-C27</f>
        <v>-154310</v>
      </c>
      <c r="F27" s="24">
        <f>IF(C27=0,0,E27/C27)</f>
        <v>-0.29823717112447262</v>
      </c>
    </row>
    <row r="28" spans="1:11" ht="24" customHeight="1" x14ac:dyDescent="0.2">
      <c r="A28" s="21">
        <v>4</v>
      </c>
      <c r="B28" s="22" t="s">
        <v>31</v>
      </c>
      <c r="C28" s="23">
        <v>843587</v>
      </c>
      <c r="D28" s="23">
        <v>843587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4526716</v>
      </c>
      <c r="D29" s="27">
        <f>SUM(D25:D28)</f>
        <v>4823176</v>
      </c>
      <c r="E29" s="27">
        <f>D29-C29</f>
        <v>296460</v>
      </c>
      <c r="F29" s="28">
        <f>IF(C29=0,0,E29/C29)</f>
        <v>6.5491186104893698E-2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2856651</v>
      </c>
      <c r="D32" s="23">
        <v>3106905</v>
      </c>
      <c r="E32" s="23">
        <f>D32-C32</f>
        <v>250254</v>
      </c>
      <c r="F32" s="24">
        <f>IF(C32=0,0,E32/C32)</f>
        <v>8.7603981025333511E-2</v>
      </c>
    </row>
    <row r="33" spans="1:8" ht="24" customHeight="1" x14ac:dyDescent="0.2">
      <c r="A33" s="21">
        <v>7</v>
      </c>
      <c r="B33" s="22" t="s">
        <v>35</v>
      </c>
      <c r="C33" s="23">
        <v>3005255</v>
      </c>
      <c r="D33" s="23">
        <v>4660539</v>
      </c>
      <c r="E33" s="23">
        <f>D33-C33</f>
        <v>1655284</v>
      </c>
      <c r="F33" s="24">
        <f>IF(C33=0,0,E33/C33)</f>
        <v>0.55079652142663438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58550234</v>
      </c>
      <c r="D36" s="23">
        <v>58629232</v>
      </c>
      <c r="E36" s="23">
        <f>D36-C36</f>
        <v>78998</v>
      </c>
      <c r="F36" s="24">
        <f>IF(C36=0,0,E36/C36)</f>
        <v>1.349234573511696E-3</v>
      </c>
    </row>
    <row r="37" spans="1:8" ht="24" customHeight="1" x14ac:dyDescent="0.2">
      <c r="A37" s="21">
        <v>2</v>
      </c>
      <c r="B37" s="22" t="s">
        <v>39</v>
      </c>
      <c r="C37" s="23">
        <v>37256964</v>
      </c>
      <c r="D37" s="23">
        <v>39198224</v>
      </c>
      <c r="E37" s="23">
        <f>D37-C37</f>
        <v>1941260</v>
      </c>
      <c r="F37" s="24">
        <f>IF(C37=0,0,E37/C37)</f>
        <v>5.2104621299792438E-2</v>
      </c>
    </row>
    <row r="38" spans="1:8" ht="24" customHeight="1" x14ac:dyDescent="0.25">
      <c r="A38" s="25"/>
      <c r="B38" s="26" t="s">
        <v>40</v>
      </c>
      <c r="C38" s="27">
        <f>C36-C37</f>
        <v>21293270</v>
      </c>
      <c r="D38" s="27">
        <f>D36-D37</f>
        <v>19431008</v>
      </c>
      <c r="E38" s="27">
        <f>D38-C38</f>
        <v>-1862262</v>
      </c>
      <c r="F38" s="28">
        <f>IF(C38=0,0,E38/C38)</f>
        <v>-8.7457774216923939E-2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21293270</v>
      </c>
      <c r="D41" s="27">
        <f>+D38+D40</f>
        <v>19431008</v>
      </c>
      <c r="E41" s="27">
        <f>D41-C41</f>
        <v>-1862262</v>
      </c>
      <c r="F41" s="28">
        <f>IF(C41=0,0,E41/C41)</f>
        <v>-8.7457774216923939E-2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43313549</v>
      </c>
      <c r="D43" s="27">
        <f>D22+D29+D31+D32+D33+D41</f>
        <v>43040896</v>
      </c>
      <c r="E43" s="27">
        <f>D43-C43</f>
        <v>-272653</v>
      </c>
      <c r="F43" s="28">
        <f>IF(C43=0,0,E43/C43)</f>
        <v>-6.2948663015353467E-3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3758201</v>
      </c>
      <c r="D49" s="23">
        <v>3182062</v>
      </c>
      <c r="E49" s="23">
        <f t="shared" ref="E49:E56" si="2">D49-C49</f>
        <v>-576139</v>
      </c>
      <c r="F49" s="24">
        <f t="shared" ref="F49:F56" si="3">IF(C49=0,0,E49/C49)</f>
        <v>-0.15330180583742062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1770107</v>
      </c>
      <c r="D50" s="23">
        <v>2014282</v>
      </c>
      <c r="E50" s="23">
        <f t="shared" si="2"/>
        <v>244175</v>
      </c>
      <c r="F50" s="24">
        <f t="shared" si="3"/>
        <v>0.13794363843541663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1266304</v>
      </c>
      <c r="D51" s="23">
        <v>1272580</v>
      </c>
      <c r="E51" s="23">
        <f t="shared" si="2"/>
        <v>6276</v>
      </c>
      <c r="F51" s="24">
        <f t="shared" si="3"/>
        <v>4.9561558677853031E-3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342500</v>
      </c>
      <c r="D54" s="23">
        <v>342500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5111316</v>
      </c>
      <c r="D55" s="23">
        <v>4780624</v>
      </c>
      <c r="E55" s="23">
        <f t="shared" si="2"/>
        <v>-330692</v>
      </c>
      <c r="F55" s="24">
        <f t="shared" si="3"/>
        <v>-6.4698015149131843E-2</v>
      </c>
    </row>
    <row r="56" spans="1:6" ht="24" customHeight="1" x14ac:dyDescent="0.25">
      <c r="A56" s="25"/>
      <c r="B56" s="26" t="s">
        <v>54</v>
      </c>
      <c r="C56" s="27">
        <f>SUM(C49:C55)</f>
        <v>12248428</v>
      </c>
      <c r="D56" s="27">
        <f>SUM(D49:D55)</f>
        <v>11592048</v>
      </c>
      <c r="E56" s="27">
        <f t="shared" si="2"/>
        <v>-656380</v>
      </c>
      <c r="F56" s="28">
        <f t="shared" si="3"/>
        <v>-5.3588917696213753E-2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12158750</v>
      </c>
      <c r="D60" s="23">
        <v>11816250</v>
      </c>
      <c r="E60" s="23">
        <f>D60-C60</f>
        <v>-342500</v>
      </c>
      <c r="F60" s="24">
        <f>IF(C60=0,0,E60/C60)</f>
        <v>-2.8169014084507043E-2</v>
      </c>
    </row>
    <row r="61" spans="1:6" ht="24" customHeight="1" x14ac:dyDescent="0.25">
      <c r="A61" s="25"/>
      <c r="B61" s="26" t="s">
        <v>58</v>
      </c>
      <c r="C61" s="27">
        <f>SUM(C59:C60)</f>
        <v>12158750</v>
      </c>
      <c r="D61" s="27">
        <f>SUM(D59:D60)</f>
        <v>11816250</v>
      </c>
      <c r="E61" s="27">
        <f>D61-C61</f>
        <v>-342500</v>
      </c>
      <c r="F61" s="28">
        <f>IF(C61=0,0,E61/C61)</f>
        <v>-2.8169014084507043E-2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10216358</v>
      </c>
      <c r="D64" s="23">
        <v>9948000</v>
      </c>
      <c r="E64" s="23">
        <f>D64-C64</f>
        <v>-268358</v>
      </c>
      <c r="F64" s="24">
        <f>IF(C64=0,0,E64/C64)</f>
        <v>-2.6267482012670269E-2</v>
      </c>
    </row>
    <row r="65" spans="1:6" ht="24" customHeight="1" x14ac:dyDescent="0.25">
      <c r="A65" s="25"/>
      <c r="B65" s="26" t="s">
        <v>61</v>
      </c>
      <c r="C65" s="27">
        <f>SUM(C61:C64)</f>
        <v>22375108</v>
      </c>
      <c r="D65" s="27">
        <f>SUM(D61:D64)</f>
        <v>21764250</v>
      </c>
      <c r="E65" s="27">
        <f>D65-C65</f>
        <v>-610858</v>
      </c>
      <c r="F65" s="28">
        <f>IF(C65=0,0,E65/C65)</f>
        <v>-2.7300784425264003E-2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4359087</v>
      </c>
      <c r="D70" s="23">
        <v>4961873</v>
      </c>
      <c r="E70" s="23">
        <f>D70-C70</f>
        <v>602786</v>
      </c>
      <c r="F70" s="24">
        <f>IF(C70=0,0,E70/C70)</f>
        <v>0.13828262661424284</v>
      </c>
    </row>
    <row r="71" spans="1:6" ht="24" customHeight="1" x14ac:dyDescent="0.2">
      <c r="A71" s="21">
        <v>2</v>
      </c>
      <c r="B71" s="22" t="s">
        <v>65</v>
      </c>
      <c r="C71" s="23">
        <v>321617</v>
      </c>
      <c r="D71" s="23">
        <v>262646</v>
      </c>
      <c r="E71" s="23">
        <f>D71-C71</f>
        <v>-58971</v>
      </c>
      <c r="F71" s="24">
        <f>IF(C71=0,0,E71/C71)</f>
        <v>-0.18335784489004001</v>
      </c>
    </row>
    <row r="72" spans="1:6" ht="24" customHeight="1" x14ac:dyDescent="0.2">
      <c r="A72" s="21">
        <v>3</v>
      </c>
      <c r="B72" s="22" t="s">
        <v>66</v>
      </c>
      <c r="C72" s="23">
        <v>4009309</v>
      </c>
      <c r="D72" s="23">
        <v>4460079</v>
      </c>
      <c r="E72" s="23">
        <f>D72-C72</f>
        <v>450770</v>
      </c>
      <c r="F72" s="24">
        <f>IF(C72=0,0,E72/C72)</f>
        <v>0.11243084531524011</v>
      </c>
    </row>
    <row r="73" spans="1:6" ht="24" customHeight="1" x14ac:dyDescent="0.25">
      <c r="A73" s="21"/>
      <c r="B73" s="26" t="s">
        <v>67</v>
      </c>
      <c r="C73" s="27">
        <f>SUM(C70:C72)</f>
        <v>8690013</v>
      </c>
      <c r="D73" s="27">
        <f>SUM(D70:D72)</f>
        <v>9684598</v>
      </c>
      <c r="E73" s="27">
        <f>D73-C73</f>
        <v>994585</v>
      </c>
      <c r="F73" s="28">
        <f>IF(C73=0,0,E73/C73)</f>
        <v>0.11445149736830083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43313549</v>
      </c>
      <c r="D75" s="27">
        <f>D56+D65+D67+D73</f>
        <v>43040896</v>
      </c>
      <c r="E75" s="27">
        <f>D75-C75</f>
        <v>-272653</v>
      </c>
      <c r="F75" s="28">
        <f>IF(C75=0,0,E75/C75)</f>
        <v>-6.2948663015353467E-3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89148038</v>
      </c>
      <c r="D11" s="51">
        <v>88701620</v>
      </c>
      <c r="E11" s="51">
        <v>92870450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1507077</v>
      </c>
      <c r="D12" s="49">
        <v>1633180</v>
      </c>
      <c r="E12" s="49">
        <v>896986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90655115</v>
      </c>
      <c r="D13" s="51">
        <f>+D11+D12</f>
        <v>90334800</v>
      </c>
      <c r="E13" s="51">
        <f>+E11+E12</f>
        <v>93767436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97303163</v>
      </c>
      <c r="D14" s="49">
        <v>93561742</v>
      </c>
      <c r="E14" s="49">
        <v>96980439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-6648048</v>
      </c>
      <c r="D15" s="51">
        <f>+D13-D14</f>
        <v>-3226942</v>
      </c>
      <c r="E15" s="51">
        <f>+E13-E14</f>
        <v>-3213003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33842025</v>
      </c>
      <c r="D16" s="49">
        <v>1205975</v>
      </c>
      <c r="E16" s="49">
        <v>447582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27193977</v>
      </c>
      <c r="D17" s="51">
        <f>D15+D16</f>
        <v>-2020967</v>
      </c>
      <c r="E17" s="51">
        <f>E15+E16</f>
        <v>-2765421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-5.339920258409149E-2</v>
      </c>
      <c r="D20" s="169">
        <f>IF(+D27=0,0,+D24/+D27)</f>
        <v>-3.5251416650121215E-2</v>
      </c>
      <c r="E20" s="169">
        <f>IF(+E27=0,0,+E24/+E27)</f>
        <v>-3.410287519129912E-2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0.27182973841808733</v>
      </c>
      <c r="D21" s="169">
        <f>IF(+D27=0,0,+D26/+D27)</f>
        <v>1.3174183854134948E-2</v>
      </c>
      <c r="E21" s="169">
        <f>IF(+E27=0,0,+E26/+E27)</f>
        <v>4.7506438941613324E-3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0.21843053583399585</v>
      </c>
      <c r="D22" s="169">
        <f>IF(+D27=0,0,+D28/+D27)</f>
        <v>-2.2077232795986269E-2</v>
      </c>
      <c r="E22" s="169">
        <f>IF(+E27=0,0,+E28/+E27)</f>
        <v>-2.9352231297137786E-2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-6648048</v>
      </c>
      <c r="D24" s="51">
        <f>+D15</f>
        <v>-3226942</v>
      </c>
      <c r="E24" s="51">
        <f>+E15</f>
        <v>-3213003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90655115</v>
      </c>
      <c r="D25" s="51">
        <f>+D13</f>
        <v>90334800</v>
      </c>
      <c r="E25" s="51">
        <f>+E13</f>
        <v>93767436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33842025</v>
      </c>
      <c r="D26" s="51">
        <f>+D16</f>
        <v>1205975</v>
      </c>
      <c r="E26" s="51">
        <f>+E16</f>
        <v>447582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124497140</v>
      </c>
      <c r="D27" s="51">
        <f>SUM(D25:D26)</f>
        <v>91540775</v>
      </c>
      <c r="E27" s="51">
        <f>SUM(E25:E26)</f>
        <v>94215018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27193977</v>
      </c>
      <c r="D28" s="51">
        <f>+D17</f>
        <v>-2020967</v>
      </c>
      <c r="E28" s="51">
        <f>+E17</f>
        <v>-2765421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2894449</v>
      </c>
      <c r="D31" s="51">
        <v>873482</v>
      </c>
      <c r="E31" s="52">
        <v>-1339902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7232493</v>
      </c>
      <c r="D32" s="51">
        <v>5405784</v>
      </c>
      <c r="E32" s="51">
        <v>3591786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22100836</v>
      </c>
      <c r="D33" s="51">
        <f>+D32-C32</f>
        <v>-1826709</v>
      </c>
      <c r="E33" s="51">
        <f>+E32-D32</f>
        <v>-1813998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-0.4864</v>
      </c>
      <c r="D34" s="171">
        <f>IF(C32=0,0,+D33/C32)</f>
        <v>-0.25256975706716894</v>
      </c>
      <c r="E34" s="171">
        <f>IF(D32=0,0,+E33/D32)</f>
        <v>-0.33556612694846855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0.95771714741530756</v>
      </c>
      <c r="D38" s="269">
        <f>IF(+D40=0,0,+D39/+D40)</f>
        <v>0.96698264882145846</v>
      </c>
      <c r="E38" s="269">
        <f>IF(+E40=0,0,+E39/+E40)</f>
        <v>0.96626949793587624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20051722</v>
      </c>
      <c r="D39" s="270">
        <v>15821158</v>
      </c>
      <c r="E39" s="270">
        <v>15400869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20936998</v>
      </c>
      <c r="D40" s="270">
        <v>16361367</v>
      </c>
      <c r="E40" s="270">
        <v>15938482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23.293104584717398</v>
      </c>
      <c r="D42" s="271">
        <f>IF((D48/365)=0,0,+D45/(D48/365))</f>
        <v>5.3337364983261679</v>
      </c>
      <c r="E42" s="271">
        <f>IF((E48/365)=0,0,+E45/(E48/365))</f>
        <v>4.9114947292046081</v>
      </c>
    </row>
    <row r="43" spans="1:14" ht="24" customHeight="1" x14ac:dyDescent="0.2">
      <c r="A43" s="17">
        <v>5</v>
      </c>
      <c r="B43" s="188" t="s">
        <v>16</v>
      </c>
      <c r="C43" s="272">
        <v>5926275</v>
      </c>
      <c r="D43" s="272">
        <v>1301545</v>
      </c>
      <c r="E43" s="272">
        <v>1246131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5926275</v>
      </c>
      <c r="D45" s="270">
        <f>+D43+D44</f>
        <v>1301545</v>
      </c>
      <c r="E45" s="270">
        <f>+E43+E44</f>
        <v>1246131</v>
      </c>
    </row>
    <row r="46" spans="1:14" ht="24" customHeight="1" x14ac:dyDescent="0.2">
      <c r="A46" s="17">
        <v>8</v>
      </c>
      <c r="B46" s="45" t="s">
        <v>336</v>
      </c>
      <c r="C46" s="270">
        <f>+C14</f>
        <v>97303163</v>
      </c>
      <c r="D46" s="270">
        <f>+D14</f>
        <v>93561742</v>
      </c>
      <c r="E46" s="270">
        <f>+E14</f>
        <v>96980439</v>
      </c>
    </row>
    <row r="47" spans="1:14" ht="24" customHeight="1" x14ac:dyDescent="0.2">
      <c r="A47" s="17">
        <v>9</v>
      </c>
      <c r="B47" s="45" t="s">
        <v>359</v>
      </c>
      <c r="C47" s="270">
        <v>4439184</v>
      </c>
      <c r="D47" s="270">
        <v>4493989</v>
      </c>
      <c r="E47" s="270">
        <v>4373638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92863979</v>
      </c>
      <c r="D48" s="270">
        <f>+D46-D47</f>
        <v>89067753</v>
      </c>
      <c r="E48" s="270">
        <f>+E46-E47</f>
        <v>92606801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40.290643020096525</v>
      </c>
      <c r="D50" s="278">
        <f>IF((D55/365)=0,0,+D54/(D55/365))</f>
        <v>35.669856198793212</v>
      </c>
      <c r="E50" s="278">
        <f>IF((E55/365)=0,0,+E54/(E55/365))</f>
        <v>37.554859430529298</v>
      </c>
    </row>
    <row r="51" spans="1:5" ht="24" customHeight="1" x14ac:dyDescent="0.2">
      <c r="A51" s="17">
        <v>12</v>
      </c>
      <c r="B51" s="188" t="s">
        <v>362</v>
      </c>
      <c r="C51" s="279">
        <v>11163874</v>
      </c>
      <c r="D51" s="279">
        <v>10229184</v>
      </c>
      <c r="E51" s="279">
        <v>11049711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1323239</v>
      </c>
      <c r="D53" s="270">
        <v>1560762</v>
      </c>
      <c r="E53" s="270">
        <v>1494268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9840635</v>
      </c>
      <c r="D54" s="280">
        <f>+D51+D52-D53</f>
        <v>8668422</v>
      </c>
      <c r="E54" s="280">
        <f>+E51+E52-E53</f>
        <v>9555443</v>
      </c>
    </row>
    <row r="55" spans="1:5" ht="24" customHeight="1" x14ac:dyDescent="0.2">
      <c r="A55" s="17">
        <v>16</v>
      </c>
      <c r="B55" s="45" t="s">
        <v>75</v>
      </c>
      <c r="C55" s="270">
        <f>+C11</f>
        <v>89148038</v>
      </c>
      <c r="D55" s="270">
        <f>+D11</f>
        <v>88701620</v>
      </c>
      <c r="E55" s="270">
        <f>+E11</f>
        <v>92870450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82.292449152970292</v>
      </c>
      <c r="D57" s="283">
        <f>IF((D61/365)=0,0,+D58/(D61/365))</f>
        <v>67.048945929959629</v>
      </c>
      <c r="E57" s="283">
        <f>IF((E61/365)=0,0,+E58/(E61/365))</f>
        <v>62.819856286796906</v>
      </c>
    </row>
    <row r="58" spans="1:5" ht="24" customHeight="1" x14ac:dyDescent="0.2">
      <c r="A58" s="17">
        <v>18</v>
      </c>
      <c r="B58" s="45" t="s">
        <v>54</v>
      </c>
      <c r="C58" s="281">
        <f>+C40</f>
        <v>20936998</v>
      </c>
      <c r="D58" s="281">
        <f>+D40</f>
        <v>16361367</v>
      </c>
      <c r="E58" s="281">
        <f>+E40</f>
        <v>15938482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97303163</v>
      </c>
      <c r="D59" s="281">
        <f t="shared" si="0"/>
        <v>93561742</v>
      </c>
      <c r="E59" s="281">
        <f t="shared" si="0"/>
        <v>96980439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4439184</v>
      </c>
      <c r="D60" s="176">
        <f t="shared" si="0"/>
        <v>4493989</v>
      </c>
      <c r="E60" s="176">
        <f t="shared" si="0"/>
        <v>4373638</v>
      </c>
    </row>
    <row r="61" spans="1:5" ht="24" customHeight="1" x14ac:dyDescent="0.2">
      <c r="A61" s="17">
        <v>21</v>
      </c>
      <c r="B61" s="45" t="s">
        <v>365</v>
      </c>
      <c r="C61" s="281">
        <f>+C59-C60</f>
        <v>92863979</v>
      </c>
      <c r="D61" s="281">
        <f>+D59-D60</f>
        <v>89067753</v>
      </c>
      <c r="E61" s="281">
        <f>+E59-E60</f>
        <v>92606801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10.547956862788849</v>
      </c>
      <c r="D65" s="284">
        <f>IF(D67=0,0,(D66/D67)*100)</f>
        <v>8.9371213671386052</v>
      </c>
      <c r="E65" s="284">
        <f>IF(E67=0,0,(E66/E67)*100)</f>
        <v>6.2542651292539526</v>
      </c>
    </row>
    <row r="66" spans="1:5" ht="24" customHeight="1" x14ac:dyDescent="0.2">
      <c r="A66" s="17">
        <v>2</v>
      </c>
      <c r="B66" s="45" t="s">
        <v>67</v>
      </c>
      <c r="C66" s="281">
        <f>+C32</f>
        <v>7232493</v>
      </c>
      <c r="D66" s="281">
        <f>+D32</f>
        <v>5405784</v>
      </c>
      <c r="E66" s="281">
        <f>+E32</f>
        <v>3591786</v>
      </c>
    </row>
    <row r="67" spans="1:5" ht="24" customHeight="1" x14ac:dyDescent="0.2">
      <c r="A67" s="17">
        <v>3</v>
      </c>
      <c r="B67" s="45" t="s">
        <v>43</v>
      </c>
      <c r="C67" s="281">
        <v>68567715</v>
      </c>
      <c r="D67" s="281">
        <v>60486859</v>
      </c>
      <c r="E67" s="281">
        <v>57429385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60.626221039665886</v>
      </c>
      <c r="D69" s="284">
        <f>IF(D75=0,0,(D72/D75)*100)</f>
        <v>5.3762260615772623</v>
      </c>
      <c r="E69" s="284">
        <f>IF(E75=0,0,(E72/E75)*100)</f>
        <v>3.6023926963906541</v>
      </c>
    </row>
    <row r="70" spans="1:5" ht="24" customHeight="1" x14ac:dyDescent="0.2">
      <c r="A70" s="17">
        <v>5</v>
      </c>
      <c r="B70" s="45" t="s">
        <v>370</v>
      </c>
      <c r="C70" s="281">
        <f>+C28</f>
        <v>27193977</v>
      </c>
      <c r="D70" s="281">
        <f>+D28</f>
        <v>-2020967</v>
      </c>
      <c r="E70" s="281">
        <f>+E28</f>
        <v>-2765421</v>
      </c>
    </row>
    <row r="71" spans="1:5" ht="24" customHeight="1" x14ac:dyDescent="0.2">
      <c r="A71" s="17">
        <v>6</v>
      </c>
      <c r="B71" s="45" t="s">
        <v>359</v>
      </c>
      <c r="C71" s="176">
        <f>+C47</f>
        <v>4439184</v>
      </c>
      <c r="D71" s="176">
        <f>+D47</f>
        <v>4493989</v>
      </c>
      <c r="E71" s="176">
        <f>+E47</f>
        <v>4373638</v>
      </c>
    </row>
    <row r="72" spans="1:5" ht="24" customHeight="1" x14ac:dyDescent="0.2">
      <c r="A72" s="17">
        <v>7</v>
      </c>
      <c r="B72" s="45" t="s">
        <v>371</v>
      </c>
      <c r="C72" s="281">
        <f>+C70+C71</f>
        <v>31633161</v>
      </c>
      <c r="D72" s="281">
        <f>+D70+D71</f>
        <v>2473022</v>
      </c>
      <c r="E72" s="281">
        <f>+E70+E71</f>
        <v>1608217</v>
      </c>
    </row>
    <row r="73" spans="1:5" ht="24" customHeight="1" x14ac:dyDescent="0.2">
      <c r="A73" s="17">
        <v>8</v>
      </c>
      <c r="B73" s="45" t="s">
        <v>54</v>
      </c>
      <c r="C73" s="270">
        <f>+C40</f>
        <v>20936998</v>
      </c>
      <c r="D73" s="270">
        <f>+D40</f>
        <v>16361367</v>
      </c>
      <c r="E73" s="270">
        <f>+E40</f>
        <v>15938482</v>
      </c>
    </row>
    <row r="74" spans="1:5" ht="24" customHeight="1" x14ac:dyDescent="0.2">
      <c r="A74" s="17">
        <v>9</v>
      </c>
      <c r="B74" s="45" t="s">
        <v>58</v>
      </c>
      <c r="C74" s="281">
        <v>31240361</v>
      </c>
      <c r="D74" s="281">
        <v>29637852</v>
      </c>
      <c r="E74" s="281">
        <v>28704541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52177359</v>
      </c>
      <c r="D75" s="270">
        <f>+D73+D74</f>
        <v>45999219</v>
      </c>
      <c r="E75" s="270">
        <f>+E73+E74</f>
        <v>44643023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81.201048926601587</v>
      </c>
      <c r="D77" s="286">
        <f>IF(D80=0,0,(D78/D80)*100)</f>
        <v>84.574134944216411</v>
      </c>
      <c r="E77" s="286">
        <f>IF(E80=0,0,(E78/E80)*100)</f>
        <v>88.878654838985256</v>
      </c>
    </row>
    <row r="78" spans="1:5" ht="24" customHeight="1" x14ac:dyDescent="0.2">
      <c r="A78" s="17">
        <v>12</v>
      </c>
      <c r="B78" s="45" t="s">
        <v>58</v>
      </c>
      <c r="C78" s="270">
        <f>+C74</f>
        <v>31240361</v>
      </c>
      <c r="D78" s="270">
        <f>+D74</f>
        <v>29637852</v>
      </c>
      <c r="E78" s="270">
        <f>+E74</f>
        <v>28704541</v>
      </c>
    </row>
    <row r="79" spans="1:5" ht="24" customHeight="1" x14ac:dyDescent="0.2">
      <c r="A79" s="17">
        <v>13</v>
      </c>
      <c r="B79" s="45" t="s">
        <v>67</v>
      </c>
      <c r="C79" s="270">
        <f>+C32</f>
        <v>7232493</v>
      </c>
      <c r="D79" s="270">
        <f>+D32</f>
        <v>5405784</v>
      </c>
      <c r="E79" s="270">
        <f>+E32</f>
        <v>3591786</v>
      </c>
    </row>
    <row r="80" spans="1:5" ht="24" customHeight="1" x14ac:dyDescent="0.2">
      <c r="A80" s="17">
        <v>14</v>
      </c>
      <c r="B80" s="45" t="s">
        <v>374</v>
      </c>
      <c r="C80" s="270">
        <f>+C78+C79</f>
        <v>38472854</v>
      </c>
      <c r="D80" s="270">
        <f>+D78+D79</f>
        <v>35043636</v>
      </c>
      <c r="E80" s="270">
        <f>+E78+E79</f>
        <v>32296327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FILING&amp;R&amp;8JOHNSON MEMORIAL MEDICAL CENTER,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10389</v>
      </c>
      <c r="D11" s="296">
        <v>2278</v>
      </c>
      <c r="E11" s="296">
        <v>2301</v>
      </c>
      <c r="F11" s="297">
        <v>42</v>
      </c>
      <c r="G11" s="297">
        <v>56</v>
      </c>
      <c r="H11" s="298">
        <f>IF(F11=0,0,$C11/(F11*365))</f>
        <v>0.67769080234833656</v>
      </c>
      <c r="I11" s="298">
        <f>IF(G11=0,0,$C11/(G11*365))</f>
        <v>0.50826810176125248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1214</v>
      </c>
      <c r="D13" s="296">
        <v>121</v>
      </c>
      <c r="E13" s="296">
        <v>0</v>
      </c>
      <c r="F13" s="297">
        <v>5</v>
      </c>
      <c r="G13" s="297">
        <v>7</v>
      </c>
      <c r="H13" s="298">
        <f>IF(F13=0,0,$C13/(F13*365))</f>
        <v>0.66520547945205477</v>
      </c>
      <c r="I13" s="298">
        <f>IF(G13=0,0,$C13/(G13*365))</f>
        <v>0.475146771037182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3537</v>
      </c>
      <c r="D16" s="296">
        <v>551</v>
      </c>
      <c r="E16" s="296">
        <v>541</v>
      </c>
      <c r="F16" s="297">
        <v>17</v>
      </c>
      <c r="G16" s="297">
        <v>20</v>
      </c>
      <c r="H16" s="298">
        <f t="shared" si="0"/>
        <v>0.57002417405318295</v>
      </c>
      <c r="I16" s="298">
        <f t="shared" si="0"/>
        <v>0.48452054794520549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3537</v>
      </c>
      <c r="D17" s="300">
        <f>SUM(D15:D16)</f>
        <v>551</v>
      </c>
      <c r="E17" s="300">
        <f>SUM(E15:E16)</f>
        <v>541</v>
      </c>
      <c r="F17" s="300">
        <f>SUM(F15:F16)</f>
        <v>17</v>
      </c>
      <c r="G17" s="300">
        <f>SUM(G15:G16)</f>
        <v>20</v>
      </c>
      <c r="H17" s="301">
        <f t="shared" si="0"/>
        <v>0.57002417405318295</v>
      </c>
      <c r="I17" s="301">
        <f t="shared" si="0"/>
        <v>0.48452054794520549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590</v>
      </c>
      <c r="D21" s="296">
        <v>213</v>
      </c>
      <c r="E21" s="296">
        <v>213</v>
      </c>
      <c r="F21" s="297">
        <v>4</v>
      </c>
      <c r="G21" s="297">
        <v>6</v>
      </c>
      <c r="H21" s="298">
        <f>IF(F21=0,0,$C21/(F21*365))</f>
        <v>0.4041095890410959</v>
      </c>
      <c r="I21" s="298">
        <f>IF(G21=0,0,$C21/(G21*365))</f>
        <v>0.26940639269406391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459</v>
      </c>
      <c r="D23" s="296">
        <v>209</v>
      </c>
      <c r="E23" s="296">
        <v>211</v>
      </c>
      <c r="F23" s="297">
        <v>4</v>
      </c>
      <c r="G23" s="297">
        <v>6</v>
      </c>
      <c r="H23" s="298">
        <f>IF(F23=0,0,$C23/(F23*365))</f>
        <v>0.31438356164383563</v>
      </c>
      <c r="I23" s="298">
        <f>IF(G23=0,0,$C23/(G23*365))</f>
        <v>0.20958904109589041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15730</v>
      </c>
      <c r="D31" s="300">
        <f>SUM(D10:D29)-D13-D17-D23</f>
        <v>3042</v>
      </c>
      <c r="E31" s="300">
        <f>SUM(E10:E29)-E17-E23</f>
        <v>3055</v>
      </c>
      <c r="F31" s="300">
        <f>SUM(F10:F29)-F17-F23</f>
        <v>68</v>
      </c>
      <c r="G31" s="300">
        <f>SUM(G10:G29)-G17-G23</f>
        <v>89</v>
      </c>
      <c r="H31" s="301">
        <f>IF(F31=0,0,$C31/(F31*365))</f>
        <v>0.63376309427880739</v>
      </c>
      <c r="I31" s="301">
        <f>IF(G31=0,0,$C31/(G31*365))</f>
        <v>0.4842234877635832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16189</v>
      </c>
      <c r="D33" s="300">
        <f>SUM(D10:D29)-D13-D17</f>
        <v>3251</v>
      </c>
      <c r="E33" s="300">
        <f>SUM(E10:E29)-E17</f>
        <v>3266</v>
      </c>
      <c r="F33" s="300">
        <f>SUM(F10:F29)-F17</f>
        <v>72</v>
      </c>
      <c r="G33" s="300">
        <f>SUM(G10:G29)-G17</f>
        <v>95</v>
      </c>
      <c r="H33" s="301">
        <f>IF(F33=0,0,$C33/(F33*365))</f>
        <v>0.61601978691019788</v>
      </c>
      <c r="I33" s="301">
        <f>IF(G33=0,0,$C33/(G33*365))</f>
        <v>0.4668781542898342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16189</v>
      </c>
      <c r="D36" s="300">
        <f t="shared" si="1"/>
        <v>3251</v>
      </c>
      <c r="E36" s="300">
        <f t="shared" si="1"/>
        <v>3266</v>
      </c>
      <c r="F36" s="300">
        <f t="shared" si="1"/>
        <v>72</v>
      </c>
      <c r="G36" s="300">
        <f t="shared" si="1"/>
        <v>95</v>
      </c>
      <c r="H36" s="301">
        <f t="shared" si="1"/>
        <v>0.61601978691019788</v>
      </c>
      <c r="I36" s="301">
        <f t="shared" si="1"/>
        <v>0.4668781542898342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15790</v>
      </c>
      <c r="D37" s="300">
        <v>3268</v>
      </c>
      <c r="E37" s="300">
        <v>3273</v>
      </c>
      <c r="F37" s="302">
        <v>72</v>
      </c>
      <c r="G37" s="302">
        <v>95</v>
      </c>
      <c r="H37" s="301">
        <f>IF(F37=0,0,$C37/(F37*365))</f>
        <v>0.60083713850837139</v>
      </c>
      <c r="I37" s="301">
        <f>IF(G37=0,0,$C37/(G37*365))</f>
        <v>0.45537130497476569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399</v>
      </c>
      <c r="D38" s="300">
        <f t="shared" si="2"/>
        <v>-17</v>
      </c>
      <c r="E38" s="300">
        <f t="shared" si="2"/>
        <v>-7</v>
      </c>
      <c r="F38" s="300">
        <f t="shared" si="2"/>
        <v>0</v>
      </c>
      <c r="G38" s="300">
        <f t="shared" si="2"/>
        <v>0</v>
      </c>
      <c r="H38" s="301">
        <f t="shared" si="2"/>
        <v>1.5182648401826482E-2</v>
      </c>
      <c r="I38" s="301">
        <f t="shared" si="2"/>
        <v>1.1506849315068512E-2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2.526915769474351E-2</v>
      </c>
      <c r="D40" s="148">
        <f t="shared" si="3"/>
        <v>-5.2019583843329253E-3</v>
      </c>
      <c r="E40" s="148">
        <f t="shared" si="3"/>
        <v>-2.1387106630003055E-3</v>
      </c>
      <c r="F40" s="148">
        <f t="shared" si="3"/>
        <v>0</v>
      </c>
      <c r="G40" s="148">
        <f t="shared" si="3"/>
        <v>0</v>
      </c>
      <c r="H40" s="148">
        <f t="shared" si="3"/>
        <v>2.5269157694743506E-2</v>
      </c>
      <c r="I40" s="148">
        <f t="shared" si="3"/>
        <v>2.5269157694743551E-2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101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FILING&amp;RJOHNSON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1890</v>
      </c>
      <c r="D12" s="296">
        <v>1631</v>
      </c>
      <c r="E12" s="296">
        <f>+D12-C12</f>
        <v>-259</v>
      </c>
      <c r="F12" s="316">
        <f>IF(C12=0,0,+E12/C12)</f>
        <v>-0.13703703703703704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1824</v>
      </c>
      <c r="D13" s="296">
        <v>1665</v>
      </c>
      <c r="E13" s="296">
        <f>+D13-C13</f>
        <v>-159</v>
      </c>
      <c r="F13" s="316">
        <f>IF(C13=0,0,+E13/C13)</f>
        <v>-8.7171052631578941E-2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3887</v>
      </c>
      <c r="D14" s="296">
        <v>3538</v>
      </c>
      <c r="E14" s="296">
        <f>+D14-C14</f>
        <v>-349</v>
      </c>
      <c r="F14" s="316">
        <f>IF(C14=0,0,+E14/C14)</f>
        <v>-8.9786467712889118E-2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7601</v>
      </c>
      <c r="D16" s="300">
        <f>SUM(D12:D15)</f>
        <v>6834</v>
      </c>
      <c r="E16" s="300">
        <f>+D16-C16</f>
        <v>-767</v>
      </c>
      <c r="F16" s="309">
        <f>IF(C16=0,0,+E16/C16)</f>
        <v>-0.10090777529272464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120</v>
      </c>
      <c r="D19" s="296">
        <v>133</v>
      </c>
      <c r="E19" s="296">
        <f>+D19-C19</f>
        <v>13</v>
      </c>
      <c r="F19" s="316">
        <f>IF(C19=0,0,+E19/C19)</f>
        <v>0.10833333333333334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1376</v>
      </c>
      <c r="D20" s="296">
        <v>1354</v>
      </c>
      <c r="E20" s="296">
        <f>+D20-C20</f>
        <v>-22</v>
      </c>
      <c r="F20" s="316">
        <f>IF(C20=0,0,+E20/C20)</f>
        <v>-1.5988372093023256E-2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15</v>
      </c>
      <c r="D21" s="296">
        <v>24</v>
      </c>
      <c r="E21" s="296">
        <f>+D21-C21</f>
        <v>9</v>
      </c>
      <c r="F21" s="316">
        <f>IF(C21=0,0,+E21/C21)</f>
        <v>0.6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1511</v>
      </c>
      <c r="D23" s="300">
        <f>SUM(D19:D22)</f>
        <v>1511</v>
      </c>
      <c r="E23" s="300">
        <f>+D23-C23</f>
        <v>0</v>
      </c>
      <c r="F23" s="309">
        <f>IF(C23=0,0,+E23/C23)</f>
        <v>0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578</v>
      </c>
      <c r="D63" s="296">
        <v>554</v>
      </c>
      <c r="E63" s="296">
        <f>+D63-C63</f>
        <v>-24</v>
      </c>
      <c r="F63" s="316">
        <f>IF(C63=0,0,+E63/C63)</f>
        <v>-4.1522491349480967E-2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2283</v>
      </c>
      <c r="D64" s="296">
        <v>2016</v>
      </c>
      <c r="E64" s="296">
        <f>+D64-C64</f>
        <v>-267</v>
      </c>
      <c r="F64" s="316">
        <f>IF(C64=0,0,+E64/C64)</f>
        <v>-0.11695137976346912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2861</v>
      </c>
      <c r="D65" s="300">
        <f>SUM(D63:D64)</f>
        <v>2570</v>
      </c>
      <c r="E65" s="300">
        <f>+D65-C65</f>
        <v>-291</v>
      </c>
      <c r="F65" s="309">
        <f>IF(C65=0,0,+E65/C65)</f>
        <v>-0.10171268787137365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130</v>
      </c>
      <c r="D68" s="296">
        <v>97</v>
      </c>
      <c r="E68" s="296">
        <f>+D68-C68</f>
        <v>-33</v>
      </c>
      <c r="F68" s="316">
        <f>IF(C68=0,0,+E68/C68)</f>
        <v>-0.25384615384615383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1809</v>
      </c>
      <c r="D69" s="296">
        <v>2201</v>
      </c>
      <c r="E69" s="296">
        <f>+D69-C69</f>
        <v>392</v>
      </c>
      <c r="F69" s="318">
        <f>IF(C69=0,0,+E69/C69)</f>
        <v>0.21669430624654507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1939</v>
      </c>
      <c r="D70" s="300">
        <f>SUM(D68:D69)</f>
        <v>2298</v>
      </c>
      <c r="E70" s="300">
        <f>+D70-C70</f>
        <v>359</v>
      </c>
      <c r="F70" s="309">
        <f>IF(C70=0,0,+E70/C70)</f>
        <v>0.185146982980918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2686</v>
      </c>
      <c r="D73" s="319">
        <v>2537</v>
      </c>
      <c r="E73" s="296">
        <f>+D73-C73</f>
        <v>-149</v>
      </c>
      <c r="F73" s="316">
        <f>IF(C73=0,0,+E73/C73)</f>
        <v>-5.5472822040208487E-2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17435</v>
      </c>
      <c r="D74" s="319">
        <v>18145</v>
      </c>
      <c r="E74" s="296">
        <f>+D74-C74</f>
        <v>710</v>
      </c>
      <c r="F74" s="316">
        <f>IF(C74=0,0,+E74/C74)</f>
        <v>4.0722684255807287E-2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20121</v>
      </c>
      <c r="D75" s="300">
        <f>SUM(D73:D74)</f>
        <v>20682</v>
      </c>
      <c r="E75" s="300">
        <f>SUM(E73:E74)</f>
        <v>561</v>
      </c>
      <c r="F75" s="309">
        <f>IF(C75=0,0,+E75/C75)</f>
        <v>2.7881318025943045E-2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1180</v>
      </c>
      <c r="D87" s="322">
        <v>1923</v>
      </c>
      <c r="E87" s="323">
        <f t="shared" ref="E87:E92" si="2">+D87-C87</f>
        <v>743</v>
      </c>
      <c r="F87" s="318">
        <f t="shared" ref="F87:F92" si="3">IF(C87=0,0,+E87/C87)</f>
        <v>0.62966101694915255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1325</v>
      </c>
      <c r="D88" s="322">
        <v>1504</v>
      </c>
      <c r="E88" s="296">
        <f t="shared" si="2"/>
        <v>179</v>
      </c>
      <c r="F88" s="316">
        <f t="shared" si="3"/>
        <v>0.1350943396226415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1427</v>
      </c>
      <c r="D89" s="322">
        <v>1975</v>
      </c>
      <c r="E89" s="296">
        <f t="shared" si="2"/>
        <v>548</v>
      </c>
      <c r="F89" s="316">
        <f t="shared" si="3"/>
        <v>0.38402242466713382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1287</v>
      </c>
      <c r="D90" s="322">
        <v>1002</v>
      </c>
      <c r="E90" s="296">
        <f t="shared" si="2"/>
        <v>-285</v>
      </c>
      <c r="F90" s="316">
        <f t="shared" si="3"/>
        <v>-0.22144522144522144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75544</v>
      </c>
      <c r="D91" s="322">
        <v>76147</v>
      </c>
      <c r="E91" s="296">
        <f t="shared" si="2"/>
        <v>603</v>
      </c>
      <c r="F91" s="316">
        <f t="shared" si="3"/>
        <v>7.9821031451869102E-3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80763</v>
      </c>
      <c r="D92" s="320">
        <f>SUM(D87:D91)</f>
        <v>82551</v>
      </c>
      <c r="E92" s="300">
        <f t="shared" si="2"/>
        <v>1788</v>
      </c>
      <c r="F92" s="309">
        <f t="shared" si="3"/>
        <v>2.2138850711340589E-2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119.6</v>
      </c>
      <c r="D96" s="325">
        <v>118.7</v>
      </c>
      <c r="E96" s="326">
        <f>+D96-C96</f>
        <v>-0.89999999999999147</v>
      </c>
      <c r="F96" s="316">
        <f>IF(C96=0,0,+E96/C96)</f>
        <v>-7.5250836120400628E-3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0</v>
      </c>
      <c r="D97" s="325">
        <v>0</v>
      </c>
      <c r="E97" s="326">
        <f>+D97-C97</f>
        <v>0</v>
      </c>
      <c r="F97" s="316">
        <f>IF(C97=0,0,+E97/C97)</f>
        <v>0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343.9</v>
      </c>
      <c r="D98" s="325">
        <v>345.5</v>
      </c>
      <c r="E98" s="326">
        <f>+D98-C98</f>
        <v>1.6000000000000227</v>
      </c>
      <c r="F98" s="316">
        <f>IF(C98=0,0,+E98/C98)</f>
        <v>4.6525152660657834E-3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463.5</v>
      </c>
      <c r="D99" s="327">
        <f>SUM(D96:D98)</f>
        <v>464.2</v>
      </c>
      <c r="E99" s="327">
        <f>+D99-C99</f>
        <v>0.69999999999998863</v>
      </c>
      <c r="F99" s="309">
        <f>IF(C99=0,0,+E99/C99)</f>
        <v>1.5102481121898352E-3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FILING&amp;RJOHNSON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804</v>
      </c>
      <c r="D12" s="296">
        <v>845</v>
      </c>
      <c r="E12" s="296">
        <f>+D12-C12</f>
        <v>41</v>
      </c>
      <c r="F12" s="316">
        <f>IF(C12=0,0,+E12/C12)</f>
        <v>5.0995024875621887E-2</v>
      </c>
    </row>
    <row r="13" spans="1:16" ht="15.75" customHeight="1" x14ac:dyDescent="0.2">
      <c r="A13" s="294">
        <v>2</v>
      </c>
      <c r="B13" s="295" t="s">
        <v>602</v>
      </c>
      <c r="C13" s="296">
        <v>1479</v>
      </c>
      <c r="D13" s="296">
        <v>1171</v>
      </c>
      <c r="E13" s="296">
        <f>+D13-C13</f>
        <v>-308</v>
      </c>
      <c r="F13" s="316">
        <f>IF(C13=0,0,+E13/C13)</f>
        <v>-0.20824881676808654</v>
      </c>
    </row>
    <row r="14" spans="1:16" ht="15.75" customHeight="1" x14ac:dyDescent="0.25">
      <c r="A14" s="294"/>
      <c r="B14" s="135" t="s">
        <v>603</v>
      </c>
      <c r="C14" s="300">
        <f>SUM(C11:C13)</f>
        <v>2283</v>
      </c>
      <c r="D14" s="300">
        <f>SUM(D11:D13)</f>
        <v>2016</v>
      </c>
      <c r="E14" s="300">
        <f>+D14-C14</f>
        <v>-267</v>
      </c>
      <c r="F14" s="309">
        <f>IF(C14=0,0,+E14/C14)</f>
        <v>-0.11695137976346912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576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601</v>
      </c>
      <c r="C17" s="296">
        <v>1244</v>
      </c>
      <c r="D17" s="296">
        <v>1271</v>
      </c>
      <c r="E17" s="296">
        <f>+D17-C17</f>
        <v>27</v>
      </c>
      <c r="F17" s="316">
        <f>IF(C17=0,0,+E17/C17)</f>
        <v>2.1704180064308683E-2</v>
      </c>
    </row>
    <row r="18" spans="1:6" ht="15.75" customHeight="1" x14ac:dyDescent="0.2">
      <c r="A18" s="294">
        <v>2</v>
      </c>
      <c r="B18" s="295" t="s">
        <v>604</v>
      </c>
      <c r="C18" s="296">
        <v>565</v>
      </c>
      <c r="D18" s="296">
        <v>930</v>
      </c>
      <c r="E18" s="296">
        <f>+D18-C18</f>
        <v>365</v>
      </c>
      <c r="F18" s="316">
        <f>IF(C18=0,0,+E18/C18)</f>
        <v>0.64601769911504425</v>
      </c>
    </row>
    <row r="19" spans="1:6" ht="15.75" customHeight="1" x14ac:dyDescent="0.25">
      <c r="A19" s="294"/>
      <c r="B19" s="135" t="s">
        <v>605</v>
      </c>
      <c r="C19" s="300">
        <f>SUM(C16:C18)</f>
        <v>1809</v>
      </c>
      <c r="D19" s="300">
        <f>SUM(D16:D18)</f>
        <v>2201</v>
      </c>
      <c r="E19" s="300">
        <f>+D19-C19</f>
        <v>392</v>
      </c>
      <c r="F19" s="309">
        <f>IF(C19=0,0,+E19/C19)</f>
        <v>0.21669430624654507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606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601</v>
      </c>
      <c r="C22" s="296">
        <v>17435</v>
      </c>
      <c r="D22" s="296">
        <v>18145</v>
      </c>
      <c r="E22" s="296">
        <f>+D22-C22</f>
        <v>710</v>
      </c>
      <c r="F22" s="316">
        <f>IF(C22=0,0,+E22/C22)</f>
        <v>4.0722684255807287E-2</v>
      </c>
    </row>
    <row r="23" spans="1:6" ht="15.75" customHeight="1" x14ac:dyDescent="0.25">
      <c r="A23" s="294"/>
      <c r="B23" s="135" t="s">
        <v>607</v>
      </c>
      <c r="C23" s="300">
        <f>SUM(C21:C22)</f>
        <v>17435</v>
      </c>
      <c r="D23" s="300">
        <f>SUM(D21:D22)</f>
        <v>18145</v>
      </c>
      <c r="E23" s="300">
        <f>+D23-C23</f>
        <v>710</v>
      </c>
      <c r="F23" s="309">
        <f>IF(C23=0,0,+E23/C23)</f>
        <v>4.0722684255807287E-2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608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609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610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FILING&amp;RJOHNSON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615</v>
      </c>
      <c r="D7" s="341" t="s">
        <v>615</v>
      </c>
      <c r="E7" s="341" t="s">
        <v>616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617</v>
      </c>
      <c r="D8" s="344" t="s">
        <v>618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620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622</v>
      </c>
      <c r="C15" s="361">
        <v>39549056</v>
      </c>
      <c r="D15" s="361">
        <v>39724495</v>
      </c>
      <c r="E15" s="361">
        <f t="shared" ref="E15:E24" si="0">D15-C15</f>
        <v>175439</v>
      </c>
      <c r="F15" s="362">
        <f t="shared" ref="F15:F24" si="1">IF(C15=0,0,E15/C15)</f>
        <v>4.435984515028627E-3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623</v>
      </c>
      <c r="C16" s="361">
        <v>14745330</v>
      </c>
      <c r="D16" s="361">
        <v>15012920</v>
      </c>
      <c r="E16" s="361">
        <f t="shared" si="0"/>
        <v>267590</v>
      </c>
      <c r="F16" s="362">
        <f t="shared" si="1"/>
        <v>1.8147440579491948E-2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624</v>
      </c>
      <c r="C17" s="366">
        <f>IF(C15=0,0,C16/C15)</f>
        <v>0.37283645910537028</v>
      </c>
      <c r="D17" s="366">
        <f>IF(LN_IA1=0,0,LN_IA2/LN_IA1)</f>
        <v>0.37792601265289844</v>
      </c>
      <c r="E17" s="367">
        <f t="shared" si="0"/>
        <v>5.0895535475281584E-3</v>
      </c>
      <c r="F17" s="362">
        <f t="shared" si="1"/>
        <v>1.3650900879545579E-2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1616</v>
      </c>
      <c r="D18" s="369">
        <v>1601</v>
      </c>
      <c r="E18" s="369">
        <f t="shared" si="0"/>
        <v>-15</v>
      </c>
      <c r="F18" s="362">
        <f t="shared" si="1"/>
        <v>-9.2821782178217817E-3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625</v>
      </c>
      <c r="C19" s="372">
        <v>1.3605</v>
      </c>
      <c r="D19" s="372">
        <v>1.3225</v>
      </c>
      <c r="E19" s="373">
        <f t="shared" si="0"/>
        <v>-3.8000000000000034E-2</v>
      </c>
      <c r="F19" s="362">
        <f t="shared" si="1"/>
        <v>-2.7930907754502046E-2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626</v>
      </c>
      <c r="C20" s="376">
        <f>C18*C19</f>
        <v>2198.5680000000002</v>
      </c>
      <c r="D20" s="376">
        <f>LN_IA4*LN_IA5</f>
        <v>2117.3225000000002</v>
      </c>
      <c r="E20" s="376">
        <f t="shared" si="0"/>
        <v>-81.245499999999993</v>
      </c>
      <c r="F20" s="362">
        <f t="shared" si="1"/>
        <v>-3.695382630876097E-2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627</v>
      </c>
      <c r="C21" s="378">
        <f>IF(C20=0,0,C16/C20)</f>
        <v>6706.7882367068014</v>
      </c>
      <c r="D21" s="378">
        <f>IF(LN_IA6=0,0,LN_IA2/LN_IA6)</f>
        <v>7090.5211652924854</v>
      </c>
      <c r="E21" s="378">
        <f t="shared" si="0"/>
        <v>383.73292858568402</v>
      </c>
      <c r="F21" s="362">
        <f t="shared" si="1"/>
        <v>5.721560231848119E-2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9180</v>
      </c>
      <c r="D22" s="369">
        <v>9242</v>
      </c>
      <c r="E22" s="369">
        <f t="shared" si="0"/>
        <v>62</v>
      </c>
      <c r="F22" s="362">
        <f t="shared" si="1"/>
        <v>6.7538126361655773E-3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628</v>
      </c>
      <c r="C23" s="378">
        <f>IF(C22=0,0,C16/C22)</f>
        <v>1606.2450980392157</v>
      </c>
      <c r="D23" s="378">
        <f>IF(LN_IA8=0,0,LN_IA2/LN_IA8)</f>
        <v>1624.4232850032461</v>
      </c>
      <c r="E23" s="378">
        <f t="shared" si="0"/>
        <v>18.178186964030374</v>
      </c>
      <c r="F23" s="362">
        <f t="shared" si="1"/>
        <v>1.1317193737257751E-2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629</v>
      </c>
      <c r="C24" s="379">
        <f>IF(C18=0,0,C22/C18)</f>
        <v>5.6806930693069306</v>
      </c>
      <c r="D24" s="379">
        <f>IF(LN_IA4=0,0,LN_IA8/LN_IA4)</f>
        <v>5.77264209868832</v>
      </c>
      <c r="E24" s="379">
        <f t="shared" si="0"/>
        <v>9.194902938138938E-2</v>
      </c>
      <c r="F24" s="362">
        <f t="shared" si="1"/>
        <v>1.6186234366048501E-2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630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631</v>
      </c>
      <c r="C27" s="361">
        <v>29174803</v>
      </c>
      <c r="D27" s="361">
        <v>29240458</v>
      </c>
      <c r="E27" s="361">
        <f t="shared" ref="E27:E32" si="2">D27-C27</f>
        <v>65655</v>
      </c>
      <c r="F27" s="362">
        <f t="shared" ref="F27:F32" si="3">IF(C27=0,0,E27/C27)</f>
        <v>2.2504007996215088E-3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632</v>
      </c>
      <c r="C28" s="361">
        <v>7285506</v>
      </c>
      <c r="D28" s="361">
        <v>9656813</v>
      </c>
      <c r="E28" s="361">
        <f t="shared" si="2"/>
        <v>2371307</v>
      </c>
      <c r="F28" s="362">
        <f t="shared" si="3"/>
        <v>0.32548281478321478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633</v>
      </c>
      <c r="C29" s="366">
        <f>IF(C27=0,0,C28/C27)</f>
        <v>0.2497191154983977</v>
      </c>
      <c r="D29" s="366">
        <f>IF(LN_IA11=0,0,LN_IA12/LN_IA11)</f>
        <v>0.33025518957329603</v>
      </c>
      <c r="E29" s="367">
        <f t="shared" si="2"/>
        <v>8.0536074074898323E-2</v>
      </c>
      <c r="F29" s="362">
        <f t="shared" si="3"/>
        <v>0.3225066447723145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634</v>
      </c>
      <c r="C30" s="366">
        <f>IF(C15=0,0,C27/C15)</f>
        <v>0.73768645704210989</v>
      </c>
      <c r="D30" s="366">
        <f>IF(LN_IA1=0,0,LN_IA11/LN_IA1)</f>
        <v>0.73608130197753296</v>
      </c>
      <c r="E30" s="367">
        <f t="shared" si="2"/>
        <v>-1.6051550645769241E-3</v>
      </c>
      <c r="F30" s="362">
        <f t="shared" si="3"/>
        <v>-2.175931317775698E-3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635</v>
      </c>
      <c r="C31" s="376">
        <f>C30*C18</f>
        <v>1192.1013145800496</v>
      </c>
      <c r="D31" s="376">
        <f>LN_IA14*LN_IA4</f>
        <v>1178.4661644660302</v>
      </c>
      <c r="E31" s="376">
        <f t="shared" si="2"/>
        <v>-13.635150114019325</v>
      </c>
      <c r="F31" s="362">
        <f t="shared" si="3"/>
        <v>-1.1437912153316165E-2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636</v>
      </c>
      <c r="C32" s="378">
        <f>IF(C31=0,0,C28/C31)</f>
        <v>6111.4822296513612</v>
      </c>
      <c r="D32" s="378">
        <f>IF(LN_IA15=0,0,LN_IA12/LN_IA15)</f>
        <v>8194.3913972070277</v>
      </c>
      <c r="E32" s="378">
        <f t="shared" si="2"/>
        <v>2082.9091675556665</v>
      </c>
      <c r="F32" s="362">
        <f t="shared" si="3"/>
        <v>0.34081898454190374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638</v>
      </c>
      <c r="C35" s="361">
        <f>C15+C27</f>
        <v>68723859</v>
      </c>
      <c r="D35" s="361">
        <f>LN_IA1+LN_IA11</f>
        <v>68964953</v>
      </c>
      <c r="E35" s="361">
        <f>D35-C35</f>
        <v>241094</v>
      </c>
      <c r="F35" s="362">
        <f>IF(C35=0,0,E35/C35)</f>
        <v>3.50815573380418E-3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639</v>
      </c>
      <c r="C36" s="361">
        <f>C16+C28</f>
        <v>22030836</v>
      </c>
      <c r="D36" s="361">
        <f>LN_IA2+LN_IA12</f>
        <v>24669733</v>
      </c>
      <c r="E36" s="361">
        <f>D36-C36</f>
        <v>2638897</v>
      </c>
      <c r="F36" s="362">
        <f>IF(C36=0,0,E36/C36)</f>
        <v>0.11978197286748446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640</v>
      </c>
      <c r="C37" s="361">
        <f>C35-C36</f>
        <v>46693023</v>
      </c>
      <c r="D37" s="361">
        <f>LN_IA17-LN_IA18</f>
        <v>44295220</v>
      </c>
      <c r="E37" s="361">
        <f>D37-C37</f>
        <v>-2397803</v>
      </c>
      <c r="F37" s="362">
        <f>IF(C37=0,0,E37/C37)</f>
        <v>-5.1352490071161168E-2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622</v>
      </c>
      <c r="C42" s="361">
        <v>14748364</v>
      </c>
      <c r="D42" s="361">
        <v>15559054</v>
      </c>
      <c r="E42" s="361">
        <f t="shared" ref="E42:E53" si="4">D42-C42</f>
        <v>810690</v>
      </c>
      <c r="F42" s="362">
        <f t="shared" ref="F42:F53" si="5">IF(C42=0,0,E42/C42)</f>
        <v>5.4968130702496898E-2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623</v>
      </c>
      <c r="C43" s="361">
        <v>7431564</v>
      </c>
      <c r="D43" s="361">
        <v>8489972</v>
      </c>
      <c r="E43" s="361">
        <f t="shared" si="4"/>
        <v>1058408</v>
      </c>
      <c r="F43" s="362">
        <f t="shared" si="5"/>
        <v>0.14242062639842704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624</v>
      </c>
      <c r="C44" s="366">
        <f>IF(C42=0,0,C43/C42)</f>
        <v>0.50389073662678785</v>
      </c>
      <c r="D44" s="366">
        <f>IF(LN_IB1=0,0,LN_IB2/LN_IB1)</f>
        <v>0.54566119508294009</v>
      </c>
      <c r="E44" s="367">
        <f t="shared" si="4"/>
        <v>4.1770458456152237E-2</v>
      </c>
      <c r="F44" s="362">
        <f t="shared" si="5"/>
        <v>8.2895864956314888E-2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979</v>
      </c>
      <c r="D45" s="369">
        <v>985</v>
      </c>
      <c r="E45" s="369">
        <f t="shared" si="4"/>
        <v>6</v>
      </c>
      <c r="F45" s="362">
        <f t="shared" si="5"/>
        <v>6.1287027579162408E-3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625</v>
      </c>
      <c r="C46" s="372">
        <v>1.0203</v>
      </c>
      <c r="D46" s="372">
        <v>1.03942</v>
      </c>
      <c r="E46" s="373">
        <f t="shared" si="4"/>
        <v>1.9120000000000026E-2</v>
      </c>
      <c r="F46" s="362">
        <f t="shared" si="5"/>
        <v>1.8739586396158019E-2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626</v>
      </c>
      <c r="C47" s="376">
        <f>C45*C46</f>
        <v>998.87369999999999</v>
      </c>
      <c r="D47" s="376">
        <f>LN_IB4*LN_IB5</f>
        <v>1023.8287</v>
      </c>
      <c r="E47" s="376">
        <f t="shared" si="4"/>
        <v>24.955000000000041</v>
      </c>
      <c r="F47" s="362">
        <f t="shared" si="5"/>
        <v>2.498313850890262E-2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627</v>
      </c>
      <c r="C48" s="378">
        <f>IF(C47=0,0,C43/C47)</f>
        <v>7439.9436084862382</v>
      </c>
      <c r="D48" s="378">
        <f>IF(LN_IB6=0,0,LN_IB2/LN_IB6)</f>
        <v>8292.3754725766139</v>
      </c>
      <c r="E48" s="378">
        <f t="shared" si="4"/>
        <v>852.43186409037571</v>
      </c>
      <c r="F48" s="362">
        <f t="shared" si="5"/>
        <v>0.11457504370302815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643</v>
      </c>
      <c r="C49" s="378">
        <f>C21-C48</f>
        <v>-733.15537177943679</v>
      </c>
      <c r="D49" s="378">
        <f>LN_IA7-LN_IB7</f>
        <v>-1201.8543072841285</v>
      </c>
      <c r="E49" s="378">
        <f t="shared" si="4"/>
        <v>-468.69893550469169</v>
      </c>
      <c r="F49" s="362">
        <f t="shared" si="5"/>
        <v>0.63929005166683217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644</v>
      </c>
      <c r="C50" s="391">
        <f>C49*C47</f>
        <v>-732329.61888420163</v>
      </c>
      <c r="D50" s="391">
        <f>LN_IB8*LN_IB6</f>
        <v>-1230492.9330161097</v>
      </c>
      <c r="E50" s="391">
        <f t="shared" si="4"/>
        <v>-498163.31413190812</v>
      </c>
      <c r="F50" s="362">
        <f t="shared" si="5"/>
        <v>0.68024466208389056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3704</v>
      </c>
      <c r="D51" s="369">
        <v>3951</v>
      </c>
      <c r="E51" s="369">
        <f t="shared" si="4"/>
        <v>247</v>
      </c>
      <c r="F51" s="362">
        <f t="shared" si="5"/>
        <v>6.6684665226781861E-2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628</v>
      </c>
      <c r="C52" s="378">
        <f>IF(C51=0,0,C43/C51)</f>
        <v>2006.3617710583153</v>
      </c>
      <c r="D52" s="378">
        <f>IF(LN_IB10=0,0,LN_IB2/LN_IB10)</f>
        <v>2148.8159959503923</v>
      </c>
      <c r="E52" s="378">
        <f t="shared" si="4"/>
        <v>142.45422489207704</v>
      </c>
      <c r="F52" s="362">
        <f t="shared" si="5"/>
        <v>7.1001265547905312E-2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629</v>
      </c>
      <c r="C53" s="379">
        <f>IF(C45=0,0,C51/C45)</f>
        <v>3.7834525025536263</v>
      </c>
      <c r="D53" s="379">
        <f>IF(LN_IB4=0,0,LN_IB10/LN_IB4)</f>
        <v>4.0111675126903554</v>
      </c>
      <c r="E53" s="379">
        <f t="shared" si="4"/>
        <v>0.22771501013672912</v>
      </c>
      <c r="F53" s="362">
        <f t="shared" si="5"/>
        <v>6.0187093661948653E-2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631</v>
      </c>
      <c r="C56" s="361">
        <v>43705243</v>
      </c>
      <c r="D56" s="361">
        <v>43029416</v>
      </c>
      <c r="E56" s="361">
        <f t="shared" ref="E56:E63" si="6">D56-C56</f>
        <v>-675827</v>
      </c>
      <c r="F56" s="362">
        <f t="shared" ref="F56:F63" si="7">IF(C56=0,0,E56/C56)</f>
        <v>-1.5463293500049867E-2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632</v>
      </c>
      <c r="C57" s="361">
        <v>23803326</v>
      </c>
      <c r="D57" s="361">
        <v>22273804</v>
      </c>
      <c r="E57" s="361">
        <f t="shared" si="6"/>
        <v>-1529522</v>
      </c>
      <c r="F57" s="362">
        <f t="shared" si="7"/>
        <v>-6.4256650520183603E-2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633</v>
      </c>
      <c r="C58" s="366">
        <f>IF(C56=0,0,C57/C56)</f>
        <v>0.54463319194907578</v>
      </c>
      <c r="D58" s="366">
        <f>IF(LN_IB13=0,0,LN_IB14/LN_IB13)</f>
        <v>0.51764132704008814</v>
      </c>
      <c r="E58" s="367">
        <f t="shared" si="6"/>
        <v>-2.6991864908987639E-2</v>
      </c>
      <c r="F58" s="362">
        <f t="shared" si="7"/>
        <v>-4.9559713414439543E-2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634</v>
      </c>
      <c r="C59" s="366">
        <f>IF(C42=0,0,C56/C42)</f>
        <v>2.9633960078555153</v>
      </c>
      <c r="D59" s="366">
        <f>IF(LN_IB1=0,0,LN_IB13/LN_IB1)</f>
        <v>2.7655547695894622</v>
      </c>
      <c r="E59" s="367">
        <f t="shared" si="6"/>
        <v>-0.19784123826605304</v>
      </c>
      <c r="F59" s="362">
        <f t="shared" si="7"/>
        <v>-6.6761660521106797E-2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635</v>
      </c>
      <c r="C60" s="376">
        <f>C59*C45</f>
        <v>2901.1646916905493</v>
      </c>
      <c r="D60" s="376">
        <f>LN_IB16*LN_IB4</f>
        <v>2724.0714480456204</v>
      </c>
      <c r="E60" s="376">
        <f t="shared" si="6"/>
        <v>-177.09324364492886</v>
      </c>
      <c r="F60" s="362">
        <f t="shared" si="7"/>
        <v>-6.1042120136149236E-2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636</v>
      </c>
      <c r="C61" s="378">
        <f>IF(C60=0,0,C57/C60)</f>
        <v>8204.7482751244534</v>
      </c>
      <c r="D61" s="378">
        <f>IF(LN_IB17=0,0,LN_IB14/LN_IB17)</f>
        <v>8176.6592487800917</v>
      </c>
      <c r="E61" s="378">
        <f t="shared" si="6"/>
        <v>-28.089026344361628</v>
      </c>
      <c r="F61" s="362">
        <f t="shared" si="7"/>
        <v>-3.4235086077562277E-3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646</v>
      </c>
      <c r="C62" s="378">
        <f>C32-C61</f>
        <v>-2093.2660454730922</v>
      </c>
      <c r="D62" s="378">
        <f>LN_IA16-LN_IB18</f>
        <v>17.732148426935964</v>
      </c>
      <c r="E62" s="378">
        <f t="shared" si="6"/>
        <v>2110.9981939000281</v>
      </c>
      <c r="F62" s="362">
        <f t="shared" si="7"/>
        <v>-1.0084710438337656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647</v>
      </c>
      <c r="C63" s="361">
        <f>C62*C60</f>
        <v>-6072909.5414412385</v>
      </c>
      <c r="D63" s="361">
        <f>LN_IB19*LN_IB17</f>
        <v>48303.639242323319</v>
      </c>
      <c r="E63" s="361">
        <f t="shared" si="6"/>
        <v>6121213.1806835616</v>
      </c>
      <c r="F63" s="362">
        <f t="shared" si="7"/>
        <v>-1.0079539533583863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638</v>
      </c>
      <c r="C66" s="361">
        <f>C42+C56</f>
        <v>58453607</v>
      </c>
      <c r="D66" s="361">
        <f>LN_IB1+LN_IB13</f>
        <v>58588470</v>
      </c>
      <c r="E66" s="361">
        <f>D66-C66</f>
        <v>134863</v>
      </c>
      <c r="F66" s="362">
        <f>IF(C66=0,0,E66/C66)</f>
        <v>2.3071801197828562E-3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639</v>
      </c>
      <c r="C67" s="361">
        <f>C43+C57</f>
        <v>31234890</v>
      </c>
      <c r="D67" s="361">
        <f>LN_IB2+LN_IB14</f>
        <v>30763776</v>
      </c>
      <c r="E67" s="361">
        <f>D67-C67</f>
        <v>-471114</v>
      </c>
      <c r="F67" s="362">
        <f>IF(C67=0,0,E67/C67)</f>
        <v>-1.5082940903585702E-2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640</v>
      </c>
      <c r="C68" s="361">
        <f>C66-C67</f>
        <v>27218717</v>
      </c>
      <c r="D68" s="361">
        <f>LN_IB21-LN_IB22</f>
        <v>27824694</v>
      </c>
      <c r="E68" s="361">
        <f>D68-C68</f>
        <v>605977</v>
      </c>
      <c r="F68" s="362">
        <f>IF(C68=0,0,E68/C68)</f>
        <v>2.2263246280124077E-2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649</v>
      </c>
      <c r="C70" s="353">
        <f>C50+C63</f>
        <v>-6805239.1603254396</v>
      </c>
      <c r="D70" s="353">
        <f>LN_IB9+LN_IB20</f>
        <v>-1182189.2937737864</v>
      </c>
      <c r="E70" s="361">
        <f>D70-C70</f>
        <v>5623049.8665516535</v>
      </c>
      <c r="F70" s="362">
        <f>IF(C70=0,0,E70/C70)</f>
        <v>-0.82628247649752673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650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651</v>
      </c>
      <c r="C73" s="400">
        <v>58453607</v>
      </c>
      <c r="D73" s="400">
        <v>58588470</v>
      </c>
      <c r="E73" s="400">
        <f>D73-C73</f>
        <v>134863</v>
      </c>
      <c r="F73" s="401">
        <f>IF(C73=0,0,E73/C73)</f>
        <v>2.3071801197828562E-3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652</v>
      </c>
      <c r="C74" s="400">
        <v>31234890</v>
      </c>
      <c r="D74" s="400">
        <v>30763776</v>
      </c>
      <c r="E74" s="400">
        <f>D74-C74</f>
        <v>-471114</v>
      </c>
      <c r="F74" s="401">
        <f>IF(C74=0,0,E74/C74)</f>
        <v>-1.5082940903585702E-2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654</v>
      </c>
      <c r="C76" s="353">
        <f>C73-C74</f>
        <v>27218717</v>
      </c>
      <c r="D76" s="353">
        <f>LN_IB32-LN_IB33</f>
        <v>27824694</v>
      </c>
      <c r="E76" s="400">
        <f>D76-C76</f>
        <v>605977</v>
      </c>
      <c r="F76" s="401">
        <f>IF(C76=0,0,E76/C76)</f>
        <v>2.2263246280124077E-2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655</v>
      </c>
      <c r="C77" s="366">
        <f>IF(C73=0,0,C76/C73)</f>
        <v>0.46564649124219143</v>
      </c>
      <c r="D77" s="366">
        <f>IF(LN_IB1=0,0,LN_IB34/LN_IB32)</f>
        <v>0.47491757337237173</v>
      </c>
      <c r="E77" s="405">
        <f>D77-C77</f>
        <v>9.271082130180297E-3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622</v>
      </c>
      <c r="C83" s="361">
        <v>653864</v>
      </c>
      <c r="D83" s="361">
        <v>1122051</v>
      </c>
      <c r="E83" s="361">
        <f t="shared" ref="E83:E95" si="8">D83-C83</f>
        <v>468187</v>
      </c>
      <c r="F83" s="362">
        <f t="shared" ref="F83:F95" si="9">IF(C83=0,0,E83/C83)</f>
        <v>0.71603116244356624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623</v>
      </c>
      <c r="C84" s="361">
        <v>55783</v>
      </c>
      <c r="D84" s="361">
        <v>14045</v>
      </c>
      <c r="E84" s="361">
        <f t="shared" si="8"/>
        <v>-41738</v>
      </c>
      <c r="F84" s="362">
        <f t="shared" si="9"/>
        <v>-0.74822078410985426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624</v>
      </c>
      <c r="C85" s="366">
        <f>IF(C83=0,0,C84/C83)</f>
        <v>8.531284793167998E-2</v>
      </c>
      <c r="D85" s="366">
        <f>IF(LN_IC1=0,0,LN_IC2/LN_IC1)</f>
        <v>1.2517256345745425E-2</v>
      </c>
      <c r="E85" s="367">
        <f t="shared" si="8"/>
        <v>-7.2795591585934558E-2</v>
      </c>
      <c r="F85" s="362">
        <f t="shared" si="9"/>
        <v>-0.85327817967383457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52</v>
      </c>
      <c r="D86" s="369">
        <v>76</v>
      </c>
      <c r="E86" s="369">
        <f t="shared" si="8"/>
        <v>24</v>
      </c>
      <c r="F86" s="362">
        <f t="shared" si="9"/>
        <v>0.46153846153846156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625</v>
      </c>
      <c r="C87" s="372">
        <v>0.92349999999999999</v>
      </c>
      <c r="D87" s="372">
        <v>0.97609999999999997</v>
      </c>
      <c r="E87" s="373">
        <f t="shared" si="8"/>
        <v>5.259999999999998E-2</v>
      </c>
      <c r="F87" s="362">
        <f t="shared" si="9"/>
        <v>5.6957227937195432E-2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626</v>
      </c>
      <c r="C88" s="376">
        <f>C86*C87</f>
        <v>48.021999999999998</v>
      </c>
      <c r="D88" s="376">
        <f>LN_IC4*LN_IC5</f>
        <v>74.183599999999998</v>
      </c>
      <c r="E88" s="376">
        <f t="shared" si="8"/>
        <v>26.1616</v>
      </c>
      <c r="F88" s="362">
        <f t="shared" si="9"/>
        <v>0.54478364083128572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627</v>
      </c>
      <c r="C89" s="378">
        <f>IF(C88=0,0,C84/C88)</f>
        <v>1161.6134271792096</v>
      </c>
      <c r="D89" s="378">
        <f>IF(LN_IC6=0,0,LN_IC2/LN_IC6)</f>
        <v>189.32756026938569</v>
      </c>
      <c r="E89" s="378">
        <f t="shared" si="8"/>
        <v>-972.28586690982388</v>
      </c>
      <c r="F89" s="362">
        <f t="shared" si="9"/>
        <v>-0.8370132818375412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658</v>
      </c>
      <c r="C90" s="378">
        <f>C48-C89</f>
        <v>6278.3301813070284</v>
      </c>
      <c r="D90" s="378">
        <f>LN_IB7-LN_IC7</f>
        <v>8103.0479123072282</v>
      </c>
      <c r="E90" s="378">
        <f t="shared" si="8"/>
        <v>1824.7177310001998</v>
      </c>
      <c r="F90" s="362">
        <f t="shared" si="9"/>
        <v>0.29063742719888752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659</v>
      </c>
      <c r="C91" s="378">
        <f>C21-C89</f>
        <v>5545.1748095275916</v>
      </c>
      <c r="D91" s="378">
        <f>LN_IA7-LN_IC7</f>
        <v>6901.1936050230997</v>
      </c>
      <c r="E91" s="378">
        <f t="shared" si="8"/>
        <v>1356.0187954955081</v>
      </c>
      <c r="F91" s="362">
        <f t="shared" si="9"/>
        <v>0.2445403151521261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644</v>
      </c>
      <c r="C92" s="353">
        <f>C91*C88</f>
        <v>266290.38470313401</v>
      </c>
      <c r="D92" s="353">
        <f>LN_IC9*LN_IC6</f>
        <v>511955.38591759163</v>
      </c>
      <c r="E92" s="353">
        <f t="shared" si="8"/>
        <v>245665.00121445762</v>
      </c>
      <c r="F92" s="362">
        <f t="shared" si="9"/>
        <v>0.92254551920201699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169</v>
      </c>
      <c r="D93" s="369">
        <v>318</v>
      </c>
      <c r="E93" s="369">
        <f t="shared" si="8"/>
        <v>149</v>
      </c>
      <c r="F93" s="362">
        <f t="shared" si="9"/>
        <v>0.88165680473372776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628</v>
      </c>
      <c r="C94" s="411">
        <f>IF(C93=0,0,C84/C93)</f>
        <v>330.07692307692309</v>
      </c>
      <c r="D94" s="411">
        <f>IF(LN_IC11=0,0,LN_IC2/LN_IC11)</f>
        <v>44.166666666666664</v>
      </c>
      <c r="E94" s="411">
        <f t="shared" si="8"/>
        <v>-285.91025641025641</v>
      </c>
      <c r="F94" s="362">
        <f t="shared" si="9"/>
        <v>-0.86619280664957654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629</v>
      </c>
      <c r="C95" s="379">
        <f>IF(C86=0,0,C93/C86)</f>
        <v>3.25</v>
      </c>
      <c r="D95" s="379">
        <f>IF(LN_IC4=0,0,LN_IC11/LN_IC4)</f>
        <v>4.1842105263157894</v>
      </c>
      <c r="E95" s="379">
        <f t="shared" si="8"/>
        <v>0.93421052631578938</v>
      </c>
      <c r="F95" s="362">
        <f t="shared" si="9"/>
        <v>0.2874493927125506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660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631</v>
      </c>
      <c r="C98" s="361">
        <v>1938061</v>
      </c>
      <c r="D98" s="361">
        <v>2070919</v>
      </c>
      <c r="E98" s="361">
        <f t="shared" ref="E98:E106" si="10">D98-C98</f>
        <v>132858</v>
      </c>
      <c r="F98" s="362">
        <f t="shared" ref="F98:F106" si="11">IF(C98=0,0,E98/C98)</f>
        <v>6.8552021840385835E-2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632</v>
      </c>
      <c r="C99" s="361">
        <v>147470</v>
      </c>
      <c r="D99" s="361">
        <v>108242</v>
      </c>
      <c r="E99" s="361">
        <f t="shared" si="10"/>
        <v>-39228</v>
      </c>
      <c r="F99" s="362">
        <f t="shared" si="11"/>
        <v>-0.26600664541940733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633</v>
      </c>
      <c r="C100" s="366">
        <f>IF(C98=0,0,C99/C98)</f>
        <v>7.609151621130604E-2</v>
      </c>
      <c r="D100" s="366">
        <f>IF(LN_IC14=0,0,LN_IC15/LN_IC14)</f>
        <v>5.2267616454337425E-2</v>
      </c>
      <c r="E100" s="367">
        <f t="shared" si="10"/>
        <v>-2.3823899756968615E-2</v>
      </c>
      <c r="F100" s="362">
        <f t="shared" si="11"/>
        <v>-0.31309534811751782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634</v>
      </c>
      <c r="C101" s="366">
        <f>IF(C83=0,0,C98/C83)</f>
        <v>2.9640123940146577</v>
      </c>
      <c r="D101" s="366">
        <f>IF(LN_IC1=0,0,LN_IC14/LN_IC1)</f>
        <v>1.8456549657725005</v>
      </c>
      <c r="E101" s="367">
        <f t="shared" si="10"/>
        <v>-1.1183574282421571</v>
      </c>
      <c r="F101" s="362">
        <f t="shared" si="11"/>
        <v>-0.37731199454513031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635</v>
      </c>
      <c r="C102" s="376">
        <f>C101*C86</f>
        <v>154.12864448876221</v>
      </c>
      <c r="D102" s="376">
        <f>LN_IC17*LN_IC4</f>
        <v>140.26977739871003</v>
      </c>
      <c r="E102" s="376">
        <f t="shared" si="10"/>
        <v>-13.858867090052172</v>
      </c>
      <c r="F102" s="362">
        <f t="shared" si="11"/>
        <v>-8.9917530489036682E-2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636</v>
      </c>
      <c r="C103" s="378">
        <f>IF(C102=0,0,C99/C102)</f>
        <v>956.79813761518096</v>
      </c>
      <c r="D103" s="378">
        <f>IF(LN_IC18=0,0,LN_IC15/LN_IC18)</f>
        <v>771.67014881849684</v>
      </c>
      <c r="E103" s="378">
        <f t="shared" si="10"/>
        <v>-185.12798879668412</v>
      </c>
      <c r="F103" s="362">
        <f t="shared" si="11"/>
        <v>-0.1934869869815127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661</v>
      </c>
      <c r="C104" s="378">
        <f>C61-C103</f>
        <v>7247.9501375092723</v>
      </c>
      <c r="D104" s="378">
        <f>LN_IB18-LN_IC19</f>
        <v>7404.9890999615945</v>
      </c>
      <c r="E104" s="378">
        <f t="shared" si="10"/>
        <v>157.03896245232227</v>
      </c>
      <c r="F104" s="362">
        <f t="shared" si="11"/>
        <v>2.1666672572652115E-2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662</v>
      </c>
      <c r="C105" s="378">
        <f>C32-C103</f>
        <v>5154.6840920361801</v>
      </c>
      <c r="D105" s="378">
        <f>LN_IA16-LN_IC19</f>
        <v>7422.7212483885305</v>
      </c>
      <c r="E105" s="378">
        <f t="shared" si="10"/>
        <v>2268.0371563523504</v>
      </c>
      <c r="F105" s="362">
        <f t="shared" si="11"/>
        <v>0.43999537427645552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647</v>
      </c>
      <c r="C106" s="361">
        <f>C105*C102</f>
        <v>794484.47187332239</v>
      </c>
      <c r="D106" s="361">
        <f>LN_IC21*LN_IC18</f>
        <v>1041183.4572041342</v>
      </c>
      <c r="E106" s="361">
        <f t="shared" si="10"/>
        <v>246698.98533081182</v>
      </c>
      <c r="F106" s="362">
        <f t="shared" si="11"/>
        <v>0.31051454630588055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638</v>
      </c>
      <c r="C109" s="361">
        <f>C83+C98</f>
        <v>2591925</v>
      </c>
      <c r="D109" s="361">
        <f>LN_IC1+LN_IC14</f>
        <v>3192970</v>
      </c>
      <c r="E109" s="361">
        <f>D109-C109</f>
        <v>601045</v>
      </c>
      <c r="F109" s="362">
        <f>IF(C109=0,0,E109/C109)</f>
        <v>0.23189135488102472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639</v>
      </c>
      <c r="C110" s="361">
        <f>C84+C99</f>
        <v>203253</v>
      </c>
      <c r="D110" s="361">
        <f>LN_IC2+LN_IC15</f>
        <v>122287</v>
      </c>
      <c r="E110" s="361">
        <f>D110-C110</f>
        <v>-80966</v>
      </c>
      <c r="F110" s="362">
        <f>IF(C110=0,0,E110/C110)</f>
        <v>-0.39835082385007847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640</v>
      </c>
      <c r="C111" s="361">
        <f>C109-C110</f>
        <v>2388672</v>
      </c>
      <c r="D111" s="361">
        <f>LN_IC23-LN_IC24</f>
        <v>3070683</v>
      </c>
      <c r="E111" s="361">
        <f>D111-C111</f>
        <v>682011</v>
      </c>
      <c r="F111" s="362">
        <f>IF(C111=0,0,E111/C111)</f>
        <v>0.28551889920424406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649</v>
      </c>
      <c r="C113" s="361">
        <f>C92+C106</f>
        <v>1060774.8565764565</v>
      </c>
      <c r="D113" s="361">
        <f>LN_IC10+LN_IC22</f>
        <v>1553138.8431217258</v>
      </c>
      <c r="E113" s="361">
        <f>D113-C113</f>
        <v>492363.98654526938</v>
      </c>
      <c r="F113" s="362">
        <f>IF(C113=0,0,E113/C113)</f>
        <v>0.46415503110087314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622</v>
      </c>
      <c r="C118" s="361">
        <v>8565373</v>
      </c>
      <c r="D118" s="361">
        <v>9988388</v>
      </c>
      <c r="E118" s="361">
        <f t="shared" ref="E118:E130" si="12">D118-C118</f>
        <v>1423015</v>
      </c>
      <c r="F118" s="362">
        <f t="shared" ref="F118:F130" si="13">IF(C118=0,0,E118/C118)</f>
        <v>0.16613578883254704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623</v>
      </c>
      <c r="C119" s="361">
        <v>2558626</v>
      </c>
      <c r="D119" s="361">
        <v>3385438</v>
      </c>
      <c r="E119" s="361">
        <f t="shared" si="12"/>
        <v>826812</v>
      </c>
      <c r="F119" s="362">
        <f t="shared" si="13"/>
        <v>0.32314687648761486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624</v>
      </c>
      <c r="C120" s="366">
        <f>IF(C118=0,0,C119/C118)</f>
        <v>0.29871740553505377</v>
      </c>
      <c r="D120" s="366">
        <f>IF(LN_ID1=0,0,LN_1D2/LN_ID1)</f>
        <v>0.33893737407878027</v>
      </c>
      <c r="E120" s="367">
        <f t="shared" si="12"/>
        <v>4.0219968543726503E-2</v>
      </c>
      <c r="F120" s="362">
        <f t="shared" si="13"/>
        <v>0.13464219961232485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643</v>
      </c>
      <c r="D121" s="369">
        <v>646</v>
      </c>
      <c r="E121" s="369">
        <f t="shared" si="12"/>
        <v>3</v>
      </c>
      <c r="F121" s="362">
        <f t="shared" si="13"/>
        <v>4.6656298600311046E-3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625</v>
      </c>
      <c r="C122" s="372">
        <v>0.84913000000000005</v>
      </c>
      <c r="D122" s="372">
        <v>0.97484999999999999</v>
      </c>
      <c r="E122" s="373">
        <f t="shared" si="12"/>
        <v>0.12571999999999994</v>
      </c>
      <c r="F122" s="362">
        <f t="shared" si="13"/>
        <v>0.14805742348050349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626</v>
      </c>
      <c r="C123" s="376">
        <f>C121*C122</f>
        <v>545.99059</v>
      </c>
      <c r="D123" s="376">
        <f>LN_ID4*LN_ID5</f>
        <v>629.75310000000002</v>
      </c>
      <c r="E123" s="376">
        <f t="shared" si="12"/>
        <v>83.76251000000002</v>
      </c>
      <c r="F123" s="362">
        <f t="shared" si="13"/>
        <v>0.15341383447652462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627</v>
      </c>
      <c r="C124" s="378">
        <f>IF(C123=0,0,C119/C123)</f>
        <v>4686.2089692791224</v>
      </c>
      <c r="D124" s="378">
        <f>IF(LN_ID6=0,0,LN_1D2/LN_ID6)</f>
        <v>5375.8179197529953</v>
      </c>
      <c r="E124" s="378">
        <f t="shared" si="12"/>
        <v>689.60895047387294</v>
      </c>
      <c r="F124" s="362">
        <f t="shared" si="13"/>
        <v>0.14715710609464247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666</v>
      </c>
      <c r="C125" s="378">
        <f>C48-C124</f>
        <v>2753.7346392071158</v>
      </c>
      <c r="D125" s="378">
        <f>LN_IB7-LN_ID7</f>
        <v>2916.5575528236186</v>
      </c>
      <c r="E125" s="378">
        <f t="shared" si="12"/>
        <v>162.82291361650277</v>
      </c>
      <c r="F125" s="362">
        <f t="shared" si="13"/>
        <v>5.9128033361770999E-2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667</v>
      </c>
      <c r="C126" s="378">
        <f>C21-C124</f>
        <v>2020.579267427679</v>
      </c>
      <c r="D126" s="378">
        <f>LN_IA7-LN_ID7</f>
        <v>1714.7032455394901</v>
      </c>
      <c r="E126" s="378">
        <f t="shared" si="12"/>
        <v>-305.87602188818892</v>
      </c>
      <c r="F126" s="362">
        <f t="shared" si="13"/>
        <v>-0.15138036246288314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644</v>
      </c>
      <c r="C127" s="391">
        <f>C126*C123</f>
        <v>1103217.2663646063</v>
      </c>
      <c r="D127" s="391">
        <f>LN_ID9*LN_ID6</f>
        <v>1079839.6844585552</v>
      </c>
      <c r="E127" s="391">
        <f t="shared" si="12"/>
        <v>-23377.581906051142</v>
      </c>
      <c r="F127" s="362">
        <f t="shared" si="13"/>
        <v>-2.1190369856235552E-2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2813</v>
      </c>
      <c r="D128" s="369">
        <v>2904</v>
      </c>
      <c r="E128" s="369">
        <f t="shared" si="12"/>
        <v>91</v>
      </c>
      <c r="F128" s="362">
        <f t="shared" si="13"/>
        <v>3.23498044792037E-2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628</v>
      </c>
      <c r="C129" s="378">
        <f>IF(C128=0,0,C119/C128)</f>
        <v>909.57198720227518</v>
      </c>
      <c r="D129" s="378">
        <f>IF(LN_ID11=0,0,LN_1D2/LN_ID11)</f>
        <v>1165.784435261708</v>
      </c>
      <c r="E129" s="378">
        <f t="shared" si="12"/>
        <v>256.21244805943286</v>
      </c>
      <c r="F129" s="362">
        <f t="shared" si="13"/>
        <v>0.28168462932495197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629</v>
      </c>
      <c r="C130" s="379">
        <f>IF(C121=0,0,C128/C121)</f>
        <v>4.3748055987558319</v>
      </c>
      <c r="D130" s="379">
        <f>IF(LN_ID4=0,0,LN_ID11/LN_ID4)</f>
        <v>4.4953560371517032</v>
      </c>
      <c r="E130" s="379">
        <f t="shared" si="12"/>
        <v>0.12055043839587132</v>
      </c>
      <c r="F130" s="362">
        <f t="shared" si="13"/>
        <v>2.7555610340755515E-2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631</v>
      </c>
      <c r="C133" s="361">
        <v>12050752</v>
      </c>
      <c r="D133" s="361">
        <v>14252955</v>
      </c>
      <c r="E133" s="361">
        <f t="shared" ref="E133:E141" si="14">D133-C133</f>
        <v>2202203</v>
      </c>
      <c r="F133" s="362">
        <f t="shared" ref="F133:F141" si="15">IF(C133=0,0,E133/C133)</f>
        <v>0.1827440312438593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632</v>
      </c>
      <c r="C134" s="361">
        <v>2958028</v>
      </c>
      <c r="D134" s="361">
        <v>3710813</v>
      </c>
      <c r="E134" s="361">
        <f t="shared" si="14"/>
        <v>752785</v>
      </c>
      <c r="F134" s="362">
        <f t="shared" si="15"/>
        <v>0.25448880132304358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633</v>
      </c>
      <c r="C135" s="366">
        <f>IF(C133=0,0,C134/C133)</f>
        <v>0.2454641834800019</v>
      </c>
      <c r="D135" s="366">
        <f>IF(LN_ID14=0,0,LN_ID15/LN_ID14)</f>
        <v>0.26035394063897627</v>
      </c>
      <c r="E135" s="367">
        <f t="shared" si="14"/>
        <v>1.4889757158974365E-2</v>
      </c>
      <c r="F135" s="362">
        <f t="shared" si="15"/>
        <v>6.0659591749308885E-2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634</v>
      </c>
      <c r="C136" s="366">
        <f>IF(C118=0,0,C133/C118)</f>
        <v>1.4069150286858494</v>
      </c>
      <c r="D136" s="366">
        <f>IF(LN_ID1=0,0,LN_ID14/LN_ID1)</f>
        <v>1.4269524772165438</v>
      </c>
      <c r="E136" s="367">
        <f t="shared" si="14"/>
        <v>2.0037448530694446E-2</v>
      </c>
      <c r="F136" s="362">
        <f t="shared" si="15"/>
        <v>1.4242117059059874E-2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635</v>
      </c>
      <c r="C137" s="376">
        <f>C136*C121</f>
        <v>904.64636344500116</v>
      </c>
      <c r="D137" s="376">
        <f>LN_ID17*LN_ID4</f>
        <v>921.81130028188727</v>
      </c>
      <c r="E137" s="376">
        <f t="shared" si="14"/>
        <v>17.164936836886113</v>
      </c>
      <c r="F137" s="362">
        <f t="shared" si="15"/>
        <v>1.8974195365711734E-2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636</v>
      </c>
      <c r="C138" s="378">
        <f>IF(C137=0,0,C134/C137)</f>
        <v>3269.8169356868652</v>
      </c>
      <c r="D138" s="378">
        <f>IF(LN_ID18=0,0,LN_ID15/LN_ID18)</f>
        <v>4025.5668365805932</v>
      </c>
      <c r="E138" s="378">
        <f t="shared" si="14"/>
        <v>755.74990089372795</v>
      </c>
      <c r="F138" s="362">
        <f t="shared" si="15"/>
        <v>0.23112911693784882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669</v>
      </c>
      <c r="C139" s="378">
        <f>C61-C138</f>
        <v>4934.9313394375877</v>
      </c>
      <c r="D139" s="378">
        <f>LN_IB18-LN_ID19</f>
        <v>4151.0924121994985</v>
      </c>
      <c r="E139" s="378">
        <f t="shared" si="14"/>
        <v>-783.83892723808913</v>
      </c>
      <c r="F139" s="362">
        <f t="shared" si="15"/>
        <v>-0.15883481923528034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670</v>
      </c>
      <c r="C140" s="378">
        <f>C32-C138</f>
        <v>2841.665293964496</v>
      </c>
      <c r="D140" s="378">
        <f>LN_IA16-LN_ID19</f>
        <v>4168.8245606264345</v>
      </c>
      <c r="E140" s="378">
        <f t="shared" si="14"/>
        <v>1327.1592666619385</v>
      </c>
      <c r="F140" s="362">
        <f t="shared" si="15"/>
        <v>0.46703574466730291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647</v>
      </c>
      <c r="C141" s="353">
        <f>C140*C137</f>
        <v>2570702.1743128514</v>
      </c>
      <c r="D141" s="353">
        <f>LN_ID21*LN_ID18</f>
        <v>3842869.5888781208</v>
      </c>
      <c r="E141" s="353">
        <f t="shared" si="14"/>
        <v>1272167.4145652694</v>
      </c>
      <c r="F141" s="362">
        <f t="shared" si="15"/>
        <v>0.49487156749510264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638</v>
      </c>
      <c r="C144" s="361">
        <f>C118+C133</f>
        <v>20616125</v>
      </c>
      <c r="D144" s="361">
        <f>LN_ID1+LN_ID14</f>
        <v>24241343</v>
      </c>
      <c r="E144" s="361">
        <f>D144-C144</f>
        <v>3625218</v>
      </c>
      <c r="F144" s="362">
        <f>IF(C144=0,0,E144/C144)</f>
        <v>0.17584381157952816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639</v>
      </c>
      <c r="C145" s="361">
        <f>C119+C134</f>
        <v>5516654</v>
      </c>
      <c r="D145" s="361">
        <f>LN_1D2+LN_ID15</f>
        <v>7096251</v>
      </c>
      <c r="E145" s="361">
        <f>D145-C145</f>
        <v>1579597</v>
      </c>
      <c r="F145" s="362">
        <f>IF(C145=0,0,E145/C145)</f>
        <v>0.28633243991738472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640</v>
      </c>
      <c r="C146" s="361">
        <f>C144-C145</f>
        <v>15099471</v>
      </c>
      <c r="D146" s="361">
        <f>LN_ID23-LN_ID24</f>
        <v>17145092</v>
      </c>
      <c r="E146" s="361">
        <f>D146-C146</f>
        <v>2045621</v>
      </c>
      <c r="F146" s="362">
        <f>IF(C146=0,0,E146/C146)</f>
        <v>0.13547633556168953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649</v>
      </c>
      <c r="C148" s="361">
        <f>C127+C141</f>
        <v>3673919.4406774575</v>
      </c>
      <c r="D148" s="361">
        <f>LN_ID10+LN_ID22</f>
        <v>4922709.2733366759</v>
      </c>
      <c r="E148" s="361">
        <f>D148-C148</f>
        <v>1248789.8326592185</v>
      </c>
      <c r="F148" s="415">
        <f>IF(C148=0,0,E148/C148)</f>
        <v>0.33990669986736183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622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623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624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625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626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627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674</v>
      </c>
      <c r="C160" s="378">
        <f>C48-C159</f>
        <v>7439.9436084862382</v>
      </c>
      <c r="D160" s="378">
        <f>LN_IB7-LN_IE7</f>
        <v>8292.3754725766139</v>
      </c>
      <c r="E160" s="378">
        <f t="shared" si="16"/>
        <v>852.43186409037571</v>
      </c>
      <c r="F160" s="362">
        <f t="shared" si="17"/>
        <v>0.11457504370302815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675</v>
      </c>
      <c r="C161" s="378">
        <f>C21-C159</f>
        <v>6706.7882367068014</v>
      </c>
      <c r="D161" s="378">
        <f>LN_IA7-LN_IE7</f>
        <v>7090.5211652924854</v>
      </c>
      <c r="E161" s="378">
        <f t="shared" si="16"/>
        <v>383.73292858568402</v>
      </c>
      <c r="F161" s="362">
        <f t="shared" si="17"/>
        <v>5.721560231848119E-2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644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628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629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631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632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633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634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635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636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677</v>
      </c>
      <c r="C174" s="378">
        <f>C61-C173</f>
        <v>8204.7482751244534</v>
      </c>
      <c r="D174" s="378">
        <f>LN_IB18-LN_IE19</f>
        <v>8176.6592487800917</v>
      </c>
      <c r="E174" s="378">
        <f t="shared" si="18"/>
        <v>-28.089026344361628</v>
      </c>
      <c r="F174" s="362">
        <f t="shared" si="19"/>
        <v>-3.4235086077562277E-3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678</v>
      </c>
      <c r="C175" s="378">
        <f>C32-C173</f>
        <v>6111.4822296513612</v>
      </c>
      <c r="D175" s="378">
        <f>LN_IA16-LN_IE19</f>
        <v>8194.3913972070277</v>
      </c>
      <c r="E175" s="378">
        <f t="shared" si="18"/>
        <v>2082.9091675556665</v>
      </c>
      <c r="F175" s="362">
        <f t="shared" si="19"/>
        <v>0.34081898454190374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647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638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639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640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680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622</v>
      </c>
      <c r="C188" s="361">
        <f>C118+C153</f>
        <v>8565373</v>
      </c>
      <c r="D188" s="361">
        <f>LN_ID1+LN_IE1</f>
        <v>9988388</v>
      </c>
      <c r="E188" s="361">
        <f t="shared" ref="E188:E200" si="20">D188-C188</f>
        <v>1423015</v>
      </c>
      <c r="F188" s="362">
        <f t="shared" ref="F188:F200" si="21">IF(C188=0,0,E188/C188)</f>
        <v>0.16613578883254704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623</v>
      </c>
      <c r="C189" s="361">
        <f>C119+C154</f>
        <v>2558626</v>
      </c>
      <c r="D189" s="361">
        <f>LN_1D2+LN_IE2</f>
        <v>3385438</v>
      </c>
      <c r="E189" s="361">
        <f t="shared" si="20"/>
        <v>826812</v>
      </c>
      <c r="F189" s="362">
        <f t="shared" si="21"/>
        <v>0.32314687648761486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624</v>
      </c>
      <c r="C190" s="366">
        <f>IF(C188=0,0,C189/C188)</f>
        <v>0.29871740553505377</v>
      </c>
      <c r="D190" s="366">
        <f>IF(LN_IF1=0,0,LN_IF2/LN_IF1)</f>
        <v>0.33893737407878027</v>
      </c>
      <c r="E190" s="367">
        <f t="shared" si="20"/>
        <v>4.0219968543726503E-2</v>
      </c>
      <c r="F190" s="362">
        <f t="shared" si="21"/>
        <v>0.13464219961232485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643</v>
      </c>
      <c r="D191" s="369">
        <f>LN_ID4+LN_IE4</f>
        <v>646</v>
      </c>
      <c r="E191" s="369">
        <f t="shared" si="20"/>
        <v>3</v>
      </c>
      <c r="F191" s="362">
        <f t="shared" si="21"/>
        <v>4.6656298600311046E-3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625</v>
      </c>
      <c r="C192" s="372">
        <f>IF((C121+C156)=0,0,(C123+C158)/(C121+C156))</f>
        <v>0.84913000000000005</v>
      </c>
      <c r="D192" s="372">
        <f>IF((LN_ID4+LN_IE4)=0,0,(LN_ID6+LN_IE6)/(LN_ID4+LN_IE4))</f>
        <v>0.97484999999999999</v>
      </c>
      <c r="E192" s="373">
        <f t="shared" si="20"/>
        <v>0.12571999999999994</v>
      </c>
      <c r="F192" s="362">
        <f t="shared" si="21"/>
        <v>0.14805742348050349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626</v>
      </c>
      <c r="C193" s="376">
        <f>C123+C158</f>
        <v>545.99059</v>
      </c>
      <c r="D193" s="376">
        <f>LN_IF4*LN_IF5</f>
        <v>629.75310000000002</v>
      </c>
      <c r="E193" s="376">
        <f t="shared" si="20"/>
        <v>83.76251000000002</v>
      </c>
      <c r="F193" s="362">
        <f t="shared" si="21"/>
        <v>0.15341383447652462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627</v>
      </c>
      <c r="C194" s="378">
        <f>IF(C193=0,0,C189/C193)</f>
        <v>4686.2089692791224</v>
      </c>
      <c r="D194" s="378">
        <f>IF(LN_IF6=0,0,LN_IF2/LN_IF6)</f>
        <v>5375.8179197529953</v>
      </c>
      <c r="E194" s="378">
        <f t="shared" si="20"/>
        <v>689.60895047387294</v>
      </c>
      <c r="F194" s="362">
        <f t="shared" si="21"/>
        <v>0.14715710609464247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683</v>
      </c>
      <c r="C195" s="378">
        <f>C48-C194</f>
        <v>2753.7346392071158</v>
      </c>
      <c r="D195" s="378">
        <f>LN_IB7-LN_IF7</f>
        <v>2916.5575528236186</v>
      </c>
      <c r="E195" s="378">
        <f t="shared" si="20"/>
        <v>162.82291361650277</v>
      </c>
      <c r="F195" s="362">
        <f t="shared" si="21"/>
        <v>5.9128033361770999E-2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684</v>
      </c>
      <c r="C196" s="378">
        <f>C21-C194</f>
        <v>2020.579267427679</v>
      </c>
      <c r="D196" s="378">
        <f>LN_IA7-LN_IF7</f>
        <v>1714.7032455394901</v>
      </c>
      <c r="E196" s="378">
        <f t="shared" si="20"/>
        <v>-305.87602188818892</v>
      </c>
      <c r="F196" s="362">
        <f t="shared" si="21"/>
        <v>-0.15138036246288314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644</v>
      </c>
      <c r="C197" s="391">
        <f>C127+C162</f>
        <v>1103217.2663646063</v>
      </c>
      <c r="D197" s="391">
        <f>LN_IF9*LN_IF6</f>
        <v>1079839.6844585552</v>
      </c>
      <c r="E197" s="391">
        <f t="shared" si="20"/>
        <v>-23377.581906051142</v>
      </c>
      <c r="F197" s="362">
        <f t="shared" si="21"/>
        <v>-2.1190369856235552E-2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2813</v>
      </c>
      <c r="D198" s="369">
        <f>LN_ID11+LN_IE11</f>
        <v>2904</v>
      </c>
      <c r="E198" s="369">
        <f t="shared" si="20"/>
        <v>91</v>
      </c>
      <c r="F198" s="362">
        <f t="shared" si="21"/>
        <v>3.23498044792037E-2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628</v>
      </c>
      <c r="C199" s="432">
        <f>IF(C198=0,0,C189/C198)</f>
        <v>909.57198720227518</v>
      </c>
      <c r="D199" s="432">
        <f>IF(LN_IF11=0,0,LN_IF2/LN_IF11)</f>
        <v>1165.784435261708</v>
      </c>
      <c r="E199" s="432">
        <f t="shared" si="20"/>
        <v>256.21244805943286</v>
      </c>
      <c r="F199" s="362">
        <f t="shared" si="21"/>
        <v>0.28168462932495197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629</v>
      </c>
      <c r="C200" s="379">
        <f>IF(C191=0,0,C198/C191)</f>
        <v>4.3748055987558319</v>
      </c>
      <c r="D200" s="379">
        <f>IF(LN_IF4=0,0,LN_IF11/LN_IF4)</f>
        <v>4.4953560371517032</v>
      </c>
      <c r="E200" s="379">
        <f t="shared" si="20"/>
        <v>0.12055043839587132</v>
      </c>
      <c r="F200" s="362">
        <f t="shared" si="21"/>
        <v>2.7555610340755515E-2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631</v>
      </c>
      <c r="C203" s="361">
        <f>C133+C168</f>
        <v>12050752</v>
      </c>
      <c r="D203" s="361">
        <f>LN_ID14+LN_IE14</f>
        <v>14252955</v>
      </c>
      <c r="E203" s="361">
        <f t="shared" ref="E203:E211" si="22">D203-C203</f>
        <v>2202203</v>
      </c>
      <c r="F203" s="362">
        <f t="shared" ref="F203:F211" si="23">IF(C203=0,0,E203/C203)</f>
        <v>0.1827440312438593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632</v>
      </c>
      <c r="C204" s="361">
        <f>C134+C169</f>
        <v>2958028</v>
      </c>
      <c r="D204" s="361">
        <f>LN_ID15+LN_IE15</f>
        <v>3710813</v>
      </c>
      <c r="E204" s="361">
        <f t="shared" si="22"/>
        <v>752785</v>
      </c>
      <c r="F204" s="362">
        <f t="shared" si="23"/>
        <v>0.25448880132304358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633</v>
      </c>
      <c r="C205" s="366">
        <f>IF(C203=0,0,C204/C203)</f>
        <v>0.2454641834800019</v>
      </c>
      <c r="D205" s="366">
        <f>IF(LN_IF14=0,0,LN_IF15/LN_IF14)</f>
        <v>0.26035394063897627</v>
      </c>
      <c r="E205" s="367">
        <f t="shared" si="22"/>
        <v>1.4889757158974365E-2</v>
      </c>
      <c r="F205" s="362">
        <f t="shared" si="23"/>
        <v>6.0659591749308885E-2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634</v>
      </c>
      <c r="C206" s="366">
        <f>IF(C188=0,0,C203/C188)</f>
        <v>1.4069150286858494</v>
      </c>
      <c r="D206" s="366">
        <f>IF(LN_IF1=0,0,LN_IF14/LN_IF1)</f>
        <v>1.4269524772165438</v>
      </c>
      <c r="E206" s="367">
        <f t="shared" si="22"/>
        <v>2.0037448530694446E-2</v>
      </c>
      <c r="F206" s="362">
        <f t="shared" si="23"/>
        <v>1.4242117059059874E-2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635</v>
      </c>
      <c r="C207" s="376">
        <f>C137+C172</f>
        <v>904.64636344500116</v>
      </c>
      <c r="D207" s="376">
        <f>LN_ID18+LN_IE18</f>
        <v>921.81130028188727</v>
      </c>
      <c r="E207" s="376">
        <f t="shared" si="22"/>
        <v>17.164936836886113</v>
      </c>
      <c r="F207" s="362">
        <f t="shared" si="23"/>
        <v>1.8974195365711734E-2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636</v>
      </c>
      <c r="C208" s="378">
        <f>IF(C207=0,0,C204/C207)</f>
        <v>3269.8169356868652</v>
      </c>
      <c r="D208" s="378">
        <f>IF(LN_IF18=0,0,LN_IF15/LN_IF18)</f>
        <v>4025.5668365805932</v>
      </c>
      <c r="E208" s="378">
        <f t="shared" si="22"/>
        <v>755.74990089372795</v>
      </c>
      <c r="F208" s="362">
        <f t="shared" si="23"/>
        <v>0.23112911693784882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686</v>
      </c>
      <c r="C209" s="378">
        <f>C61-C208</f>
        <v>4934.9313394375877</v>
      </c>
      <c r="D209" s="378">
        <f>LN_IB18-LN_IF19</f>
        <v>4151.0924121994985</v>
      </c>
      <c r="E209" s="378">
        <f t="shared" si="22"/>
        <v>-783.83892723808913</v>
      </c>
      <c r="F209" s="362">
        <f t="shared" si="23"/>
        <v>-0.15883481923528034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687</v>
      </c>
      <c r="C210" s="378">
        <f>C32-C208</f>
        <v>2841.665293964496</v>
      </c>
      <c r="D210" s="378">
        <f>LN_IA16-LN_IF19</f>
        <v>4168.8245606264345</v>
      </c>
      <c r="E210" s="378">
        <f t="shared" si="22"/>
        <v>1327.1592666619385</v>
      </c>
      <c r="F210" s="362">
        <f t="shared" si="23"/>
        <v>0.46703574466730291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647</v>
      </c>
      <c r="C211" s="391">
        <f>C141+C176</f>
        <v>2570702.1743128514</v>
      </c>
      <c r="D211" s="353">
        <f>LN_IF21*LN_IF18</f>
        <v>3842869.5888781208</v>
      </c>
      <c r="E211" s="353">
        <f t="shared" si="22"/>
        <v>1272167.4145652694</v>
      </c>
      <c r="F211" s="362">
        <f t="shared" si="23"/>
        <v>0.49487156749510264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638</v>
      </c>
      <c r="C214" s="361">
        <f>C188+C203</f>
        <v>20616125</v>
      </c>
      <c r="D214" s="361">
        <f>LN_IF1+LN_IF14</f>
        <v>24241343</v>
      </c>
      <c r="E214" s="361">
        <f>D214-C214</f>
        <v>3625218</v>
      </c>
      <c r="F214" s="362">
        <f>IF(C214=0,0,E214/C214)</f>
        <v>0.17584381157952816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639</v>
      </c>
      <c r="C215" s="361">
        <f>C189+C204</f>
        <v>5516654</v>
      </c>
      <c r="D215" s="361">
        <f>LN_IF2+LN_IF15</f>
        <v>7096251</v>
      </c>
      <c r="E215" s="361">
        <f>D215-C215</f>
        <v>1579597</v>
      </c>
      <c r="F215" s="362">
        <f>IF(C215=0,0,E215/C215)</f>
        <v>0.28633243991738472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640</v>
      </c>
      <c r="C216" s="361">
        <f>C214-C215</f>
        <v>15099471</v>
      </c>
      <c r="D216" s="361">
        <f>LN_IF23-LN_IF24</f>
        <v>17145092</v>
      </c>
      <c r="E216" s="361">
        <f>D216-C216</f>
        <v>2045621</v>
      </c>
      <c r="F216" s="362">
        <f>IF(C216=0,0,E216/C216)</f>
        <v>0.13547633556168953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690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622</v>
      </c>
      <c r="C221" s="361">
        <v>400272</v>
      </c>
      <c r="D221" s="361">
        <v>342847</v>
      </c>
      <c r="E221" s="361">
        <f t="shared" ref="E221:E230" si="24">D221-C221</f>
        <v>-57425</v>
      </c>
      <c r="F221" s="362">
        <f t="shared" ref="F221:F230" si="25">IF(C221=0,0,E221/C221)</f>
        <v>-0.14346494383819003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623</v>
      </c>
      <c r="C222" s="361">
        <v>152747</v>
      </c>
      <c r="D222" s="361">
        <v>152368</v>
      </c>
      <c r="E222" s="361">
        <f t="shared" si="24"/>
        <v>-379</v>
      </c>
      <c r="F222" s="362">
        <f t="shared" si="25"/>
        <v>-2.4812271272103546E-3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624</v>
      </c>
      <c r="C223" s="366">
        <f>IF(C221=0,0,C222/C221)</f>
        <v>0.38160800655554222</v>
      </c>
      <c r="D223" s="366">
        <f>IF(LN_IG1=0,0,LN_IG2/LN_IG1)</f>
        <v>0.44441981408616671</v>
      </c>
      <c r="E223" s="367">
        <f t="shared" si="24"/>
        <v>6.2811807530624486E-2</v>
      </c>
      <c r="F223" s="362">
        <f t="shared" si="25"/>
        <v>0.16459771926059513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30</v>
      </c>
      <c r="D224" s="369">
        <v>19</v>
      </c>
      <c r="E224" s="369">
        <f t="shared" si="24"/>
        <v>-11</v>
      </c>
      <c r="F224" s="362">
        <f t="shared" si="25"/>
        <v>-0.36666666666666664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625</v>
      </c>
      <c r="C225" s="372">
        <v>0.91879999999999995</v>
      </c>
      <c r="D225" s="372">
        <v>1.1223000000000001</v>
      </c>
      <c r="E225" s="373">
        <f t="shared" si="24"/>
        <v>0.20350000000000013</v>
      </c>
      <c r="F225" s="362">
        <f t="shared" si="25"/>
        <v>0.22148454505877246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626</v>
      </c>
      <c r="C226" s="376">
        <f>C224*C225</f>
        <v>27.564</v>
      </c>
      <c r="D226" s="376">
        <f>LN_IG3*LN_IG4</f>
        <v>21.323700000000002</v>
      </c>
      <c r="E226" s="376">
        <f t="shared" si="24"/>
        <v>-6.2402999999999977</v>
      </c>
      <c r="F226" s="362">
        <f t="shared" si="25"/>
        <v>-0.22639312146277746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627</v>
      </c>
      <c r="C227" s="378">
        <f>IF(C226=0,0,C222/C226)</f>
        <v>5541.5396894500072</v>
      </c>
      <c r="D227" s="378">
        <f>IF(LN_IG5=0,0,LN_IG2/LN_IG5)</f>
        <v>7145.4766292904133</v>
      </c>
      <c r="E227" s="378">
        <f t="shared" si="24"/>
        <v>1603.936939840406</v>
      </c>
      <c r="F227" s="362">
        <f t="shared" si="25"/>
        <v>0.28943886171094002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93</v>
      </c>
      <c r="D228" s="369">
        <v>92</v>
      </c>
      <c r="E228" s="369">
        <f t="shared" si="24"/>
        <v>-1</v>
      </c>
      <c r="F228" s="362">
        <f t="shared" si="25"/>
        <v>-1.0752688172043012E-2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628</v>
      </c>
      <c r="C229" s="378">
        <f>IF(C228=0,0,C222/C228)</f>
        <v>1642.4408602150538</v>
      </c>
      <c r="D229" s="378">
        <f>IF(LN_IG6=0,0,LN_IG2/LN_IG6)</f>
        <v>1656.1739130434783</v>
      </c>
      <c r="E229" s="378">
        <f t="shared" si="24"/>
        <v>13.733052828424434</v>
      </c>
      <c r="F229" s="362">
        <f t="shared" si="25"/>
        <v>8.3613682301025369E-3</v>
      </c>
      <c r="Q229" s="330"/>
      <c r="U229" s="375"/>
    </row>
    <row r="230" spans="1:21" ht="11.25" customHeight="1" x14ac:dyDescent="0.2">
      <c r="A230" s="364">
        <v>10</v>
      </c>
      <c r="B230" s="360" t="s">
        <v>629</v>
      </c>
      <c r="C230" s="379">
        <f>IF(C224=0,0,C228/C224)</f>
        <v>3.1</v>
      </c>
      <c r="D230" s="379">
        <f>IF(LN_IG3=0,0,LN_IG6/LN_IG3)</f>
        <v>4.8421052631578947</v>
      </c>
      <c r="E230" s="379">
        <f t="shared" si="24"/>
        <v>1.7421052631578946</v>
      </c>
      <c r="F230" s="362">
        <f t="shared" si="25"/>
        <v>0.56196943972835312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631</v>
      </c>
      <c r="C233" s="361">
        <v>588682</v>
      </c>
      <c r="D233" s="361">
        <v>542027</v>
      </c>
      <c r="E233" s="361">
        <f>D233-C233</f>
        <v>-46655</v>
      </c>
      <c r="F233" s="362">
        <f>IF(C233=0,0,E233/C233)</f>
        <v>-7.9253315032564275E-2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632</v>
      </c>
      <c r="C234" s="361">
        <v>236977</v>
      </c>
      <c r="D234" s="361">
        <v>157690</v>
      </c>
      <c r="E234" s="361">
        <f>D234-C234</f>
        <v>-79287</v>
      </c>
      <c r="F234" s="362">
        <f>IF(C234=0,0,E234/C234)</f>
        <v>-0.33457677327335567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638</v>
      </c>
      <c r="C237" s="361">
        <f>C221+C233</f>
        <v>988954</v>
      </c>
      <c r="D237" s="361">
        <f>LN_IG1+LN_IG9</f>
        <v>884874</v>
      </c>
      <c r="E237" s="361">
        <f>D237-C237</f>
        <v>-104080</v>
      </c>
      <c r="F237" s="362">
        <f>IF(C237=0,0,E237/C237)</f>
        <v>-0.10524250875167096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639</v>
      </c>
      <c r="C238" s="361">
        <f>C222+C234</f>
        <v>389724</v>
      </c>
      <c r="D238" s="361">
        <f>LN_IG2+LN_IG10</f>
        <v>310058</v>
      </c>
      <c r="E238" s="361">
        <f>D238-C238</f>
        <v>-79666</v>
      </c>
      <c r="F238" s="362">
        <f>IF(C238=0,0,E238/C238)</f>
        <v>-0.20441645882727263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640</v>
      </c>
      <c r="C239" s="361">
        <f>C237-C238</f>
        <v>599230</v>
      </c>
      <c r="D239" s="361">
        <f>LN_IG13-LN_IG14</f>
        <v>574816</v>
      </c>
      <c r="E239" s="361">
        <f>D239-C239</f>
        <v>-24414</v>
      </c>
      <c r="F239" s="362">
        <f>IF(C239=0,0,E239/C239)</f>
        <v>-4.0742285933614807E-2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694</v>
      </c>
      <c r="C243" s="361">
        <v>1209809</v>
      </c>
      <c r="D243" s="361">
        <v>282934</v>
      </c>
      <c r="E243" s="353">
        <f>D243-C243</f>
        <v>-926875</v>
      </c>
      <c r="F243" s="415">
        <f>IF(C243=0,0,E243/C243)</f>
        <v>-0.76613333179039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695</v>
      </c>
      <c r="C244" s="361">
        <v>61577163</v>
      </c>
      <c r="D244" s="361">
        <v>65981058</v>
      </c>
      <c r="E244" s="353">
        <f>D244-C244</f>
        <v>4403895</v>
      </c>
      <c r="F244" s="415">
        <f>IF(C244=0,0,E244/C244)</f>
        <v>7.1518315970484053E-2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696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698</v>
      </c>
      <c r="C248" s="353">
        <v>465816</v>
      </c>
      <c r="D248" s="353">
        <v>193108</v>
      </c>
      <c r="E248" s="353">
        <f>D248-C248</f>
        <v>-272708</v>
      </c>
      <c r="F248" s="362">
        <f>IF(C248=0,0,E248/C248)</f>
        <v>-0.58544146186477064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699</v>
      </c>
      <c r="C249" s="353">
        <v>2141072</v>
      </c>
      <c r="D249" s="353">
        <v>3564251</v>
      </c>
      <c r="E249" s="353">
        <f>D249-C249</f>
        <v>1423179</v>
      </c>
      <c r="F249" s="362">
        <f>IF(C249=0,0,E249/C249)</f>
        <v>0.66470394269786348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700</v>
      </c>
      <c r="C250" s="353">
        <f>C248+C249</f>
        <v>2606888</v>
      </c>
      <c r="D250" s="353">
        <f>LN_IH4+LN_IH5</f>
        <v>3757359</v>
      </c>
      <c r="E250" s="353">
        <f>D250-C250</f>
        <v>1150471</v>
      </c>
      <c r="F250" s="362">
        <f>IF(C250=0,0,E250/C250)</f>
        <v>0.44131968845612085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701</v>
      </c>
      <c r="C251" s="353">
        <f>C250*C313</f>
        <v>991105.39349765796</v>
      </c>
      <c r="D251" s="353">
        <f>LN_IH6*LN_III10</f>
        <v>1453985.6726527584</v>
      </c>
      <c r="E251" s="353">
        <f>D251-C251</f>
        <v>462880.27915510046</v>
      </c>
      <c r="F251" s="362">
        <f>IF(C251=0,0,E251/C251)</f>
        <v>0.46703436606431331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638</v>
      </c>
      <c r="C254" s="353">
        <f>C188+C203</f>
        <v>20616125</v>
      </c>
      <c r="D254" s="353">
        <f>LN_IF23</f>
        <v>24241343</v>
      </c>
      <c r="E254" s="353">
        <f>D254-C254</f>
        <v>3625218</v>
      </c>
      <c r="F254" s="362">
        <f>IF(C254=0,0,E254/C254)</f>
        <v>0.17584381157952816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639</v>
      </c>
      <c r="C255" s="353">
        <f>C189+C204</f>
        <v>5516654</v>
      </c>
      <c r="D255" s="353">
        <f>LN_IF24</f>
        <v>7096251</v>
      </c>
      <c r="E255" s="353">
        <f>D255-C255</f>
        <v>1579597</v>
      </c>
      <c r="F255" s="362">
        <f>IF(C255=0,0,E255/C255)</f>
        <v>0.28633243991738472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703</v>
      </c>
      <c r="C256" s="353">
        <f>C254*C313</f>
        <v>7837986.3962402316</v>
      </c>
      <c r="D256" s="353">
        <f>LN_IH8*LN_III10</f>
        <v>9380675.4712182786</v>
      </c>
      <c r="E256" s="353">
        <f>D256-C256</f>
        <v>1542689.0749780471</v>
      </c>
      <c r="F256" s="362">
        <f>IF(C256=0,0,E256/C256)</f>
        <v>0.19682211693019175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704</v>
      </c>
      <c r="C257" s="353">
        <f>C256-C255</f>
        <v>2321332.3962402316</v>
      </c>
      <c r="D257" s="353">
        <f>LN_IH10-LN_IH9</f>
        <v>2284424.4712182786</v>
      </c>
      <c r="E257" s="353">
        <f>D257-C257</f>
        <v>-36907.925021952949</v>
      </c>
      <c r="F257" s="362">
        <f>IF(C257=0,0,E257/C257)</f>
        <v>-1.5899457174565448E-2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707</v>
      </c>
      <c r="C261" s="361">
        <f>C15+C42+C188+C221</f>
        <v>63263065</v>
      </c>
      <c r="D261" s="361">
        <f>LN_IA1+LN_IB1+LN_IF1+LN_IG1</f>
        <v>65614784</v>
      </c>
      <c r="E261" s="361">
        <f t="shared" ref="E261:E274" si="26">D261-C261</f>
        <v>2351719</v>
      </c>
      <c r="F261" s="415">
        <f t="shared" ref="F261:F274" si="27">IF(C261=0,0,E261/C261)</f>
        <v>3.7173649427197371E-2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708</v>
      </c>
      <c r="C262" s="361">
        <f>C16+C43+C189+C222</f>
        <v>24888267</v>
      </c>
      <c r="D262" s="361">
        <f>+LN_IA2+LN_IB2+LN_IF2+LN_IG2</f>
        <v>27040698</v>
      </c>
      <c r="E262" s="361">
        <f t="shared" si="26"/>
        <v>2152431</v>
      </c>
      <c r="F262" s="415">
        <f t="shared" si="27"/>
        <v>8.6483763614397094E-2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709</v>
      </c>
      <c r="C263" s="366">
        <f>IF(C261=0,0,C262/C261)</f>
        <v>0.39340912426547781</v>
      </c>
      <c r="D263" s="366">
        <f>IF(LN_IIA1=0,0,LN_IIA2/LN_IIA1)</f>
        <v>0.41211288602275975</v>
      </c>
      <c r="E263" s="367">
        <f t="shared" si="26"/>
        <v>1.8703761757281945E-2</v>
      </c>
      <c r="F263" s="371">
        <f t="shared" si="27"/>
        <v>4.7542775710154583E-2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710</v>
      </c>
      <c r="C264" s="369">
        <f>C18+C45+C191+C224</f>
        <v>3268</v>
      </c>
      <c r="D264" s="369">
        <f>LN_IA4+LN_IB4+LN_IF4+LN_IG3</f>
        <v>3251</v>
      </c>
      <c r="E264" s="369">
        <f t="shared" si="26"/>
        <v>-17</v>
      </c>
      <c r="F264" s="415">
        <f t="shared" si="27"/>
        <v>-5.2019583843329253E-3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711</v>
      </c>
      <c r="C265" s="439">
        <f>IF(C264=0,0,C266/C264)</f>
        <v>1.1539156334149328</v>
      </c>
      <c r="D265" s="439">
        <f>IF(LN_IIA4=0,0,LN_IIA6/LN_IIA4)</f>
        <v>1.1664804675484466</v>
      </c>
      <c r="E265" s="439">
        <f t="shared" si="26"/>
        <v>1.2564834133513836E-2</v>
      </c>
      <c r="F265" s="415">
        <f t="shared" si="27"/>
        <v>1.0888867235751965E-2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712</v>
      </c>
      <c r="C266" s="376">
        <f>C20+C47+C193+C226</f>
        <v>3770.99629</v>
      </c>
      <c r="D266" s="376">
        <f>LN_IA6+LN_IB6+LN_IF6+LN_IG5</f>
        <v>3792.2280000000001</v>
      </c>
      <c r="E266" s="376">
        <f t="shared" si="26"/>
        <v>21.231710000000021</v>
      </c>
      <c r="F266" s="415">
        <f t="shared" si="27"/>
        <v>5.6302654172062363E-3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713</v>
      </c>
      <c r="C267" s="361">
        <f>C27+C56+C203+C233</f>
        <v>85519480</v>
      </c>
      <c r="D267" s="361">
        <f>LN_IA11+LN_IB13+LN_IF14+LN_IG9</f>
        <v>87064856</v>
      </c>
      <c r="E267" s="361">
        <f t="shared" si="26"/>
        <v>1545376</v>
      </c>
      <c r="F267" s="415">
        <f t="shared" si="27"/>
        <v>1.8070455994353567E-2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634</v>
      </c>
      <c r="C268" s="366">
        <f>IF(C261=0,0,C267/C261)</f>
        <v>1.3518074092679513</v>
      </c>
      <c r="D268" s="366">
        <f>IF(LN_IIA1=0,0,LN_IIA7/LN_IIA1)</f>
        <v>1.3269091307227348</v>
      </c>
      <c r="E268" s="367">
        <f t="shared" si="26"/>
        <v>-2.4898278545216534E-2</v>
      </c>
      <c r="F268" s="371">
        <f t="shared" si="27"/>
        <v>-1.8418510191995308E-2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714</v>
      </c>
      <c r="C269" s="361">
        <f>C28+C57+C204+C234</f>
        <v>34283837</v>
      </c>
      <c r="D269" s="361">
        <f>LN_IA12+LN_IB14+LN_IF15+LN_IG10</f>
        <v>35799120</v>
      </c>
      <c r="E269" s="361">
        <f t="shared" si="26"/>
        <v>1515283</v>
      </c>
      <c r="F269" s="415">
        <f t="shared" si="27"/>
        <v>4.4198174200863222E-2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633</v>
      </c>
      <c r="C270" s="366">
        <f>IF(C267=0,0,C269/C267)</f>
        <v>0.40088921260980537</v>
      </c>
      <c r="D270" s="366">
        <f>IF(LN_IIA7=0,0,LN_IIA9/LN_IIA7)</f>
        <v>0.41117761683313414</v>
      </c>
      <c r="E270" s="367">
        <f t="shared" si="26"/>
        <v>1.0288404223328773E-2</v>
      </c>
      <c r="F270" s="371">
        <f t="shared" si="27"/>
        <v>2.5663958768934778E-2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715</v>
      </c>
      <c r="C271" s="353">
        <f>C261+C267</f>
        <v>148782545</v>
      </c>
      <c r="D271" s="353">
        <f>LN_IIA1+LN_IIA7</f>
        <v>152679640</v>
      </c>
      <c r="E271" s="353">
        <f t="shared" si="26"/>
        <v>3897095</v>
      </c>
      <c r="F271" s="415">
        <f t="shared" si="27"/>
        <v>2.6193227169222035E-2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716</v>
      </c>
      <c r="C272" s="353">
        <f>C262+C269</f>
        <v>59172104</v>
      </c>
      <c r="D272" s="353">
        <f>LN_IIA2+LN_IIA9</f>
        <v>62839818</v>
      </c>
      <c r="E272" s="353">
        <f t="shared" si="26"/>
        <v>3667714</v>
      </c>
      <c r="F272" s="415">
        <f t="shared" si="27"/>
        <v>6.1983836167123614E-2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717</v>
      </c>
      <c r="C273" s="366">
        <f>IF(C271=0,0,C272/C271)</f>
        <v>0.39770864250238497</v>
      </c>
      <c r="D273" s="366">
        <f>IF(LN_IIA11=0,0,LN_IIA12/LN_IIA11)</f>
        <v>0.41157955310871835</v>
      </c>
      <c r="E273" s="367">
        <f t="shared" si="26"/>
        <v>1.3870910606333386E-2</v>
      </c>
      <c r="F273" s="371">
        <f t="shared" si="27"/>
        <v>3.4877066082993673E-2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15790</v>
      </c>
      <c r="D274" s="421">
        <f>LN_IA8+LN_IB10+LN_IF11+LN_IG6</f>
        <v>16189</v>
      </c>
      <c r="E274" s="442">
        <f t="shared" si="26"/>
        <v>399</v>
      </c>
      <c r="F274" s="371">
        <f t="shared" si="27"/>
        <v>2.526915769474351E-2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719</v>
      </c>
      <c r="C277" s="361">
        <f>C15+C188+C221</f>
        <v>48514701</v>
      </c>
      <c r="D277" s="361">
        <f>LN_IA1+LN_IF1+LN_IG1</f>
        <v>50055730</v>
      </c>
      <c r="E277" s="361">
        <f t="shared" ref="E277:E291" si="28">D277-C277</f>
        <v>1541029</v>
      </c>
      <c r="F277" s="415">
        <f t="shared" ref="F277:F291" si="29">IF(C277=0,0,E277/C277)</f>
        <v>3.1764165670113066E-2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720</v>
      </c>
      <c r="C278" s="361">
        <f>C16+C189+C222</f>
        <v>17456703</v>
      </c>
      <c r="D278" s="361">
        <f>LN_IA2+LN_IF2+LN_IG2</f>
        <v>18550726</v>
      </c>
      <c r="E278" s="361">
        <f t="shared" si="28"/>
        <v>1094023</v>
      </c>
      <c r="F278" s="415">
        <f t="shared" si="29"/>
        <v>6.267065436125023E-2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721</v>
      </c>
      <c r="C279" s="366">
        <f>IF(C277=0,0,C278/C277)</f>
        <v>0.35982295345899379</v>
      </c>
      <c r="D279" s="366">
        <f>IF(D277=0,0,LN_IIB2/D277)</f>
        <v>0.37060144762647551</v>
      </c>
      <c r="E279" s="367">
        <f t="shared" si="28"/>
        <v>1.0778494167481723E-2</v>
      </c>
      <c r="F279" s="371">
        <f t="shared" si="29"/>
        <v>2.9954993320652802E-2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722</v>
      </c>
      <c r="C280" s="369">
        <f>C18+C191+C224</f>
        <v>2289</v>
      </c>
      <c r="D280" s="369">
        <f>LN_IA4+LN_IF4+LN_IG3</f>
        <v>2266</v>
      </c>
      <c r="E280" s="369">
        <f t="shared" si="28"/>
        <v>-23</v>
      </c>
      <c r="F280" s="415">
        <f t="shared" si="29"/>
        <v>-1.0048055919615552E-2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723</v>
      </c>
      <c r="C281" s="439">
        <f>IF(C280=0,0,C282/C280)</f>
        <v>1.2110627304499781</v>
      </c>
      <c r="D281" s="439">
        <f>IF(LN_IIB4=0,0,LN_IIB6/LN_IIB4)</f>
        <v>1.2217119593998236</v>
      </c>
      <c r="E281" s="439">
        <f t="shared" si="28"/>
        <v>1.0649228949845435E-2</v>
      </c>
      <c r="F281" s="415">
        <f t="shared" si="29"/>
        <v>8.7932926033390899E-3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724</v>
      </c>
      <c r="C282" s="376">
        <f>C20+C193+C226</f>
        <v>2772.1225899999999</v>
      </c>
      <c r="D282" s="376">
        <f>LN_IA6+LN_IF6+LN_IG5</f>
        <v>2768.3993</v>
      </c>
      <c r="E282" s="376">
        <f t="shared" si="28"/>
        <v>-3.7232899999999063</v>
      </c>
      <c r="F282" s="415">
        <f t="shared" si="29"/>
        <v>-1.3431188120724151E-3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725</v>
      </c>
      <c r="C283" s="361">
        <f>C27+C203+C233</f>
        <v>41814237</v>
      </c>
      <c r="D283" s="361">
        <f>LN_IA11+LN_IF14+LN_IG9</f>
        <v>44035440</v>
      </c>
      <c r="E283" s="361">
        <f t="shared" si="28"/>
        <v>2221203</v>
      </c>
      <c r="F283" s="415">
        <f t="shared" si="29"/>
        <v>5.312073493054531E-2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726</v>
      </c>
      <c r="C284" s="366">
        <f>IF(C277=0,0,C283/C277)</f>
        <v>0.86188796670106238</v>
      </c>
      <c r="D284" s="366">
        <f>IF(D277=0,0,LN_IIB7/D277)</f>
        <v>0.87972825488710282</v>
      </c>
      <c r="E284" s="367">
        <f t="shared" si="28"/>
        <v>1.7840288186040443E-2</v>
      </c>
      <c r="F284" s="371">
        <f t="shared" si="29"/>
        <v>2.0699080246270773E-2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727</v>
      </c>
      <c r="C285" s="361">
        <f>C28+C204+C234</f>
        <v>10480511</v>
      </c>
      <c r="D285" s="361">
        <f>LN_IA12+LN_IF15+LN_IG10</f>
        <v>13525316</v>
      </c>
      <c r="E285" s="361">
        <f t="shared" si="28"/>
        <v>3044805</v>
      </c>
      <c r="F285" s="415">
        <f t="shared" si="29"/>
        <v>0.29052066258982984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728</v>
      </c>
      <c r="C286" s="366">
        <f>IF(C283=0,0,C285/C283)</f>
        <v>0.25064455917251344</v>
      </c>
      <c r="D286" s="366">
        <f>IF(LN_IIB7=0,0,LN_IIB9/LN_IIB7)</f>
        <v>0.30714615318934024</v>
      </c>
      <c r="E286" s="367">
        <f t="shared" si="28"/>
        <v>5.6501594016826806E-2</v>
      </c>
      <c r="F286" s="371">
        <f t="shared" si="29"/>
        <v>0.22542517660611949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729</v>
      </c>
      <c r="C287" s="353">
        <f>C277+C283</f>
        <v>90328938</v>
      </c>
      <c r="D287" s="353">
        <f>D277+LN_IIB7</f>
        <v>94091170</v>
      </c>
      <c r="E287" s="353">
        <f t="shared" si="28"/>
        <v>3762232</v>
      </c>
      <c r="F287" s="415">
        <f t="shared" si="29"/>
        <v>4.1650351297166807E-2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730</v>
      </c>
      <c r="C288" s="353">
        <f>C278+C285</f>
        <v>27937214</v>
      </c>
      <c r="D288" s="353">
        <f>LN_IIB2+LN_IIB9</f>
        <v>32076042</v>
      </c>
      <c r="E288" s="353">
        <f t="shared" si="28"/>
        <v>4138828</v>
      </c>
      <c r="F288" s="415">
        <f t="shared" si="29"/>
        <v>0.14814748528611335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731</v>
      </c>
      <c r="C289" s="366">
        <f>IF(C287=0,0,C288/C287)</f>
        <v>0.30928310039469298</v>
      </c>
      <c r="D289" s="366">
        <f>IF(LN_IIB11=0,0,LN_IIB12/LN_IIB11)</f>
        <v>0.3409038488946412</v>
      </c>
      <c r="E289" s="367">
        <f t="shared" si="28"/>
        <v>3.1620748499948226E-2</v>
      </c>
      <c r="F289" s="371">
        <f t="shared" si="29"/>
        <v>0.10223884997141865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12086</v>
      </c>
      <c r="D290" s="421">
        <f>LN_IA8+LN_IF11+LN_IG6</f>
        <v>12238</v>
      </c>
      <c r="E290" s="442">
        <f t="shared" si="28"/>
        <v>152</v>
      </c>
      <c r="F290" s="371">
        <f t="shared" si="29"/>
        <v>1.2576534833691875E-2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732</v>
      </c>
      <c r="C291" s="361">
        <f>C287-C288</f>
        <v>62391724</v>
      </c>
      <c r="D291" s="429">
        <f>LN_IIB11-LN_IIB12</f>
        <v>62015128</v>
      </c>
      <c r="E291" s="353">
        <f t="shared" si="28"/>
        <v>-376596</v>
      </c>
      <c r="F291" s="415">
        <f t="shared" si="29"/>
        <v>-6.035992850590248E-3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620</v>
      </c>
      <c r="C294" s="379">
        <f>IF(C18=0,0,C22/C18)</f>
        <v>5.6806930693069306</v>
      </c>
      <c r="D294" s="379">
        <f>IF(LN_IA4=0,0,LN_IA8/LN_IA4)</f>
        <v>5.77264209868832</v>
      </c>
      <c r="E294" s="379">
        <f t="shared" ref="E294:E300" si="30">D294-C294</f>
        <v>9.194902938138938E-2</v>
      </c>
      <c r="F294" s="415">
        <f t="shared" ref="F294:F300" si="31">IF(C294=0,0,E294/C294)</f>
        <v>1.6186234366048501E-2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641</v>
      </c>
      <c r="C295" s="379">
        <f>IF(C45=0,0,C51/C45)</f>
        <v>3.7834525025536263</v>
      </c>
      <c r="D295" s="379">
        <f>IF(LN_IB4=0,0,(LN_IB10)/(LN_IB4))</f>
        <v>4.0111675126903554</v>
      </c>
      <c r="E295" s="379">
        <f t="shared" si="30"/>
        <v>0.22771501013672912</v>
      </c>
      <c r="F295" s="415">
        <f t="shared" si="31"/>
        <v>6.0187093661948653E-2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656</v>
      </c>
      <c r="C296" s="379">
        <f>IF(C86=0,0,C93/C86)</f>
        <v>3.25</v>
      </c>
      <c r="D296" s="379">
        <f>IF(LN_IC4=0,0,LN_IC11/LN_IC4)</f>
        <v>4.1842105263157894</v>
      </c>
      <c r="E296" s="379">
        <f t="shared" si="30"/>
        <v>0.93421052631578938</v>
      </c>
      <c r="F296" s="415">
        <f t="shared" si="31"/>
        <v>0.2874493927125506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4.3748055987558319</v>
      </c>
      <c r="D297" s="379">
        <f>IF(LN_ID4=0,0,LN_ID11/LN_ID4)</f>
        <v>4.4953560371517032</v>
      </c>
      <c r="E297" s="379">
        <f t="shared" si="30"/>
        <v>0.12055043839587132</v>
      </c>
      <c r="F297" s="415">
        <f t="shared" si="31"/>
        <v>2.7555610340755515E-2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733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3.1</v>
      </c>
      <c r="D299" s="379">
        <f>IF(LN_IG3=0,0,LN_IG6/LN_IG3)</f>
        <v>4.8421052631578947</v>
      </c>
      <c r="E299" s="379">
        <f t="shared" si="30"/>
        <v>1.7421052631578946</v>
      </c>
      <c r="F299" s="415">
        <f t="shared" si="31"/>
        <v>0.56196943972835312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734</v>
      </c>
      <c r="C300" s="379">
        <f>IF(C264=0,0,C274/C264)</f>
        <v>4.8317013463892291</v>
      </c>
      <c r="D300" s="379">
        <f>IF(LN_IIA4=0,0,LN_IIA14/LN_IIA4)</f>
        <v>4.9796985542909873</v>
      </c>
      <c r="E300" s="379">
        <f t="shared" si="30"/>
        <v>0.14799720790175819</v>
      </c>
      <c r="F300" s="415">
        <f t="shared" si="31"/>
        <v>3.0630454428305618E-2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729</v>
      </c>
      <c r="C304" s="353">
        <f>C35+C66+C214+C221+C233</f>
        <v>148782545</v>
      </c>
      <c r="D304" s="353">
        <f>LN_IIA11</f>
        <v>152679640</v>
      </c>
      <c r="E304" s="353">
        <f t="shared" ref="E304:E316" si="32">D304-C304</f>
        <v>3897095</v>
      </c>
      <c r="F304" s="362">
        <f>IF(C304=0,0,E304/C304)</f>
        <v>2.6193227169222035E-2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732</v>
      </c>
      <c r="C305" s="353">
        <f>C291</f>
        <v>62391724</v>
      </c>
      <c r="D305" s="353">
        <f>LN_IIB14</f>
        <v>62015128</v>
      </c>
      <c r="E305" s="353">
        <f t="shared" si="32"/>
        <v>-376596</v>
      </c>
      <c r="F305" s="362">
        <f>IF(C305=0,0,E305/C305)</f>
        <v>-6.035992850590248E-3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736</v>
      </c>
      <c r="C306" s="353">
        <f>C250</f>
        <v>2606888</v>
      </c>
      <c r="D306" s="353">
        <f>LN_IH6</f>
        <v>3757359</v>
      </c>
      <c r="E306" s="353">
        <f t="shared" si="32"/>
        <v>1150471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737</v>
      </c>
      <c r="C307" s="353">
        <f>C73-C74</f>
        <v>27218717</v>
      </c>
      <c r="D307" s="353">
        <f>LN_IB32-LN_IB33</f>
        <v>27824694</v>
      </c>
      <c r="E307" s="353">
        <f t="shared" si="32"/>
        <v>605977</v>
      </c>
      <c r="F307" s="362">
        <f t="shared" ref="F307:F316" si="33">IF(C307=0,0,E307/C307)</f>
        <v>2.2263246280124077E-2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738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739</v>
      </c>
      <c r="C309" s="353">
        <f>C305+C307+C308+C306</f>
        <v>92217329</v>
      </c>
      <c r="D309" s="353">
        <f>LN_III2+LN_III3+LN_III4+LN_III5</f>
        <v>93597181</v>
      </c>
      <c r="E309" s="353">
        <f t="shared" si="32"/>
        <v>1379852</v>
      </c>
      <c r="F309" s="362">
        <f t="shared" si="33"/>
        <v>1.4963044527130036E-2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740</v>
      </c>
      <c r="C310" s="353">
        <f>C304-C309</f>
        <v>56565216</v>
      </c>
      <c r="D310" s="353">
        <f>LN_III1-LN_III6</f>
        <v>59082459</v>
      </c>
      <c r="E310" s="353">
        <f t="shared" si="32"/>
        <v>2517243</v>
      </c>
      <c r="F310" s="362">
        <f t="shared" si="33"/>
        <v>4.4501606782514538E-2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741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742</v>
      </c>
      <c r="C312" s="353">
        <f>C310+C311</f>
        <v>56565216</v>
      </c>
      <c r="D312" s="353">
        <f>LN_III7+LN_III8</f>
        <v>59082459</v>
      </c>
      <c r="E312" s="353">
        <f t="shared" si="32"/>
        <v>2517243</v>
      </c>
      <c r="F312" s="362">
        <f t="shared" si="33"/>
        <v>4.4501606782514538E-2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743</v>
      </c>
      <c r="C313" s="448">
        <f>IF(C304=0,0,C312/C304)</f>
        <v>0.38018717854302064</v>
      </c>
      <c r="D313" s="448">
        <f>IF(LN_III1=0,0,LN_III9/LN_III1)</f>
        <v>0.38697012253893187</v>
      </c>
      <c r="E313" s="448">
        <f t="shared" si="32"/>
        <v>6.7829439959112281E-3</v>
      </c>
      <c r="F313" s="362">
        <f t="shared" si="33"/>
        <v>1.7841064556425312E-2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701</v>
      </c>
      <c r="C314" s="353">
        <f>C306*C313</f>
        <v>991105.39349765796</v>
      </c>
      <c r="D314" s="353">
        <f>D313*LN_III5</f>
        <v>1453985.6726527584</v>
      </c>
      <c r="E314" s="353">
        <f t="shared" si="32"/>
        <v>462880.27915510046</v>
      </c>
      <c r="F314" s="362">
        <f t="shared" si="33"/>
        <v>0.46703436606431331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704</v>
      </c>
      <c r="C315" s="353">
        <f>(C214*C313)-C215</f>
        <v>2321332.3962402316</v>
      </c>
      <c r="D315" s="353">
        <f>D313*LN_IH8-LN_IH9</f>
        <v>2284424.4712182786</v>
      </c>
      <c r="E315" s="353">
        <f t="shared" si="32"/>
        <v>-36907.925021952949</v>
      </c>
      <c r="F315" s="362">
        <f t="shared" si="33"/>
        <v>-1.5899457174565448E-2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746</v>
      </c>
      <c r="C318" s="353">
        <f>C314+C315+C316</f>
        <v>3312437.7897378895</v>
      </c>
      <c r="D318" s="353">
        <f>D314+D315+D316</f>
        <v>3738410.1438710373</v>
      </c>
      <c r="E318" s="353">
        <f>D318-C318</f>
        <v>425972.35413314775</v>
      </c>
      <c r="F318" s="362">
        <f>IF(C318=0,0,E318/C318)</f>
        <v>0.12859784278902778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2570702.1743128514</v>
      </c>
      <c r="D322" s="353">
        <f>LN_ID22</f>
        <v>3842869.5888781208</v>
      </c>
      <c r="E322" s="353">
        <f>LN_IV2-C322</f>
        <v>1272167.4145652694</v>
      </c>
      <c r="F322" s="362">
        <f>IF(C322=0,0,E322/C322)</f>
        <v>0.49487156749510264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733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748</v>
      </c>
      <c r="C324" s="353">
        <f>C92+C106</f>
        <v>1060774.8565764565</v>
      </c>
      <c r="D324" s="353">
        <f>LN_IC10+LN_IC22</f>
        <v>1553138.8431217258</v>
      </c>
      <c r="E324" s="353">
        <f>LN_IV1-C324</f>
        <v>492363.98654526938</v>
      </c>
      <c r="F324" s="362">
        <f>IF(C324=0,0,E324/C324)</f>
        <v>0.46415503110087314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749</v>
      </c>
      <c r="C325" s="429">
        <f>C324+C322+C323</f>
        <v>3631477.0308893081</v>
      </c>
      <c r="D325" s="429">
        <f>LN_IV1+LN_IV2+LN_IV3</f>
        <v>5396008.4319998464</v>
      </c>
      <c r="E325" s="353">
        <f>LN_IV4-C325</f>
        <v>1764531.4011105383</v>
      </c>
      <c r="F325" s="362">
        <f>IF(C325=0,0,E325/C325)</f>
        <v>0.48589909452860403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750</v>
      </c>
      <c r="B327" s="446" t="s">
        <v>751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752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753</v>
      </c>
      <c r="C330" s="429">
        <v>619650</v>
      </c>
      <c r="D330" s="429">
        <v>2478602</v>
      </c>
      <c r="E330" s="431">
        <f t="shared" si="34"/>
        <v>1858952</v>
      </c>
      <c r="F330" s="463">
        <f t="shared" si="35"/>
        <v>3.0000032276285</v>
      </c>
    </row>
    <row r="331" spans="1:22" s="333" customFormat="1" ht="11.25" customHeight="1" x14ac:dyDescent="0.2">
      <c r="A331" s="339">
        <v>3</v>
      </c>
      <c r="B331" s="360" t="s">
        <v>754</v>
      </c>
      <c r="C331" s="429">
        <v>59791753</v>
      </c>
      <c r="D331" s="429">
        <v>65318418</v>
      </c>
      <c r="E331" s="431">
        <f t="shared" si="34"/>
        <v>5526665</v>
      </c>
      <c r="F331" s="462">
        <f t="shared" si="35"/>
        <v>9.2431894411926674E-2</v>
      </c>
    </row>
    <row r="332" spans="1:22" s="333" customFormat="1" ht="11.25" customHeight="1" x14ac:dyDescent="0.2">
      <c r="A332" s="364">
        <v>4</v>
      </c>
      <c r="B332" s="360" t="s">
        <v>755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756</v>
      </c>
      <c r="C333" s="429">
        <v>148782545</v>
      </c>
      <c r="D333" s="429">
        <v>152679640</v>
      </c>
      <c r="E333" s="431">
        <f t="shared" si="34"/>
        <v>3897095</v>
      </c>
      <c r="F333" s="462">
        <f t="shared" si="35"/>
        <v>2.6193227169222035E-2</v>
      </c>
    </row>
    <row r="334" spans="1:22" s="333" customFormat="1" ht="11.25" customHeight="1" x14ac:dyDescent="0.2">
      <c r="A334" s="339">
        <v>6</v>
      </c>
      <c r="B334" s="360" t="s">
        <v>757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758</v>
      </c>
      <c r="C335" s="429">
        <v>2606888</v>
      </c>
      <c r="D335" s="429">
        <v>3757359</v>
      </c>
      <c r="E335" s="429">
        <f t="shared" si="34"/>
        <v>1150471</v>
      </c>
      <c r="F335" s="462">
        <f t="shared" si="35"/>
        <v>0.44131968845612085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FILING&amp;RJOHNSON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759</v>
      </c>
      <c r="B5" s="710"/>
      <c r="C5" s="710"/>
      <c r="D5" s="710"/>
      <c r="E5" s="710"/>
    </row>
    <row r="6" spans="1:5" s="338" customFormat="1" ht="15.75" customHeight="1" x14ac:dyDescent="0.25">
      <c r="A6" s="710" t="s">
        <v>760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761</v>
      </c>
      <c r="D9" s="494" t="s">
        <v>762</v>
      </c>
      <c r="E9" s="495" t="s">
        <v>763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641</v>
      </c>
      <c r="C14" s="513">
        <v>14748364</v>
      </c>
      <c r="D14" s="513">
        <v>15559054</v>
      </c>
      <c r="E14" s="514">
        <f t="shared" ref="E14:E22" si="0">D14-C14</f>
        <v>810690</v>
      </c>
    </row>
    <row r="15" spans="1:5" s="506" customFormat="1" x14ac:dyDescent="0.2">
      <c r="A15" s="512">
        <v>2</v>
      </c>
      <c r="B15" s="511" t="s">
        <v>620</v>
      </c>
      <c r="C15" s="513">
        <v>39549056</v>
      </c>
      <c r="D15" s="515">
        <v>39724495</v>
      </c>
      <c r="E15" s="514">
        <f t="shared" si="0"/>
        <v>175439</v>
      </c>
    </row>
    <row r="16" spans="1:5" s="506" customFormat="1" x14ac:dyDescent="0.2">
      <c r="A16" s="512">
        <v>3</v>
      </c>
      <c r="B16" s="511" t="s">
        <v>766</v>
      </c>
      <c r="C16" s="513">
        <v>8565373</v>
      </c>
      <c r="D16" s="515">
        <v>9988388</v>
      </c>
      <c r="E16" s="514">
        <f t="shared" si="0"/>
        <v>1423015</v>
      </c>
    </row>
    <row r="17" spans="1:5" s="506" customFormat="1" x14ac:dyDescent="0.2">
      <c r="A17" s="512">
        <v>4</v>
      </c>
      <c r="B17" s="511" t="s">
        <v>114</v>
      </c>
      <c r="C17" s="513">
        <v>8565373</v>
      </c>
      <c r="D17" s="515">
        <v>9988388</v>
      </c>
      <c r="E17" s="514">
        <f t="shared" si="0"/>
        <v>1423015</v>
      </c>
    </row>
    <row r="18" spans="1:5" s="506" customFormat="1" x14ac:dyDescent="0.2">
      <c r="A18" s="512">
        <v>5</v>
      </c>
      <c r="B18" s="511" t="s">
        <v>733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400272</v>
      </c>
      <c r="D19" s="515">
        <v>342847</v>
      </c>
      <c r="E19" s="514">
        <f t="shared" si="0"/>
        <v>-57425</v>
      </c>
    </row>
    <row r="20" spans="1:5" s="506" customFormat="1" x14ac:dyDescent="0.2">
      <c r="A20" s="512">
        <v>7</v>
      </c>
      <c r="B20" s="511" t="s">
        <v>748</v>
      </c>
      <c r="C20" s="513">
        <v>653864</v>
      </c>
      <c r="D20" s="515">
        <v>1122051</v>
      </c>
      <c r="E20" s="514">
        <f t="shared" si="0"/>
        <v>468187</v>
      </c>
    </row>
    <row r="21" spans="1:5" s="506" customFormat="1" x14ac:dyDescent="0.2">
      <c r="A21" s="512"/>
      <c r="B21" s="516" t="s">
        <v>767</v>
      </c>
      <c r="C21" s="517">
        <f>SUM(C15+C16+C19)</f>
        <v>48514701</v>
      </c>
      <c r="D21" s="517">
        <f>SUM(D15+D16+D19)</f>
        <v>50055730</v>
      </c>
      <c r="E21" s="517">
        <f t="shared" si="0"/>
        <v>1541029</v>
      </c>
    </row>
    <row r="22" spans="1:5" s="506" customFormat="1" x14ac:dyDescent="0.2">
      <c r="A22" s="512"/>
      <c r="B22" s="516" t="s">
        <v>707</v>
      </c>
      <c r="C22" s="517">
        <f>SUM(C14+C21)</f>
        <v>63263065</v>
      </c>
      <c r="D22" s="517">
        <f>SUM(D14+D21)</f>
        <v>65614784</v>
      </c>
      <c r="E22" s="517">
        <f t="shared" si="0"/>
        <v>2351719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641</v>
      </c>
      <c r="C25" s="513">
        <v>43705243</v>
      </c>
      <c r="D25" s="513">
        <v>43029416</v>
      </c>
      <c r="E25" s="514">
        <f t="shared" ref="E25:E33" si="1">D25-C25</f>
        <v>-675827</v>
      </c>
    </row>
    <row r="26" spans="1:5" s="506" customFormat="1" x14ac:dyDescent="0.2">
      <c r="A26" s="512">
        <v>2</v>
      </c>
      <c r="B26" s="511" t="s">
        <v>620</v>
      </c>
      <c r="C26" s="513">
        <v>29174803</v>
      </c>
      <c r="D26" s="515">
        <v>29240458</v>
      </c>
      <c r="E26" s="514">
        <f t="shared" si="1"/>
        <v>65655</v>
      </c>
    </row>
    <row r="27" spans="1:5" s="506" customFormat="1" x14ac:dyDescent="0.2">
      <c r="A27" s="512">
        <v>3</v>
      </c>
      <c r="B27" s="511" t="s">
        <v>766</v>
      </c>
      <c r="C27" s="513">
        <v>12050752</v>
      </c>
      <c r="D27" s="515">
        <v>14252955</v>
      </c>
      <c r="E27" s="514">
        <f t="shared" si="1"/>
        <v>2202203</v>
      </c>
    </row>
    <row r="28" spans="1:5" s="506" customFormat="1" x14ac:dyDescent="0.2">
      <c r="A28" s="512">
        <v>4</v>
      </c>
      <c r="B28" s="511" t="s">
        <v>114</v>
      </c>
      <c r="C28" s="513">
        <v>12050752</v>
      </c>
      <c r="D28" s="515">
        <v>14252955</v>
      </c>
      <c r="E28" s="514">
        <f t="shared" si="1"/>
        <v>2202203</v>
      </c>
    </row>
    <row r="29" spans="1:5" s="506" customFormat="1" x14ac:dyDescent="0.2">
      <c r="A29" s="512">
        <v>5</v>
      </c>
      <c r="B29" s="511" t="s">
        <v>733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588682</v>
      </c>
      <c r="D30" s="515">
        <v>542027</v>
      </c>
      <c r="E30" s="514">
        <f t="shared" si="1"/>
        <v>-46655</v>
      </c>
    </row>
    <row r="31" spans="1:5" s="506" customFormat="1" x14ac:dyDescent="0.2">
      <c r="A31" s="512">
        <v>7</v>
      </c>
      <c r="B31" s="511" t="s">
        <v>748</v>
      </c>
      <c r="C31" s="514">
        <v>1938061</v>
      </c>
      <c r="D31" s="518">
        <v>2070919</v>
      </c>
      <c r="E31" s="514">
        <f t="shared" si="1"/>
        <v>132858</v>
      </c>
    </row>
    <row r="32" spans="1:5" s="506" customFormat="1" x14ac:dyDescent="0.2">
      <c r="A32" s="512"/>
      <c r="B32" s="516" t="s">
        <v>769</v>
      </c>
      <c r="C32" s="517">
        <f>SUM(C26+C27+C30)</f>
        <v>41814237</v>
      </c>
      <c r="D32" s="517">
        <f>SUM(D26+D27+D30)</f>
        <v>44035440</v>
      </c>
      <c r="E32" s="517">
        <f t="shared" si="1"/>
        <v>2221203</v>
      </c>
    </row>
    <row r="33" spans="1:5" s="506" customFormat="1" x14ac:dyDescent="0.2">
      <c r="A33" s="512"/>
      <c r="B33" s="516" t="s">
        <v>713</v>
      </c>
      <c r="C33" s="517">
        <f>SUM(C25+C32)</f>
        <v>85519480</v>
      </c>
      <c r="D33" s="517">
        <f>SUM(D25+D32)</f>
        <v>87064856</v>
      </c>
      <c r="E33" s="517">
        <f t="shared" si="1"/>
        <v>1545376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770</v>
      </c>
      <c r="C36" s="514">
        <f t="shared" ref="C36:D42" si="2">C14+C25</f>
        <v>58453607</v>
      </c>
      <c r="D36" s="514">
        <f t="shared" si="2"/>
        <v>58588470</v>
      </c>
      <c r="E36" s="514">
        <f t="shared" ref="E36:E44" si="3">D36-C36</f>
        <v>134863</v>
      </c>
    </row>
    <row r="37" spans="1:5" s="506" customFormat="1" x14ac:dyDescent="0.2">
      <c r="A37" s="512">
        <v>2</v>
      </c>
      <c r="B37" s="511" t="s">
        <v>771</v>
      </c>
      <c r="C37" s="514">
        <f t="shared" si="2"/>
        <v>68723859</v>
      </c>
      <c r="D37" s="514">
        <f t="shared" si="2"/>
        <v>68964953</v>
      </c>
      <c r="E37" s="514">
        <f t="shared" si="3"/>
        <v>241094</v>
      </c>
    </row>
    <row r="38" spans="1:5" s="506" customFormat="1" x14ac:dyDescent="0.2">
      <c r="A38" s="512">
        <v>3</v>
      </c>
      <c r="B38" s="511" t="s">
        <v>772</v>
      </c>
      <c r="C38" s="514">
        <f t="shared" si="2"/>
        <v>20616125</v>
      </c>
      <c r="D38" s="514">
        <f t="shared" si="2"/>
        <v>24241343</v>
      </c>
      <c r="E38" s="514">
        <f t="shared" si="3"/>
        <v>3625218</v>
      </c>
    </row>
    <row r="39" spans="1:5" s="506" customFormat="1" x14ac:dyDescent="0.2">
      <c r="A39" s="512">
        <v>4</v>
      </c>
      <c r="B39" s="511" t="s">
        <v>773</v>
      </c>
      <c r="C39" s="514">
        <f t="shared" si="2"/>
        <v>20616125</v>
      </c>
      <c r="D39" s="514">
        <f t="shared" si="2"/>
        <v>24241343</v>
      </c>
      <c r="E39" s="514">
        <f t="shared" si="3"/>
        <v>3625218</v>
      </c>
    </row>
    <row r="40" spans="1:5" s="506" customFormat="1" x14ac:dyDescent="0.2">
      <c r="A40" s="512">
        <v>5</v>
      </c>
      <c r="B40" s="511" t="s">
        <v>774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775</v>
      </c>
      <c r="C41" s="514">
        <f t="shared" si="2"/>
        <v>988954</v>
      </c>
      <c r="D41" s="514">
        <f t="shared" si="2"/>
        <v>884874</v>
      </c>
      <c r="E41" s="514">
        <f t="shared" si="3"/>
        <v>-104080</v>
      </c>
    </row>
    <row r="42" spans="1:5" s="506" customFormat="1" x14ac:dyDescent="0.2">
      <c r="A42" s="512">
        <v>7</v>
      </c>
      <c r="B42" s="511" t="s">
        <v>776</v>
      </c>
      <c r="C42" s="514">
        <f t="shared" si="2"/>
        <v>2591925</v>
      </c>
      <c r="D42" s="514">
        <f t="shared" si="2"/>
        <v>3192970</v>
      </c>
      <c r="E42" s="514">
        <f t="shared" si="3"/>
        <v>601045</v>
      </c>
    </row>
    <row r="43" spans="1:5" s="506" customFormat="1" x14ac:dyDescent="0.2">
      <c r="A43" s="512"/>
      <c r="B43" s="516" t="s">
        <v>777</v>
      </c>
      <c r="C43" s="517">
        <f>SUM(C37+C38+C41)</f>
        <v>90328938</v>
      </c>
      <c r="D43" s="517">
        <f>SUM(D37+D38+D41)</f>
        <v>94091170</v>
      </c>
      <c r="E43" s="517">
        <f t="shared" si="3"/>
        <v>3762232</v>
      </c>
    </row>
    <row r="44" spans="1:5" s="506" customFormat="1" x14ac:dyDescent="0.2">
      <c r="A44" s="512"/>
      <c r="B44" s="516" t="s">
        <v>715</v>
      </c>
      <c r="C44" s="517">
        <f>SUM(C36+C43)</f>
        <v>148782545</v>
      </c>
      <c r="D44" s="517">
        <f>SUM(D36+D43)</f>
        <v>152679640</v>
      </c>
      <c r="E44" s="517">
        <f t="shared" si="3"/>
        <v>3897095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641</v>
      </c>
      <c r="C47" s="513">
        <v>7431564</v>
      </c>
      <c r="D47" s="513">
        <v>8489972</v>
      </c>
      <c r="E47" s="514">
        <f t="shared" ref="E47:E55" si="4">D47-C47</f>
        <v>1058408</v>
      </c>
    </row>
    <row r="48" spans="1:5" s="506" customFormat="1" x14ac:dyDescent="0.2">
      <c r="A48" s="512">
        <v>2</v>
      </c>
      <c r="B48" s="511" t="s">
        <v>620</v>
      </c>
      <c r="C48" s="513">
        <v>14745330</v>
      </c>
      <c r="D48" s="515">
        <v>15012920</v>
      </c>
      <c r="E48" s="514">
        <f t="shared" si="4"/>
        <v>267590</v>
      </c>
    </row>
    <row r="49" spans="1:5" s="506" customFormat="1" x14ac:dyDescent="0.2">
      <c r="A49" s="512">
        <v>3</v>
      </c>
      <c r="B49" s="511" t="s">
        <v>766</v>
      </c>
      <c r="C49" s="513">
        <v>2558626</v>
      </c>
      <c r="D49" s="515">
        <v>3385438</v>
      </c>
      <c r="E49" s="514">
        <f t="shared" si="4"/>
        <v>826812</v>
      </c>
    </row>
    <row r="50" spans="1:5" s="506" customFormat="1" x14ac:dyDescent="0.2">
      <c r="A50" s="512">
        <v>4</v>
      </c>
      <c r="B50" s="511" t="s">
        <v>114</v>
      </c>
      <c r="C50" s="513">
        <v>2558626</v>
      </c>
      <c r="D50" s="515">
        <v>3385438</v>
      </c>
      <c r="E50" s="514">
        <f t="shared" si="4"/>
        <v>826812</v>
      </c>
    </row>
    <row r="51" spans="1:5" s="506" customFormat="1" x14ac:dyDescent="0.2">
      <c r="A51" s="512">
        <v>5</v>
      </c>
      <c r="B51" s="511" t="s">
        <v>733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152747</v>
      </c>
      <c r="D52" s="515">
        <v>152368</v>
      </c>
      <c r="E52" s="514">
        <f t="shared" si="4"/>
        <v>-379</v>
      </c>
    </row>
    <row r="53" spans="1:5" s="506" customFormat="1" x14ac:dyDescent="0.2">
      <c r="A53" s="512">
        <v>7</v>
      </c>
      <c r="B53" s="511" t="s">
        <v>748</v>
      </c>
      <c r="C53" s="513">
        <v>55783</v>
      </c>
      <c r="D53" s="515">
        <v>14045</v>
      </c>
      <c r="E53" s="514">
        <f t="shared" si="4"/>
        <v>-41738</v>
      </c>
    </row>
    <row r="54" spans="1:5" s="506" customFormat="1" x14ac:dyDescent="0.2">
      <c r="A54" s="512"/>
      <c r="B54" s="516" t="s">
        <v>779</v>
      </c>
      <c r="C54" s="517">
        <f>SUM(C48+C49+C52)</f>
        <v>17456703</v>
      </c>
      <c r="D54" s="517">
        <f>SUM(D48+D49+D52)</f>
        <v>18550726</v>
      </c>
      <c r="E54" s="517">
        <f t="shared" si="4"/>
        <v>1094023</v>
      </c>
    </row>
    <row r="55" spans="1:5" s="506" customFormat="1" x14ac:dyDescent="0.2">
      <c r="A55" s="512"/>
      <c r="B55" s="516" t="s">
        <v>708</v>
      </c>
      <c r="C55" s="517">
        <f>SUM(C47+C54)</f>
        <v>24888267</v>
      </c>
      <c r="D55" s="517">
        <f>SUM(D47+D54)</f>
        <v>27040698</v>
      </c>
      <c r="E55" s="517">
        <f t="shared" si="4"/>
        <v>2152431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780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641</v>
      </c>
      <c r="C58" s="513">
        <v>23803326</v>
      </c>
      <c r="D58" s="513">
        <v>22273804</v>
      </c>
      <c r="E58" s="514">
        <f t="shared" ref="E58:E66" si="5">D58-C58</f>
        <v>-1529522</v>
      </c>
    </row>
    <row r="59" spans="1:5" s="506" customFormat="1" x14ac:dyDescent="0.2">
      <c r="A59" s="512">
        <v>2</v>
      </c>
      <c r="B59" s="511" t="s">
        <v>620</v>
      </c>
      <c r="C59" s="513">
        <v>7285506</v>
      </c>
      <c r="D59" s="515">
        <v>9656813</v>
      </c>
      <c r="E59" s="514">
        <f t="shared" si="5"/>
        <v>2371307</v>
      </c>
    </row>
    <row r="60" spans="1:5" s="506" customFormat="1" x14ac:dyDescent="0.2">
      <c r="A60" s="512">
        <v>3</v>
      </c>
      <c r="B60" s="511" t="s">
        <v>766</v>
      </c>
      <c r="C60" s="513">
        <f>C61+C62</f>
        <v>2958028</v>
      </c>
      <c r="D60" s="515">
        <f>D61+D62</f>
        <v>3710813</v>
      </c>
      <c r="E60" s="514">
        <f t="shared" si="5"/>
        <v>752785</v>
      </c>
    </row>
    <row r="61" spans="1:5" s="506" customFormat="1" x14ac:dyDescent="0.2">
      <c r="A61" s="512">
        <v>4</v>
      </c>
      <c r="B61" s="511" t="s">
        <v>114</v>
      </c>
      <c r="C61" s="513">
        <v>2958028</v>
      </c>
      <c r="D61" s="515">
        <v>3710813</v>
      </c>
      <c r="E61" s="514">
        <f t="shared" si="5"/>
        <v>752785</v>
      </c>
    </row>
    <row r="62" spans="1:5" s="506" customFormat="1" x14ac:dyDescent="0.2">
      <c r="A62" s="512">
        <v>5</v>
      </c>
      <c r="B62" s="511" t="s">
        <v>733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236977</v>
      </c>
      <c r="D63" s="515">
        <v>157690</v>
      </c>
      <c r="E63" s="514">
        <f t="shared" si="5"/>
        <v>-79287</v>
      </c>
    </row>
    <row r="64" spans="1:5" s="506" customFormat="1" x14ac:dyDescent="0.2">
      <c r="A64" s="512">
        <v>7</v>
      </c>
      <c r="B64" s="511" t="s">
        <v>748</v>
      </c>
      <c r="C64" s="513">
        <v>147470</v>
      </c>
      <c r="D64" s="515">
        <v>108242</v>
      </c>
      <c r="E64" s="514">
        <f t="shared" si="5"/>
        <v>-39228</v>
      </c>
    </row>
    <row r="65" spans="1:5" s="506" customFormat="1" x14ac:dyDescent="0.2">
      <c r="A65" s="512"/>
      <c r="B65" s="516" t="s">
        <v>781</v>
      </c>
      <c r="C65" s="517">
        <f>SUM(C59+C60+C63)</f>
        <v>10480511</v>
      </c>
      <c r="D65" s="517">
        <f>SUM(D59+D60+D63)</f>
        <v>13525316</v>
      </c>
      <c r="E65" s="517">
        <f t="shared" si="5"/>
        <v>3044805</v>
      </c>
    </row>
    <row r="66" spans="1:5" s="506" customFormat="1" x14ac:dyDescent="0.2">
      <c r="A66" s="512"/>
      <c r="B66" s="516" t="s">
        <v>714</v>
      </c>
      <c r="C66" s="517">
        <f>SUM(C58+C65)</f>
        <v>34283837</v>
      </c>
      <c r="D66" s="517">
        <f>SUM(D58+D65)</f>
        <v>35799120</v>
      </c>
      <c r="E66" s="517">
        <f t="shared" si="5"/>
        <v>1515283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770</v>
      </c>
      <c r="C69" s="514">
        <f t="shared" ref="C69:D75" si="6">C47+C58</f>
        <v>31234890</v>
      </c>
      <c r="D69" s="514">
        <f t="shared" si="6"/>
        <v>30763776</v>
      </c>
      <c r="E69" s="514">
        <f t="shared" ref="E69:E77" si="7">D69-C69</f>
        <v>-471114</v>
      </c>
    </row>
    <row r="70" spans="1:5" s="506" customFormat="1" x14ac:dyDescent="0.2">
      <c r="A70" s="512">
        <v>2</v>
      </c>
      <c r="B70" s="511" t="s">
        <v>771</v>
      </c>
      <c r="C70" s="514">
        <f t="shared" si="6"/>
        <v>22030836</v>
      </c>
      <c r="D70" s="514">
        <f t="shared" si="6"/>
        <v>24669733</v>
      </c>
      <c r="E70" s="514">
        <f t="shared" si="7"/>
        <v>2638897</v>
      </c>
    </row>
    <row r="71" spans="1:5" s="506" customFormat="1" x14ac:dyDescent="0.2">
      <c r="A71" s="512">
        <v>3</v>
      </c>
      <c r="B71" s="511" t="s">
        <v>772</v>
      </c>
      <c r="C71" s="514">
        <f t="shared" si="6"/>
        <v>5516654</v>
      </c>
      <c r="D71" s="514">
        <f t="shared" si="6"/>
        <v>7096251</v>
      </c>
      <c r="E71" s="514">
        <f t="shared" si="7"/>
        <v>1579597</v>
      </c>
    </row>
    <row r="72" spans="1:5" s="506" customFormat="1" x14ac:dyDescent="0.2">
      <c r="A72" s="512">
        <v>4</v>
      </c>
      <c r="B72" s="511" t="s">
        <v>773</v>
      </c>
      <c r="C72" s="514">
        <f t="shared" si="6"/>
        <v>5516654</v>
      </c>
      <c r="D72" s="514">
        <f t="shared" si="6"/>
        <v>7096251</v>
      </c>
      <c r="E72" s="514">
        <f t="shared" si="7"/>
        <v>1579597</v>
      </c>
    </row>
    <row r="73" spans="1:5" s="506" customFormat="1" x14ac:dyDescent="0.2">
      <c r="A73" s="512">
        <v>5</v>
      </c>
      <c r="B73" s="511" t="s">
        <v>774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775</v>
      </c>
      <c r="C74" s="514">
        <f t="shared" si="6"/>
        <v>389724</v>
      </c>
      <c r="D74" s="514">
        <f t="shared" si="6"/>
        <v>310058</v>
      </c>
      <c r="E74" s="514">
        <f t="shared" si="7"/>
        <v>-79666</v>
      </c>
    </row>
    <row r="75" spans="1:5" s="506" customFormat="1" x14ac:dyDescent="0.2">
      <c r="A75" s="512">
        <v>7</v>
      </c>
      <c r="B75" s="511" t="s">
        <v>776</v>
      </c>
      <c r="C75" s="514">
        <f t="shared" si="6"/>
        <v>203253</v>
      </c>
      <c r="D75" s="514">
        <f t="shared" si="6"/>
        <v>122287</v>
      </c>
      <c r="E75" s="514">
        <f t="shared" si="7"/>
        <v>-80966</v>
      </c>
    </row>
    <row r="76" spans="1:5" s="506" customFormat="1" x14ac:dyDescent="0.2">
      <c r="A76" s="512"/>
      <c r="B76" s="516" t="s">
        <v>782</v>
      </c>
      <c r="C76" s="517">
        <f>SUM(C70+C71+C74)</f>
        <v>27937214</v>
      </c>
      <c r="D76" s="517">
        <f>SUM(D70+D71+D74)</f>
        <v>32076042</v>
      </c>
      <c r="E76" s="517">
        <f t="shared" si="7"/>
        <v>4138828</v>
      </c>
    </row>
    <row r="77" spans="1:5" s="506" customFormat="1" x14ac:dyDescent="0.2">
      <c r="A77" s="512"/>
      <c r="B77" s="516" t="s">
        <v>716</v>
      </c>
      <c r="C77" s="517">
        <f>SUM(C69+C76)</f>
        <v>59172104</v>
      </c>
      <c r="D77" s="517">
        <f>SUM(D69+D76)</f>
        <v>62839818</v>
      </c>
      <c r="E77" s="517">
        <f t="shared" si="7"/>
        <v>3667714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641</v>
      </c>
      <c r="C83" s="523">
        <f t="shared" ref="C83:D89" si="8">IF(C$44=0,0,C14/C$44)</f>
        <v>9.9126977563127452E-2</v>
      </c>
      <c r="D83" s="523">
        <f t="shared" si="8"/>
        <v>0.10190654104240748</v>
      </c>
      <c r="E83" s="523">
        <f t="shared" ref="E83:E91" si="9">D83-C83</f>
        <v>2.7795634792800311E-3</v>
      </c>
    </row>
    <row r="84" spans="1:5" s="506" customFormat="1" x14ac:dyDescent="0.2">
      <c r="A84" s="512">
        <v>2</v>
      </c>
      <c r="B84" s="511" t="s">
        <v>620</v>
      </c>
      <c r="C84" s="523">
        <f t="shared" si="8"/>
        <v>0.26581784845796258</v>
      </c>
      <c r="D84" s="523">
        <f t="shared" si="8"/>
        <v>0.26018200593084972</v>
      </c>
      <c r="E84" s="523">
        <f t="shared" si="9"/>
        <v>-5.6358425271128554E-3</v>
      </c>
    </row>
    <row r="85" spans="1:5" s="506" customFormat="1" x14ac:dyDescent="0.2">
      <c r="A85" s="512">
        <v>3</v>
      </c>
      <c r="B85" s="511" t="s">
        <v>766</v>
      </c>
      <c r="C85" s="523">
        <f t="shared" si="8"/>
        <v>5.7569743816386527E-2</v>
      </c>
      <c r="D85" s="523">
        <f t="shared" si="8"/>
        <v>6.5420562951288064E-2</v>
      </c>
      <c r="E85" s="523">
        <f t="shared" si="9"/>
        <v>7.8508191349015363E-3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5.7569743816386527E-2</v>
      </c>
      <c r="D86" s="523">
        <f t="shared" si="8"/>
        <v>6.5420562951288064E-2</v>
      </c>
      <c r="E86" s="523">
        <f t="shared" si="9"/>
        <v>7.8508191349015363E-3</v>
      </c>
    </row>
    <row r="87" spans="1:5" s="506" customFormat="1" x14ac:dyDescent="0.2">
      <c r="A87" s="512">
        <v>5</v>
      </c>
      <c r="B87" s="511" t="s">
        <v>733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2.6903155877593034E-3</v>
      </c>
      <c r="D88" s="523">
        <f t="shared" si="8"/>
        <v>2.2455318862423307E-3</v>
      </c>
      <c r="E88" s="523">
        <f t="shared" si="9"/>
        <v>-4.4478370151697279E-4</v>
      </c>
    </row>
    <row r="89" spans="1:5" s="506" customFormat="1" x14ac:dyDescent="0.2">
      <c r="A89" s="512">
        <v>7</v>
      </c>
      <c r="B89" s="511" t="s">
        <v>748</v>
      </c>
      <c r="C89" s="523">
        <f t="shared" si="8"/>
        <v>4.3947628399554533E-3</v>
      </c>
      <c r="D89" s="523">
        <f t="shared" si="8"/>
        <v>7.3490545301259551E-3</v>
      </c>
      <c r="E89" s="523">
        <f t="shared" si="9"/>
        <v>2.9542916901705019E-3</v>
      </c>
    </row>
    <row r="90" spans="1:5" s="506" customFormat="1" x14ac:dyDescent="0.2">
      <c r="A90" s="512"/>
      <c r="B90" s="516" t="s">
        <v>785</v>
      </c>
      <c r="C90" s="524">
        <f>SUM(C84+C85+C88)</f>
        <v>0.32607790786210838</v>
      </c>
      <c r="D90" s="524">
        <f>SUM(D84+D85+D88)</f>
        <v>0.32784810076838011</v>
      </c>
      <c r="E90" s="525">
        <f t="shared" si="9"/>
        <v>1.7701929062717281E-3</v>
      </c>
    </row>
    <row r="91" spans="1:5" s="506" customFormat="1" x14ac:dyDescent="0.2">
      <c r="A91" s="512"/>
      <c r="B91" s="516" t="s">
        <v>786</v>
      </c>
      <c r="C91" s="524">
        <f>SUM(C83+C90)</f>
        <v>0.42520488542523582</v>
      </c>
      <c r="D91" s="524">
        <f>SUM(D83+D90)</f>
        <v>0.4297546418107876</v>
      </c>
      <c r="E91" s="525">
        <f t="shared" si="9"/>
        <v>4.5497563855517731E-3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641</v>
      </c>
      <c r="C95" s="523">
        <f t="shared" ref="C95:D101" si="10">IF(C$44=0,0,C25/C$44)</f>
        <v>0.29375248958135514</v>
      </c>
      <c r="D95" s="523">
        <f t="shared" si="10"/>
        <v>0.28182812063219431</v>
      </c>
      <c r="E95" s="523">
        <f t="shared" ref="E95:E103" si="11">D95-C95</f>
        <v>-1.1924368949160824E-2</v>
      </c>
    </row>
    <row r="96" spans="1:5" s="506" customFormat="1" x14ac:dyDescent="0.2">
      <c r="A96" s="512">
        <v>2</v>
      </c>
      <c r="B96" s="511" t="s">
        <v>620</v>
      </c>
      <c r="C96" s="523">
        <f t="shared" si="10"/>
        <v>0.1960902268475109</v>
      </c>
      <c r="D96" s="523">
        <f t="shared" si="10"/>
        <v>0.19151510967670607</v>
      </c>
      <c r="E96" s="523">
        <f t="shared" si="11"/>
        <v>-4.5751171708048322E-3</v>
      </c>
    </row>
    <row r="97" spans="1:5" s="506" customFormat="1" x14ac:dyDescent="0.2">
      <c r="A97" s="512">
        <v>3</v>
      </c>
      <c r="B97" s="511" t="s">
        <v>766</v>
      </c>
      <c r="C97" s="523">
        <f t="shared" si="10"/>
        <v>8.0995737772868448E-2</v>
      </c>
      <c r="D97" s="523">
        <f t="shared" si="10"/>
        <v>9.335203436424136E-2</v>
      </c>
      <c r="E97" s="523">
        <f t="shared" si="11"/>
        <v>1.2356296591372912E-2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8.0995737772868448E-2</v>
      </c>
      <c r="D98" s="523">
        <f t="shared" si="10"/>
        <v>9.335203436424136E-2</v>
      </c>
      <c r="E98" s="523">
        <f t="shared" si="11"/>
        <v>1.2356296591372912E-2</v>
      </c>
    </row>
    <row r="99" spans="1:5" s="506" customFormat="1" x14ac:dyDescent="0.2">
      <c r="A99" s="512">
        <v>5</v>
      </c>
      <c r="B99" s="511" t="s">
        <v>733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3.9566603730296452E-3</v>
      </c>
      <c r="D100" s="523">
        <f t="shared" si="10"/>
        <v>3.5500935160706431E-3</v>
      </c>
      <c r="E100" s="523">
        <f t="shared" si="11"/>
        <v>-4.0656685695900216E-4</v>
      </c>
    </row>
    <row r="101" spans="1:5" s="506" customFormat="1" x14ac:dyDescent="0.2">
      <c r="A101" s="512">
        <v>7</v>
      </c>
      <c r="B101" s="511" t="s">
        <v>748</v>
      </c>
      <c r="C101" s="523">
        <f t="shared" si="10"/>
        <v>1.3026131526383017E-2</v>
      </c>
      <c r="D101" s="523">
        <f t="shared" si="10"/>
        <v>1.3563818987259861E-2</v>
      </c>
      <c r="E101" s="523">
        <f t="shared" si="11"/>
        <v>5.3768746087684387E-4</v>
      </c>
    </row>
    <row r="102" spans="1:5" s="506" customFormat="1" x14ac:dyDescent="0.2">
      <c r="A102" s="512"/>
      <c r="B102" s="516" t="s">
        <v>788</v>
      </c>
      <c r="C102" s="524">
        <f>SUM(C96+C97+C100)</f>
        <v>0.28104262499340904</v>
      </c>
      <c r="D102" s="524">
        <f>SUM(D96+D97+D100)</f>
        <v>0.28841723755701809</v>
      </c>
      <c r="E102" s="525">
        <f t="shared" si="11"/>
        <v>7.3746125636090509E-3</v>
      </c>
    </row>
    <row r="103" spans="1:5" s="506" customFormat="1" x14ac:dyDescent="0.2">
      <c r="A103" s="512"/>
      <c r="B103" s="516" t="s">
        <v>789</v>
      </c>
      <c r="C103" s="524">
        <f>SUM(C95+C102)</f>
        <v>0.57479511457476418</v>
      </c>
      <c r="D103" s="524">
        <f>SUM(D95+D102)</f>
        <v>0.5702453581892124</v>
      </c>
      <c r="E103" s="525">
        <f t="shared" si="11"/>
        <v>-4.5497563855517731E-3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790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641</v>
      </c>
      <c r="C109" s="523">
        <f t="shared" ref="C109:D115" si="12">IF(C$77=0,0,C47/C$77)</f>
        <v>0.12559235683084718</v>
      </c>
      <c r="D109" s="523">
        <f t="shared" si="12"/>
        <v>0.13510497436513899</v>
      </c>
      <c r="E109" s="523">
        <f t="shared" ref="E109:E117" si="13">D109-C109</f>
        <v>9.5126175342918062E-3</v>
      </c>
    </row>
    <row r="110" spans="1:5" s="506" customFormat="1" x14ac:dyDescent="0.2">
      <c r="A110" s="512">
        <v>2</v>
      </c>
      <c r="B110" s="511" t="s">
        <v>620</v>
      </c>
      <c r="C110" s="523">
        <f t="shared" si="12"/>
        <v>0.24919394449790055</v>
      </c>
      <c r="D110" s="523">
        <f t="shared" si="12"/>
        <v>0.23890775749859747</v>
      </c>
      <c r="E110" s="523">
        <f t="shared" si="13"/>
        <v>-1.0286186999303087E-2</v>
      </c>
    </row>
    <row r="111" spans="1:5" s="506" customFormat="1" x14ac:dyDescent="0.2">
      <c r="A111" s="512">
        <v>3</v>
      </c>
      <c r="B111" s="511" t="s">
        <v>766</v>
      </c>
      <c r="C111" s="523">
        <f t="shared" si="12"/>
        <v>4.3240409365872812E-2</v>
      </c>
      <c r="D111" s="523">
        <f t="shared" si="12"/>
        <v>5.387408983265992E-2</v>
      </c>
      <c r="E111" s="523">
        <f t="shared" si="13"/>
        <v>1.0633680466787108E-2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4.3240409365872812E-2</v>
      </c>
      <c r="D112" s="523">
        <f t="shared" si="12"/>
        <v>5.387408983265992E-2</v>
      </c>
      <c r="E112" s="523">
        <f t="shared" si="13"/>
        <v>1.0633680466787108E-2</v>
      </c>
    </row>
    <row r="113" spans="1:5" s="506" customFormat="1" x14ac:dyDescent="0.2">
      <c r="A113" s="512">
        <v>5</v>
      </c>
      <c r="B113" s="511" t="s">
        <v>733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2.581402209392453E-3</v>
      </c>
      <c r="D114" s="523">
        <f t="shared" si="12"/>
        <v>2.4247046673496093E-3</v>
      </c>
      <c r="E114" s="523">
        <f t="shared" si="13"/>
        <v>-1.5669754204284368E-4</v>
      </c>
    </row>
    <row r="115" spans="1:5" s="506" customFormat="1" x14ac:dyDescent="0.2">
      <c r="A115" s="512">
        <v>7</v>
      </c>
      <c r="B115" s="511" t="s">
        <v>748</v>
      </c>
      <c r="C115" s="523">
        <f t="shared" si="12"/>
        <v>9.4272463253968462E-4</v>
      </c>
      <c r="D115" s="523">
        <f t="shared" si="12"/>
        <v>2.2350478481653144E-4</v>
      </c>
      <c r="E115" s="523">
        <f t="shared" si="13"/>
        <v>-7.1921984772315318E-4</v>
      </c>
    </row>
    <row r="116" spans="1:5" s="506" customFormat="1" x14ac:dyDescent="0.2">
      <c r="A116" s="512"/>
      <c r="B116" s="516" t="s">
        <v>785</v>
      </c>
      <c r="C116" s="524">
        <f>SUM(C110+C111+C114)</f>
        <v>0.29501575607316582</v>
      </c>
      <c r="D116" s="524">
        <f>SUM(D110+D111+D114)</f>
        <v>0.29520655199860701</v>
      </c>
      <c r="E116" s="525">
        <f t="shared" si="13"/>
        <v>1.9079592544118951E-4</v>
      </c>
    </row>
    <row r="117" spans="1:5" s="506" customFormat="1" x14ac:dyDescent="0.2">
      <c r="A117" s="512"/>
      <c r="B117" s="516" t="s">
        <v>786</v>
      </c>
      <c r="C117" s="524">
        <f>SUM(C109+C116)</f>
        <v>0.42060811290401301</v>
      </c>
      <c r="D117" s="524">
        <f>SUM(D109+D116)</f>
        <v>0.43031152636374603</v>
      </c>
      <c r="E117" s="525">
        <f t="shared" si="13"/>
        <v>9.7034134597330235E-3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641</v>
      </c>
      <c r="C121" s="523">
        <f t="shared" ref="C121:D127" si="14">IF(C$77=0,0,C58/C$77)</f>
        <v>0.4022727669105699</v>
      </c>
      <c r="D121" s="523">
        <f t="shared" si="14"/>
        <v>0.35445366821399771</v>
      </c>
      <c r="E121" s="523">
        <f t="shared" ref="E121:E129" si="15">D121-C121</f>
        <v>-4.7819098696572193E-2</v>
      </c>
    </row>
    <row r="122" spans="1:5" s="506" customFormat="1" x14ac:dyDescent="0.2">
      <c r="A122" s="512">
        <v>2</v>
      </c>
      <c r="B122" s="511" t="s">
        <v>620</v>
      </c>
      <c r="C122" s="523">
        <f t="shared" si="14"/>
        <v>0.12312399775407681</v>
      </c>
      <c r="D122" s="523">
        <f t="shared" si="14"/>
        <v>0.15367347181050078</v>
      </c>
      <c r="E122" s="523">
        <f t="shared" si="15"/>
        <v>3.054947405642397E-2</v>
      </c>
    </row>
    <row r="123" spans="1:5" s="506" customFormat="1" x14ac:dyDescent="0.2">
      <c r="A123" s="512">
        <v>3</v>
      </c>
      <c r="B123" s="511" t="s">
        <v>766</v>
      </c>
      <c r="C123" s="523">
        <f t="shared" si="14"/>
        <v>4.9990245403475936E-2</v>
      </c>
      <c r="D123" s="523">
        <f t="shared" si="14"/>
        <v>5.9051937419678714E-2</v>
      </c>
      <c r="E123" s="523">
        <f t="shared" si="15"/>
        <v>9.0616920162027784E-3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4.9990245403475936E-2</v>
      </c>
      <c r="D124" s="523">
        <f t="shared" si="14"/>
        <v>5.9051937419678714E-2</v>
      </c>
      <c r="E124" s="523">
        <f t="shared" si="15"/>
        <v>9.0616920162027784E-3</v>
      </c>
    </row>
    <row r="125" spans="1:5" s="506" customFormat="1" x14ac:dyDescent="0.2">
      <c r="A125" s="512">
        <v>5</v>
      </c>
      <c r="B125" s="511" t="s">
        <v>733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4.0048770278643467E-3</v>
      </c>
      <c r="D126" s="523">
        <f t="shared" si="14"/>
        <v>2.5093961920768133E-3</v>
      </c>
      <c r="E126" s="523">
        <f t="shared" si="15"/>
        <v>-1.4954808357875334E-3</v>
      </c>
    </row>
    <row r="127" spans="1:5" s="506" customFormat="1" x14ac:dyDescent="0.2">
      <c r="A127" s="512">
        <v>7</v>
      </c>
      <c r="B127" s="511" t="s">
        <v>748</v>
      </c>
      <c r="C127" s="523">
        <f t="shared" si="14"/>
        <v>2.4922216725638147E-3</v>
      </c>
      <c r="D127" s="523">
        <f t="shared" si="14"/>
        <v>1.7225065801431824E-3</v>
      </c>
      <c r="E127" s="523">
        <f t="shared" si="15"/>
        <v>-7.6971509242063237E-4</v>
      </c>
    </row>
    <row r="128" spans="1:5" s="506" customFormat="1" x14ac:dyDescent="0.2">
      <c r="A128" s="512"/>
      <c r="B128" s="516" t="s">
        <v>788</v>
      </c>
      <c r="C128" s="524">
        <f>SUM(C122+C123+C126)</f>
        <v>0.17711912018541709</v>
      </c>
      <c r="D128" s="524">
        <f>SUM(D122+D123+D126)</f>
        <v>0.21523480542225631</v>
      </c>
      <c r="E128" s="525">
        <f t="shared" si="15"/>
        <v>3.8115685236839225E-2</v>
      </c>
    </row>
    <row r="129" spans="1:5" s="506" customFormat="1" x14ac:dyDescent="0.2">
      <c r="A129" s="512"/>
      <c r="B129" s="516" t="s">
        <v>789</v>
      </c>
      <c r="C129" s="524">
        <f>SUM(C121+C128)</f>
        <v>0.57939188709598699</v>
      </c>
      <c r="D129" s="524">
        <f>SUM(D121+D128)</f>
        <v>0.56968847363625397</v>
      </c>
      <c r="E129" s="525">
        <f t="shared" si="15"/>
        <v>-9.7034134597330235E-3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641</v>
      </c>
      <c r="C137" s="530">
        <v>979</v>
      </c>
      <c r="D137" s="530">
        <v>985</v>
      </c>
      <c r="E137" s="531">
        <f t="shared" ref="E137:E145" si="16">D137-C137</f>
        <v>6</v>
      </c>
    </row>
    <row r="138" spans="1:5" s="506" customFormat="1" x14ac:dyDescent="0.2">
      <c r="A138" s="512">
        <v>2</v>
      </c>
      <c r="B138" s="511" t="s">
        <v>620</v>
      </c>
      <c r="C138" s="530">
        <v>1616</v>
      </c>
      <c r="D138" s="530">
        <v>1601</v>
      </c>
      <c r="E138" s="531">
        <f t="shared" si="16"/>
        <v>-15</v>
      </c>
    </row>
    <row r="139" spans="1:5" s="506" customFormat="1" x14ac:dyDescent="0.2">
      <c r="A139" s="512">
        <v>3</v>
      </c>
      <c r="B139" s="511" t="s">
        <v>766</v>
      </c>
      <c r="C139" s="530">
        <f>C140+C141</f>
        <v>643</v>
      </c>
      <c r="D139" s="530">
        <f>D140+D141</f>
        <v>646</v>
      </c>
      <c r="E139" s="531">
        <f t="shared" si="16"/>
        <v>3</v>
      </c>
    </row>
    <row r="140" spans="1:5" s="506" customFormat="1" x14ac:dyDescent="0.2">
      <c r="A140" s="512">
        <v>4</v>
      </c>
      <c r="B140" s="511" t="s">
        <v>114</v>
      </c>
      <c r="C140" s="530">
        <v>643</v>
      </c>
      <c r="D140" s="530">
        <v>646</v>
      </c>
      <c r="E140" s="531">
        <f t="shared" si="16"/>
        <v>3</v>
      </c>
    </row>
    <row r="141" spans="1:5" s="506" customFormat="1" x14ac:dyDescent="0.2">
      <c r="A141" s="512">
        <v>5</v>
      </c>
      <c r="B141" s="511" t="s">
        <v>733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30</v>
      </c>
      <c r="D142" s="530">
        <v>19</v>
      </c>
      <c r="E142" s="531">
        <f t="shared" si="16"/>
        <v>-11</v>
      </c>
    </row>
    <row r="143" spans="1:5" s="506" customFormat="1" x14ac:dyDescent="0.2">
      <c r="A143" s="512">
        <v>7</v>
      </c>
      <c r="B143" s="511" t="s">
        <v>748</v>
      </c>
      <c r="C143" s="530">
        <v>52</v>
      </c>
      <c r="D143" s="530">
        <v>76</v>
      </c>
      <c r="E143" s="531">
        <f t="shared" si="16"/>
        <v>24</v>
      </c>
    </row>
    <row r="144" spans="1:5" s="506" customFormat="1" x14ac:dyDescent="0.2">
      <c r="A144" s="512"/>
      <c r="B144" s="516" t="s">
        <v>796</v>
      </c>
      <c r="C144" s="532">
        <f>SUM(C138+C139+C142)</f>
        <v>2289</v>
      </c>
      <c r="D144" s="532">
        <f>SUM(D138+D139+D142)</f>
        <v>2266</v>
      </c>
      <c r="E144" s="533">
        <f t="shared" si="16"/>
        <v>-23</v>
      </c>
    </row>
    <row r="145" spans="1:5" s="506" customFormat="1" x14ac:dyDescent="0.2">
      <c r="A145" s="512"/>
      <c r="B145" s="516" t="s">
        <v>710</v>
      </c>
      <c r="C145" s="532">
        <f>SUM(C137+C144)</f>
        <v>3268</v>
      </c>
      <c r="D145" s="532">
        <f>SUM(D137+D144)</f>
        <v>3251</v>
      </c>
      <c r="E145" s="533">
        <f t="shared" si="16"/>
        <v>-17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641</v>
      </c>
      <c r="C149" s="534">
        <v>3704</v>
      </c>
      <c r="D149" s="534">
        <v>3951</v>
      </c>
      <c r="E149" s="531">
        <f t="shared" ref="E149:E157" si="17">D149-C149</f>
        <v>247</v>
      </c>
    </row>
    <row r="150" spans="1:5" s="506" customFormat="1" x14ac:dyDescent="0.2">
      <c r="A150" s="512">
        <v>2</v>
      </c>
      <c r="B150" s="511" t="s">
        <v>620</v>
      </c>
      <c r="C150" s="534">
        <v>9180</v>
      </c>
      <c r="D150" s="534">
        <v>9242</v>
      </c>
      <c r="E150" s="531">
        <f t="shared" si="17"/>
        <v>62</v>
      </c>
    </row>
    <row r="151" spans="1:5" s="506" customFormat="1" x14ac:dyDescent="0.2">
      <c r="A151" s="512">
        <v>3</v>
      </c>
      <c r="B151" s="511" t="s">
        <v>766</v>
      </c>
      <c r="C151" s="534">
        <f>C152+C153</f>
        <v>2813</v>
      </c>
      <c r="D151" s="534">
        <f>D152+D153</f>
        <v>2904</v>
      </c>
      <c r="E151" s="531">
        <f t="shared" si="17"/>
        <v>91</v>
      </c>
    </row>
    <row r="152" spans="1:5" s="506" customFormat="1" x14ac:dyDescent="0.2">
      <c r="A152" s="512">
        <v>4</v>
      </c>
      <c r="B152" s="511" t="s">
        <v>114</v>
      </c>
      <c r="C152" s="534">
        <v>2813</v>
      </c>
      <c r="D152" s="534">
        <v>2904</v>
      </c>
      <c r="E152" s="531">
        <f t="shared" si="17"/>
        <v>91</v>
      </c>
    </row>
    <row r="153" spans="1:5" s="506" customFormat="1" x14ac:dyDescent="0.2">
      <c r="A153" s="512">
        <v>5</v>
      </c>
      <c r="B153" s="511" t="s">
        <v>733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93</v>
      </c>
      <c r="D154" s="534">
        <v>92</v>
      </c>
      <c r="E154" s="531">
        <f t="shared" si="17"/>
        <v>-1</v>
      </c>
    </row>
    <row r="155" spans="1:5" s="506" customFormat="1" x14ac:dyDescent="0.2">
      <c r="A155" s="512">
        <v>7</v>
      </c>
      <c r="B155" s="511" t="s">
        <v>748</v>
      </c>
      <c r="C155" s="534">
        <v>169</v>
      </c>
      <c r="D155" s="534">
        <v>318</v>
      </c>
      <c r="E155" s="531">
        <f t="shared" si="17"/>
        <v>149</v>
      </c>
    </row>
    <row r="156" spans="1:5" s="506" customFormat="1" x14ac:dyDescent="0.2">
      <c r="A156" s="512"/>
      <c r="B156" s="516" t="s">
        <v>797</v>
      </c>
      <c r="C156" s="532">
        <f>SUM(C150+C151+C154)</f>
        <v>12086</v>
      </c>
      <c r="D156" s="532">
        <f>SUM(D150+D151+D154)</f>
        <v>12238</v>
      </c>
      <c r="E156" s="533">
        <f t="shared" si="17"/>
        <v>152</v>
      </c>
    </row>
    <row r="157" spans="1:5" s="506" customFormat="1" x14ac:dyDescent="0.2">
      <c r="A157" s="512"/>
      <c r="B157" s="516" t="s">
        <v>798</v>
      </c>
      <c r="C157" s="532">
        <f>SUM(C149+C156)</f>
        <v>15790</v>
      </c>
      <c r="D157" s="532">
        <f>SUM(D149+D156)</f>
        <v>16189</v>
      </c>
      <c r="E157" s="533">
        <f t="shared" si="17"/>
        <v>399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641</v>
      </c>
      <c r="C161" s="536">
        <f t="shared" ref="C161:D169" si="18">IF(C137=0,0,C149/C137)</f>
        <v>3.7834525025536263</v>
      </c>
      <c r="D161" s="536">
        <f t="shared" si="18"/>
        <v>4.0111675126903554</v>
      </c>
      <c r="E161" s="537">
        <f t="shared" ref="E161:E169" si="19">D161-C161</f>
        <v>0.22771501013672912</v>
      </c>
    </row>
    <row r="162" spans="1:5" s="506" customFormat="1" x14ac:dyDescent="0.2">
      <c r="A162" s="512">
        <v>2</v>
      </c>
      <c r="B162" s="511" t="s">
        <v>620</v>
      </c>
      <c r="C162" s="536">
        <f t="shared" si="18"/>
        <v>5.6806930693069306</v>
      </c>
      <c r="D162" s="536">
        <f t="shared" si="18"/>
        <v>5.77264209868832</v>
      </c>
      <c r="E162" s="537">
        <f t="shared" si="19"/>
        <v>9.194902938138938E-2</v>
      </c>
    </row>
    <row r="163" spans="1:5" s="506" customFormat="1" x14ac:dyDescent="0.2">
      <c r="A163" s="512">
        <v>3</v>
      </c>
      <c r="B163" s="511" t="s">
        <v>766</v>
      </c>
      <c r="C163" s="536">
        <f t="shared" si="18"/>
        <v>4.3748055987558319</v>
      </c>
      <c r="D163" s="536">
        <f t="shared" si="18"/>
        <v>4.4953560371517032</v>
      </c>
      <c r="E163" s="537">
        <f t="shared" si="19"/>
        <v>0.12055043839587132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4.3748055987558319</v>
      </c>
      <c r="D164" s="536">
        <f t="shared" si="18"/>
        <v>4.4953560371517032</v>
      </c>
      <c r="E164" s="537">
        <f t="shared" si="19"/>
        <v>0.12055043839587132</v>
      </c>
    </row>
    <row r="165" spans="1:5" s="506" customFormat="1" x14ac:dyDescent="0.2">
      <c r="A165" s="512">
        <v>5</v>
      </c>
      <c r="B165" s="511" t="s">
        <v>733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3.1</v>
      </c>
      <c r="D166" s="536">
        <f t="shared" si="18"/>
        <v>4.8421052631578947</v>
      </c>
      <c r="E166" s="537">
        <f t="shared" si="19"/>
        <v>1.7421052631578946</v>
      </c>
    </row>
    <row r="167" spans="1:5" s="506" customFormat="1" x14ac:dyDescent="0.2">
      <c r="A167" s="512">
        <v>7</v>
      </c>
      <c r="B167" s="511" t="s">
        <v>748</v>
      </c>
      <c r="C167" s="536">
        <f t="shared" si="18"/>
        <v>3.25</v>
      </c>
      <c r="D167" s="536">
        <f t="shared" si="18"/>
        <v>4.1842105263157894</v>
      </c>
      <c r="E167" s="537">
        <f t="shared" si="19"/>
        <v>0.93421052631578938</v>
      </c>
    </row>
    <row r="168" spans="1:5" s="506" customFormat="1" x14ac:dyDescent="0.2">
      <c r="A168" s="512"/>
      <c r="B168" s="516" t="s">
        <v>800</v>
      </c>
      <c r="C168" s="538">
        <f t="shared" si="18"/>
        <v>5.2800349497597203</v>
      </c>
      <c r="D168" s="538">
        <f t="shared" si="18"/>
        <v>5.4007060900264783</v>
      </c>
      <c r="E168" s="539">
        <f t="shared" si="19"/>
        <v>0.12067114026675796</v>
      </c>
    </row>
    <row r="169" spans="1:5" s="506" customFormat="1" x14ac:dyDescent="0.2">
      <c r="A169" s="512"/>
      <c r="B169" s="516" t="s">
        <v>734</v>
      </c>
      <c r="C169" s="538">
        <f t="shared" si="18"/>
        <v>4.8317013463892291</v>
      </c>
      <c r="D169" s="538">
        <f t="shared" si="18"/>
        <v>4.9796985542909873</v>
      </c>
      <c r="E169" s="539">
        <f t="shared" si="19"/>
        <v>0.14799720790175819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641</v>
      </c>
      <c r="C173" s="541">
        <f t="shared" ref="C173:D181" si="20">IF(C137=0,0,C203/C137)</f>
        <v>1.0203</v>
      </c>
      <c r="D173" s="541">
        <f t="shared" si="20"/>
        <v>1.03942</v>
      </c>
      <c r="E173" s="542">
        <f t="shared" ref="E173:E181" si="21">D173-C173</f>
        <v>1.9120000000000026E-2</v>
      </c>
    </row>
    <row r="174" spans="1:5" s="506" customFormat="1" x14ac:dyDescent="0.2">
      <c r="A174" s="512">
        <v>2</v>
      </c>
      <c r="B174" s="511" t="s">
        <v>620</v>
      </c>
      <c r="C174" s="541">
        <f t="shared" si="20"/>
        <v>1.3605</v>
      </c>
      <c r="D174" s="541">
        <f t="shared" si="20"/>
        <v>1.3225000000000002</v>
      </c>
      <c r="E174" s="542">
        <f t="shared" si="21"/>
        <v>-3.7999999999999812E-2</v>
      </c>
    </row>
    <row r="175" spans="1:5" s="506" customFormat="1" x14ac:dyDescent="0.2">
      <c r="A175" s="512">
        <v>0</v>
      </c>
      <c r="B175" s="511" t="s">
        <v>766</v>
      </c>
      <c r="C175" s="541">
        <f t="shared" si="20"/>
        <v>0.84913000000000005</v>
      </c>
      <c r="D175" s="541">
        <f t="shared" si="20"/>
        <v>0.97484999999999999</v>
      </c>
      <c r="E175" s="542">
        <f t="shared" si="21"/>
        <v>0.12571999999999994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0.84913000000000005</v>
      </c>
      <c r="D176" s="541">
        <f t="shared" si="20"/>
        <v>0.97484999999999999</v>
      </c>
      <c r="E176" s="542">
        <f t="shared" si="21"/>
        <v>0.12571999999999994</v>
      </c>
    </row>
    <row r="177" spans="1:5" s="506" customFormat="1" x14ac:dyDescent="0.2">
      <c r="A177" s="512">
        <v>5</v>
      </c>
      <c r="B177" s="511" t="s">
        <v>733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0.91879999999999995</v>
      </c>
      <c r="D178" s="541">
        <f t="shared" si="20"/>
        <v>1.1223000000000001</v>
      </c>
      <c r="E178" s="542">
        <f t="shared" si="21"/>
        <v>0.20350000000000013</v>
      </c>
    </row>
    <row r="179" spans="1:5" s="506" customFormat="1" x14ac:dyDescent="0.2">
      <c r="A179" s="512">
        <v>7</v>
      </c>
      <c r="B179" s="511" t="s">
        <v>748</v>
      </c>
      <c r="C179" s="541">
        <f t="shared" si="20"/>
        <v>0.92349999999999999</v>
      </c>
      <c r="D179" s="541">
        <f t="shared" si="20"/>
        <v>0.97609999999999997</v>
      </c>
      <c r="E179" s="542">
        <f t="shared" si="21"/>
        <v>5.259999999999998E-2</v>
      </c>
    </row>
    <row r="180" spans="1:5" s="506" customFormat="1" x14ac:dyDescent="0.2">
      <c r="A180" s="512"/>
      <c r="B180" s="516" t="s">
        <v>802</v>
      </c>
      <c r="C180" s="543">
        <f t="shared" si="20"/>
        <v>1.2110627304499781</v>
      </c>
      <c r="D180" s="543">
        <f t="shared" si="20"/>
        <v>1.2217119593998236</v>
      </c>
      <c r="E180" s="544">
        <f t="shared" si="21"/>
        <v>1.0649228949845435E-2</v>
      </c>
    </row>
    <row r="181" spans="1:5" s="506" customFormat="1" x14ac:dyDescent="0.2">
      <c r="A181" s="512"/>
      <c r="B181" s="516" t="s">
        <v>711</v>
      </c>
      <c r="C181" s="543">
        <f t="shared" si="20"/>
        <v>1.1539156334149328</v>
      </c>
      <c r="D181" s="543">
        <f t="shared" si="20"/>
        <v>1.1664804675484466</v>
      </c>
      <c r="E181" s="544">
        <f t="shared" si="21"/>
        <v>1.2564834133513836E-2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804</v>
      </c>
      <c r="C185" s="513">
        <v>58453607</v>
      </c>
      <c r="D185" s="513">
        <v>58588470</v>
      </c>
      <c r="E185" s="514">
        <f>D185-C185</f>
        <v>134863</v>
      </c>
    </row>
    <row r="186" spans="1:5" s="506" customFormat="1" ht="25.5" x14ac:dyDescent="0.2">
      <c r="A186" s="512">
        <v>2</v>
      </c>
      <c r="B186" s="511" t="s">
        <v>805</v>
      </c>
      <c r="C186" s="513">
        <v>31234890</v>
      </c>
      <c r="D186" s="513">
        <v>30763776</v>
      </c>
      <c r="E186" s="514">
        <f>D186-C186</f>
        <v>-471114</v>
      </c>
    </row>
    <row r="187" spans="1:5" s="506" customFormat="1" x14ac:dyDescent="0.2">
      <c r="A187" s="512"/>
      <c r="B187" s="511" t="s">
        <v>653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737</v>
      </c>
      <c r="C188" s="546">
        <f>+C185-C186</f>
        <v>27218717</v>
      </c>
      <c r="D188" s="546">
        <f>+D185-D186</f>
        <v>27824694</v>
      </c>
      <c r="E188" s="514">
        <f t="shared" ref="E188:E197" si="22">D188-C188</f>
        <v>605977</v>
      </c>
    </row>
    <row r="189" spans="1:5" s="506" customFormat="1" x14ac:dyDescent="0.2">
      <c r="A189" s="512">
        <v>4</v>
      </c>
      <c r="B189" s="511" t="s">
        <v>655</v>
      </c>
      <c r="C189" s="547">
        <f>IF(C185=0,0,+C188/C185)</f>
        <v>0.46564649124219143</v>
      </c>
      <c r="D189" s="547">
        <f>IF(D185=0,0,+D188/D185)</f>
        <v>0.47491757337237173</v>
      </c>
      <c r="E189" s="523">
        <f t="shared" si="22"/>
        <v>9.271082130180297E-3</v>
      </c>
    </row>
    <row r="190" spans="1:5" s="506" customFormat="1" x14ac:dyDescent="0.2">
      <c r="A190" s="512">
        <v>5</v>
      </c>
      <c r="B190" s="511" t="s">
        <v>752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738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806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807</v>
      </c>
      <c r="C193" s="513">
        <v>465816</v>
      </c>
      <c r="D193" s="513">
        <v>193108</v>
      </c>
      <c r="E193" s="546">
        <f t="shared" si="22"/>
        <v>-272708</v>
      </c>
    </row>
    <row r="194" spans="1:5" s="506" customFormat="1" x14ac:dyDescent="0.2">
      <c r="A194" s="512">
        <v>9</v>
      </c>
      <c r="B194" s="511" t="s">
        <v>808</v>
      </c>
      <c r="C194" s="513">
        <v>2141072</v>
      </c>
      <c r="D194" s="513">
        <v>3564251</v>
      </c>
      <c r="E194" s="546">
        <f t="shared" si="22"/>
        <v>1423179</v>
      </c>
    </row>
    <row r="195" spans="1:5" s="506" customFormat="1" x14ac:dyDescent="0.2">
      <c r="A195" s="512">
        <v>10</v>
      </c>
      <c r="B195" s="511" t="s">
        <v>809</v>
      </c>
      <c r="C195" s="513">
        <f>+C193+C194</f>
        <v>2606888</v>
      </c>
      <c r="D195" s="513">
        <f>+D193+D194</f>
        <v>3757359</v>
      </c>
      <c r="E195" s="549">
        <f t="shared" si="22"/>
        <v>1150471</v>
      </c>
    </row>
    <row r="196" spans="1:5" s="506" customFormat="1" x14ac:dyDescent="0.2">
      <c r="A196" s="512">
        <v>11</v>
      </c>
      <c r="B196" s="511" t="s">
        <v>810</v>
      </c>
      <c r="C196" s="513">
        <v>58453607</v>
      </c>
      <c r="D196" s="513">
        <v>58588470</v>
      </c>
      <c r="E196" s="546">
        <f t="shared" si="22"/>
        <v>134863</v>
      </c>
    </row>
    <row r="197" spans="1:5" s="506" customFormat="1" x14ac:dyDescent="0.2">
      <c r="A197" s="512">
        <v>12</v>
      </c>
      <c r="B197" s="511" t="s">
        <v>695</v>
      </c>
      <c r="C197" s="513">
        <v>61577163</v>
      </c>
      <c r="D197" s="513">
        <v>65981058</v>
      </c>
      <c r="E197" s="546">
        <f t="shared" si="22"/>
        <v>4403895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641</v>
      </c>
      <c r="C203" s="553">
        <v>998.87369999999999</v>
      </c>
      <c r="D203" s="553">
        <v>1023.8287</v>
      </c>
      <c r="E203" s="554">
        <f t="shared" ref="E203:E211" si="23">D203-C203</f>
        <v>24.955000000000041</v>
      </c>
    </row>
    <row r="204" spans="1:5" s="506" customFormat="1" x14ac:dyDescent="0.2">
      <c r="A204" s="512">
        <v>2</v>
      </c>
      <c r="B204" s="511" t="s">
        <v>620</v>
      </c>
      <c r="C204" s="553">
        <v>2198.5680000000002</v>
      </c>
      <c r="D204" s="553">
        <v>2117.3225000000002</v>
      </c>
      <c r="E204" s="554">
        <f t="shared" si="23"/>
        <v>-81.245499999999993</v>
      </c>
    </row>
    <row r="205" spans="1:5" s="506" customFormat="1" x14ac:dyDescent="0.2">
      <c r="A205" s="512">
        <v>3</v>
      </c>
      <c r="B205" s="511" t="s">
        <v>766</v>
      </c>
      <c r="C205" s="553">
        <f>C206+C207</f>
        <v>545.99059</v>
      </c>
      <c r="D205" s="553">
        <f>D206+D207</f>
        <v>629.75310000000002</v>
      </c>
      <c r="E205" s="554">
        <f t="shared" si="23"/>
        <v>83.76251000000002</v>
      </c>
    </row>
    <row r="206" spans="1:5" s="506" customFormat="1" x14ac:dyDescent="0.2">
      <c r="A206" s="512">
        <v>4</v>
      </c>
      <c r="B206" s="511" t="s">
        <v>114</v>
      </c>
      <c r="C206" s="553">
        <v>545.99059</v>
      </c>
      <c r="D206" s="553">
        <v>629.75310000000002</v>
      </c>
      <c r="E206" s="554">
        <f t="shared" si="23"/>
        <v>83.76251000000002</v>
      </c>
    </row>
    <row r="207" spans="1:5" s="506" customFormat="1" x14ac:dyDescent="0.2">
      <c r="A207" s="512">
        <v>5</v>
      </c>
      <c r="B207" s="511" t="s">
        <v>733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27.564</v>
      </c>
      <c r="D208" s="553">
        <v>21.323700000000002</v>
      </c>
      <c r="E208" s="554">
        <f t="shared" si="23"/>
        <v>-6.2402999999999977</v>
      </c>
    </row>
    <row r="209" spans="1:5" s="506" customFormat="1" x14ac:dyDescent="0.2">
      <c r="A209" s="512">
        <v>7</v>
      </c>
      <c r="B209" s="511" t="s">
        <v>748</v>
      </c>
      <c r="C209" s="553">
        <v>48.021999999999998</v>
      </c>
      <c r="D209" s="553">
        <v>74.183599999999998</v>
      </c>
      <c r="E209" s="554">
        <f t="shared" si="23"/>
        <v>26.1616</v>
      </c>
    </row>
    <row r="210" spans="1:5" s="506" customFormat="1" x14ac:dyDescent="0.2">
      <c r="A210" s="512"/>
      <c r="B210" s="516" t="s">
        <v>813</v>
      </c>
      <c r="C210" s="555">
        <f>C204+C205+C208</f>
        <v>2772.1225899999999</v>
      </c>
      <c r="D210" s="555">
        <f>D204+D205+D208</f>
        <v>2768.3993</v>
      </c>
      <c r="E210" s="556">
        <f t="shared" si="23"/>
        <v>-3.7232899999999063</v>
      </c>
    </row>
    <row r="211" spans="1:5" s="506" customFormat="1" x14ac:dyDescent="0.2">
      <c r="A211" s="512"/>
      <c r="B211" s="516" t="s">
        <v>712</v>
      </c>
      <c r="C211" s="555">
        <f>C210+C203</f>
        <v>3770.99629</v>
      </c>
      <c r="D211" s="555">
        <f>D210+D203</f>
        <v>3792.2280000000001</v>
      </c>
      <c r="E211" s="556">
        <f t="shared" si="23"/>
        <v>21.231710000000021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641</v>
      </c>
      <c r="C215" s="557">
        <f>IF(C14*C137=0,0,C25/C14*C137)</f>
        <v>2901.1646916905493</v>
      </c>
      <c r="D215" s="557">
        <f>IF(D14*D137=0,0,D25/D14*D137)</f>
        <v>2724.0714480456204</v>
      </c>
      <c r="E215" s="557">
        <f t="shared" ref="E215:E223" si="24">D215-C215</f>
        <v>-177.09324364492886</v>
      </c>
    </row>
    <row r="216" spans="1:5" s="506" customFormat="1" x14ac:dyDescent="0.2">
      <c r="A216" s="512">
        <v>2</v>
      </c>
      <c r="B216" s="511" t="s">
        <v>620</v>
      </c>
      <c r="C216" s="557">
        <f>IF(C15*C138=0,0,C26/C15*C138)</f>
        <v>1192.1013145800496</v>
      </c>
      <c r="D216" s="557">
        <f>IF(D15*D138=0,0,D26/D15*D138)</f>
        <v>1178.4661644660302</v>
      </c>
      <c r="E216" s="557">
        <f t="shared" si="24"/>
        <v>-13.635150114019325</v>
      </c>
    </row>
    <row r="217" spans="1:5" s="506" customFormat="1" x14ac:dyDescent="0.2">
      <c r="A217" s="512">
        <v>3</v>
      </c>
      <c r="B217" s="511" t="s">
        <v>766</v>
      </c>
      <c r="C217" s="557">
        <f>C218+C219</f>
        <v>904.64636344500116</v>
      </c>
      <c r="D217" s="557">
        <f>D218+D219</f>
        <v>921.81130028188727</v>
      </c>
      <c r="E217" s="557">
        <f t="shared" si="24"/>
        <v>17.164936836886113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904.64636344500116</v>
      </c>
      <c r="D218" s="557">
        <f t="shared" si="25"/>
        <v>921.81130028188727</v>
      </c>
      <c r="E218" s="557">
        <f t="shared" si="24"/>
        <v>17.164936836886113</v>
      </c>
    </row>
    <row r="219" spans="1:5" s="506" customFormat="1" x14ac:dyDescent="0.2">
      <c r="A219" s="512">
        <v>5</v>
      </c>
      <c r="B219" s="511" t="s">
        <v>733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44.121147619618661</v>
      </c>
      <c r="D220" s="557">
        <f t="shared" si="25"/>
        <v>30.038218213955496</v>
      </c>
      <c r="E220" s="557">
        <f t="shared" si="24"/>
        <v>-14.082929405663165</v>
      </c>
    </row>
    <row r="221" spans="1:5" s="506" customFormat="1" x14ac:dyDescent="0.2">
      <c r="A221" s="512">
        <v>7</v>
      </c>
      <c r="B221" s="511" t="s">
        <v>748</v>
      </c>
      <c r="C221" s="557">
        <f t="shared" si="25"/>
        <v>154.12864448876221</v>
      </c>
      <c r="D221" s="557">
        <f t="shared" si="25"/>
        <v>140.26977739871003</v>
      </c>
      <c r="E221" s="557">
        <f t="shared" si="24"/>
        <v>-13.858867090052172</v>
      </c>
    </row>
    <row r="222" spans="1:5" s="506" customFormat="1" x14ac:dyDescent="0.2">
      <c r="A222" s="512"/>
      <c r="B222" s="516" t="s">
        <v>815</v>
      </c>
      <c r="C222" s="558">
        <f>C216+C218+C219+C220</f>
        <v>2140.8688256446694</v>
      </c>
      <c r="D222" s="558">
        <f>D216+D218+D219+D220</f>
        <v>2130.3156829618729</v>
      </c>
      <c r="E222" s="558">
        <f t="shared" si="24"/>
        <v>-10.553142682796533</v>
      </c>
    </row>
    <row r="223" spans="1:5" s="506" customFormat="1" x14ac:dyDescent="0.2">
      <c r="A223" s="512"/>
      <c r="B223" s="516" t="s">
        <v>816</v>
      </c>
      <c r="C223" s="558">
        <f>C215+C222</f>
        <v>5042.0335173352187</v>
      </c>
      <c r="D223" s="558">
        <f>D215+D222</f>
        <v>4854.3871310074937</v>
      </c>
      <c r="E223" s="558">
        <f t="shared" si="24"/>
        <v>-187.64638632772494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641</v>
      </c>
      <c r="C227" s="560">
        <f t="shared" ref="C227:D235" si="26">IF(C203=0,0,C47/C203)</f>
        <v>7439.9436084862382</v>
      </c>
      <c r="D227" s="560">
        <f t="shared" si="26"/>
        <v>8292.3754725766139</v>
      </c>
      <c r="E227" s="560">
        <f t="shared" ref="E227:E235" si="27">D227-C227</f>
        <v>852.43186409037571</v>
      </c>
    </row>
    <row r="228" spans="1:5" s="506" customFormat="1" x14ac:dyDescent="0.2">
      <c r="A228" s="512">
        <v>2</v>
      </c>
      <c r="B228" s="511" t="s">
        <v>620</v>
      </c>
      <c r="C228" s="560">
        <f t="shared" si="26"/>
        <v>6706.7882367068014</v>
      </c>
      <c r="D228" s="560">
        <f t="shared" si="26"/>
        <v>7090.5211652924854</v>
      </c>
      <c r="E228" s="560">
        <f t="shared" si="27"/>
        <v>383.73292858568402</v>
      </c>
    </row>
    <row r="229" spans="1:5" s="506" customFormat="1" x14ac:dyDescent="0.2">
      <c r="A229" s="512">
        <v>3</v>
      </c>
      <c r="B229" s="511" t="s">
        <v>766</v>
      </c>
      <c r="C229" s="560">
        <f t="shared" si="26"/>
        <v>4686.2089692791224</v>
      </c>
      <c r="D229" s="560">
        <f t="shared" si="26"/>
        <v>5375.8179197529953</v>
      </c>
      <c r="E229" s="560">
        <f t="shared" si="27"/>
        <v>689.60895047387294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4686.2089692791224</v>
      </c>
      <c r="D230" s="560">
        <f t="shared" si="26"/>
        <v>5375.8179197529953</v>
      </c>
      <c r="E230" s="560">
        <f t="shared" si="27"/>
        <v>689.60895047387294</v>
      </c>
    </row>
    <row r="231" spans="1:5" s="506" customFormat="1" x14ac:dyDescent="0.2">
      <c r="A231" s="512">
        <v>5</v>
      </c>
      <c r="B231" s="511" t="s">
        <v>733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5541.5396894500072</v>
      </c>
      <c r="D232" s="560">
        <f t="shared" si="26"/>
        <v>7145.4766292904133</v>
      </c>
      <c r="E232" s="560">
        <f t="shared" si="27"/>
        <v>1603.936939840406</v>
      </c>
    </row>
    <row r="233" spans="1:5" s="506" customFormat="1" x14ac:dyDescent="0.2">
      <c r="A233" s="512">
        <v>7</v>
      </c>
      <c r="B233" s="511" t="s">
        <v>748</v>
      </c>
      <c r="C233" s="560">
        <f t="shared" si="26"/>
        <v>1161.6134271792096</v>
      </c>
      <c r="D233" s="560">
        <f t="shared" si="26"/>
        <v>189.32756026938569</v>
      </c>
      <c r="E233" s="560">
        <f t="shared" si="27"/>
        <v>-972.28586690982388</v>
      </c>
    </row>
    <row r="234" spans="1:5" x14ac:dyDescent="0.2">
      <c r="A234" s="512"/>
      <c r="B234" s="516" t="s">
        <v>818</v>
      </c>
      <c r="C234" s="561">
        <f t="shared" si="26"/>
        <v>6297.2334134761331</v>
      </c>
      <c r="D234" s="561">
        <f t="shared" si="26"/>
        <v>6700.885237183812</v>
      </c>
      <c r="E234" s="561">
        <f t="shared" si="27"/>
        <v>403.65182370767889</v>
      </c>
    </row>
    <row r="235" spans="1:5" s="506" customFormat="1" x14ac:dyDescent="0.2">
      <c r="A235" s="512"/>
      <c r="B235" s="516" t="s">
        <v>819</v>
      </c>
      <c r="C235" s="561">
        <f t="shared" si="26"/>
        <v>6599.9181876681187</v>
      </c>
      <c r="D235" s="561">
        <f t="shared" si="26"/>
        <v>7130.5570234701081</v>
      </c>
      <c r="E235" s="561">
        <f t="shared" si="27"/>
        <v>530.63883580198944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820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641</v>
      </c>
      <c r="C239" s="560">
        <f t="shared" ref="C239:D247" si="28">IF(C215=0,0,C58/C215)</f>
        <v>8204.7482751244534</v>
      </c>
      <c r="D239" s="560">
        <f t="shared" si="28"/>
        <v>8176.6592487800917</v>
      </c>
      <c r="E239" s="562">
        <f t="shared" ref="E239:E247" si="29">D239-C239</f>
        <v>-28.089026344361628</v>
      </c>
    </row>
    <row r="240" spans="1:5" s="506" customFormat="1" x14ac:dyDescent="0.2">
      <c r="A240" s="512">
        <v>2</v>
      </c>
      <c r="B240" s="511" t="s">
        <v>620</v>
      </c>
      <c r="C240" s="560">
        <f t="shared" si="28"/>
        <v>6111.4822296513612</v>
      </c>
      <c r="D240" s="560">
        <f t="shared" si="28"/>
        <v>8194.3913972070277</v>
      </c>
      <c r="E240" s="562">
        <f t="shared" si="29"/>
        <v>2082.9091675556665</v>
      </c>
    </row>
    <row r="241" spans="1:5" x14ac:dyDescent="0.2">
      <c r="A241" s="512">
        <v>3</v>
      </c>
      <c r="B241" s="511" t="s">
        <v>766</v>
      </c>
      <c r="C241" s="560">
        <f t="shared" si="28"/>
        <v>3269.8169356868652</v>
      </c>
      <c r="D241" s="560">
        <f t="shared" si="28"/>
        <v>4025.5668365805932</v>
      </c>
      <c r="E241" s="562">
        <f t="shared" si="29"/>
        <v>755.74990089372795</v>
      </c>
    </row>
    <row r="242" spans="1:5" x14ac:dyDescent="0.2">
      <c r="A242" s="512">
        <v>4</v>
      </c>
      <c r="B242" s="511" t="s">
        <v>114</v>
      </c>
      <c r="C242" s="560">
        <f t="shared" si="28"/>
        <v>3269.8169356868652</v>
      </c>
      <c r="D242" s="560">
        <f t="shared" si="28"/>
        <v>4025.5668365805932</v>
      </c>
      <c r="E242" s="562">
        <f t="shared" si="29"/>
        <v>755.74990089372795</v>
      </c>
    </row>
    <row r="243" spans="1:5" x14ac:dyDescent="0.2">
      <c r="A243" s="512">
        <v>5</v>
      </c>
      <c r="B243" s="511" t="s">
        <v>733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5371.0524948953762</v>
      </c>
      <c r="D244" s="560">
        <f t="shared" si="28"/>
        <v>5249.6455973789616</v>
      </c>
      <c r="E244" s="562">
        <f t="shared" si="29"/>
        <v>-121.40689751641457</v>
      </c>
    </row>
    <row r="245" spans="1:5" x14ac:dyDescent="0.2">
      <c r="A245" s="512">
        <v>7</v>
      </c>
      <c r="B245" s="511" t="s">
        <v>748</v>
      </c>
      <c r="C245" s="560">
        <f t="shared" si="28"/>
        <v>956.79813761518096</v>
      </c>
      <c r="D245" s="560">
        <f t="shared" si="28"/>
        <v>771.67014881849684</v>
      </c>
      <c r="E245" s="562">
        <f t="shared" si="29"/>
        <v>-185.12798879668412</v>
      </c>
    </row>
    <row r="246" spans="1:5" ht="25.5" x14ac:dyDescent="0.2">
      <c r="A246" s="512"/>
      <c r="B246" s="516" t="s">
        <v>821</v>
      </c>
      <c r="C246" s="561">
        <f t="shared" si="28"/>
        <v>4895.4475278718</v>
      </c>
      <c r="D246" s="561">
        <f t="shared" si="28"/>
        <v>6348.9726467183254</v>
      </c>
      <c r="E246" s="563">
        <f t="shared" si="29"/>
        <v>1453.5251188465254</v>
      </c>
    </row>
    <row r="247" spans="1:5" x14ac:dyDescent="0.2">
      <c r="A247" s="512"/>
      <c r="B247" s="516" t="s">
        <v>822</v>
      </c>
      <c r="C247" s="561">
        <f t="shared" si="28"/>
        <v>6799.6051359292551</v>
      </c>
      <c r="D247" s="561">
        <f t="shared" si="28"/>
        <v>7374.5910727499286</v>
      </c>
      <c r="E247" s="563">
        <f t="shared" si="29"/>
        <v>574.98593682067349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750</v>
      </c>
      <c r="B249" s="550" t="s">
        <v>747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2570702.1743128514</v>
      </c>
      <c r="D251" s="546">
        <f>((IF((IF(D15=0,0,D26/D15)*D138)=0,0,D59/(IF(D15=0,0,D26/D15)*D138)))-(IF((IF(D17=0,0,D28/D17)*D140)=0,0,D61/(IF(D17=0,0,D28/D17)*D140))))*(IF(D17=0,0,D28/D17)*D140)</f>
        <v>3842869.5888781208</v>
      </c>
      <c r="E251" s="546">
        <f>D251-C251</f>
        <v>1272167.4145652694</v>
      </c>
    </row>
    <row r="252" spans="1:5" x14ac:dyDescent="0.2">
      <c r="A252" s="512">
        <v>2</v>
      </c>
      <c r="B252" s="511" t="s">
        <v>733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748</v>
      </c>
      <c r="C253" s="546">
        <f>IF(C233=0,0,(C228-C233)*C209+IF(C221=0,0,(C240-C245)*C221))</f>
        <v>1060774.8565764565</v>
      </c>
      <c r="D253" s="546">
        <f>IF(D233=0,0,(D228-D233)*D209+IF(D221=0,0,(D240-D245)*D221))</f>
        <v>1553138.8431217258</v>
      </c>
      <c r="E253" s="546">
        <f>D253-C253</f>
        <v>492363.98654526938</v>
      </c>
    </row>
    <row r="254" spans="1:5" ht="15" customHeight="1" x14ac:dyDescent="0.2">
      <c r="A254" s="512"/>
      <c r="B254" s="516" t="s">
        <v>749</v>
      </c>
      <c r="C254" s="564">
        <f>+C251+C252+C253</f>
        <v>3631477.0308893081</v>
      </c>
      <c r="D254" s="564">
        <f>+D251+D252+D253</f>
        <v>5396008.4319998464</v>
      </c>
      <c r="E254" s="564">
        <f>D254-C254</f>
        <v>1764531.4011105383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823</v>
      </c>
      <c r="B256" s="550" t="s">
        <v>824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715</v>
      </c>
      <c r="C258" s="546">
        <f>+C44</f>
        <v>148782545</v>
      </c>
      <c r="D258" s="549">
        <f>+D44</f>
        <v>152679640</v>
      </c>
      <c r="E258" s="546">
        <f t="shared" ref="E258:E271" si="30">D258-C258</f>
        <v>3897095</v>
      </c>
    </row>
    <row r="259" spans="1:5" x14ac:dyDescent="0.2">
      <c r="A259" s="512">
        <v>2</v>
      </c>
      <c r="B259" s="511" t="s">
        <v>732</v>
      </c>
      <c r="C259" s="546">
        <f>+(C43-C76)</f>
        <v>62391724</v>
      </c>
      <c r="D259" s="549">
        <f>+(D43-D76)</f>
        <v>62015128</v>
      </c>
      <c r="E259" s="546">
        <f t="shared" si="30"/>
        <v>-376596</v>
      </c>
    </row>
    <row r="260" spans="1:5" x14ac:dyDescent="0.2">
      <c r="A260" s="512">
        <v>3</v>
      </c>
      <c r="B260" s="511" t="s">
        <v>736</v>
      </c>
      <c r="C260" s="546">
        <f>C195</f>
        <v>2606888</v>
      </c>
      <c r="D260" s="546">
        <f>D195</f>
        <v>3757359</v>
      </c>
      <c r="E260" s="546">
        <f t="shared" si="30"/>
        <v>1150471</v>
      </c>
    </row>
    <row r="261" spans="1:5" x14ac:dyDescent="0.2">
      <c r="A261" s="512">
        <v>4</v>
      </c>
      <c r="B261" s="511" t="s">
        <v>737</v>
      </c>
      <c r="C261" s="546">
        <f>C188</f>
        <v>27218717</v>
      </c>
      <c r="D261" s="546">
        <f>D188</f>
        <v>27824694</v>
      </c>
      <c r="E261" s="546">
        <f t="shared" si="30"/>
        <v>605977</v>
      </c>
    </row>
    <row r="262" spans="1:5" x14ac:dyDescent="0.2">
      <c r="A262" s="512">
        <v>5</v>
      </c>
      <c r="B262" s="511" t="s">
        <v>738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739</v>
      </c>
      <c r="C263" s="546">
        <f>+C259+C260+C261+C262</f>
        <v>92217329</v>
      </c>
      <c r="D263" s="546">
        <f>+D259+D260+D261+D262</f>
        <v>93597181</v>
      </c>
      <c r="E263" s="546">
        <f t="shared" si="30"/>
        <v>1379852</v>
      </c>
    </row>
    <row r="264" spans="1:5" x14ac:dyDescent="0.2">
      <c r="A264" s="512">
        <v>7</v>
      </c>
      <c r="B264" s="511" t="s">
        <v>639</v>
      </c>
      <c r="C264" s="546">
        <f>+C258-C263</f>
        <v>56565216</v>
      </c>
      <c r="D264" s="546">
        <f>+D258-D263</f>
        <v>59082459</v>
      </c>
      <c r="E264" s="546">
        <f t="shared" si="30"/>
        <v>2517243</v>
      </c>
    </row>
    <row r="265" spans="1:5" x14ac:dyDescent="0.2">
      <c r="A265" s="512">
        <v>8</v>
      </c>
      <c r="B265" s="511" t="s">
        <v>825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826</v>
      </c>
      <c r="C266" s="546">
        <f>+C264+C265</f>
        <v>56565216</v>
      </c>
      <c r="D266" s="546">
        <f>+D264+D265</f>
        <v>59082459</v>
      </c>
      <c r="E266" s="565">
        <f t="shared" si="30"/>
        <v>2517243</v>
      </c>
    </row>
    <row r="267" spans="1:5" x14ac:dyDescent="0.2">
      <c r="A267" s="512">
        <v>10</v>
      </c>
      <c r="B267" s="511" t="s">
        <v>827</v>
      </c>
      <c r="C267" s="566">
        <f>IF(C258=0,0,C266/C258)</f>
        <v>0.38018717854302064</v>
      </c>
      <c r="D267" s="566">
        <f>IF(D258=0,0,D266/D258)</f>
        <v>0.38697012253893187</v>
      </c>
      <c r="E267" s="567">
        <f t="shared" si="30"/>
        <v>6.7829439959112281E-3</v>
      </c>
    </row>
    <row r="268" spans="1:5" x14ac:dyDescent="0.2">
      <c r="A268" s="512">
        <v>11</v>
      </c>
      <c r="B268" s="511" t="s">
        <v>701</v>
      </c>
      <c r="C268" s="546">
        <f>+C260*C267</f>
        <v>991105.39349765796</v>
      </c>
      <c r="D268" s="568">
        <f>+D260*D267</f>
        <v>1453985.6726527584</v>
      </c>
      <c r="E268" s="546">
        <f t="shared" si="30"/>
        <v>462880.27915510046</v>
      </c>
    </row>
    <row r="269" spans="1:5" x14ac:dyDescent="0.2">
      <c r="A269" s="512">
        <v>12</v>
      </c>
      <c r="B269" s="511" t="s">
        <v>828</v>
      </c>
      <c r="C269" s="546">
        <f>((C17+C18+C28+C29)*C267)-(C50+C51+C61+C62)</f>
        <v>2321332.3962402316</v>
      </c>
      <c r="D269" s="568">
        <f>((D17+D18+D28+D29)*D267)-(D50+D51+D61+D62)</f>
        <v>2284424.4712182786</v>
      </c>
      <c r="E269" s="546">
        <f t="shared" si="30"/>
        <v>-36907.925021952949</v>
      </c>
    </row>
    <row r="270" spans="1:5" s="569" customFormat="1" x14ac:dyDescent="0.2">
      <c r="A270" s="570">
        <v>13</v>
      </c>
      <c r="B270" s="571" t="s">
        <v>829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830</v>
      </c>
      <c r="C271" s="546">
        <f>+C268+C269+C270</f>
        <v>3312437.7897378895</v>
      </c>
      <c r="D271" s="546">
        <f>+D268+D269+D270</f>
        <v>3738410.1438710373</v>
      </c>
      <c r="E271" s="549">
        <f t="shared" si="30"/>
        <v>425972.35413314775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831</v>
      </c>
      <c r="B273" s="550" t="s">
        <v>832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833</v>
      </c>
      <c r="C275" s="340"/>
      <c r="D275" s="340"/>
      <c r="E275" s="520"/>
    </row>
    <row r="276" spans="1:5" x14ac:dyDescent="0.2">
      <c r="A276" s="512">
        <v>1</v>
      </c>
      <c r="B276" s="511" t="s">
        <v>641</v>
      </c>
      <c r="C276" s="547">
        <f t="shared" ref="C276:D284" si="31">IF(C14=0,0,+C47/C14)</f>
        <v>0.50389073662678785</v>
      </c>
      <c r="D276" s="547">
        <f t="shared" si="31"/>
        <v>0.54566119508294009</v>
      </c>
      <c r="E276" s="574">
        <f t="shared" ref="E276:E284" si="32">D276-C276</f>
        <v>4.1770458456152237E-2</v>
      </c>
    </row>
    <row r="277" spans="1:5" x14ac:dyDescent="0.2">
      <c r="A277" s="512">
        <v>2</v>
      </c>
      <c r="B277" s="511" t="s">
        <v>620</v>
      </c>
      <c r="C277" s="547">
        <f t="shared" si="31"/>
        <v>0.37283645910537028</v>
      </c>
      <c r="D277" s="547">
        <f t="shared" si="31"/>
        <v>0.37792601265289844</v>
      </c>
      <c r="E277" s="574">
        <f t="shared" si="32"/>
        <v>5.0895535475281584E-3</v>
      </c>
    </row>
    <row r="278" spans="1:5" x14ac:dyDescent="0.2">
      <c r="A278" s="512">
        <v>3</v>
      </c>
      <c r="B278" s="511" t="s">
        <v>766</v>
      </c>
      <c r="C278" s="547">
        <f t="shared" si="31"/>
        <v>0.29871740553505377</v>
      </c>
      <c r="D278" s="547">
        <f t="shared" si="31"/>
        <v>0.33893737407878027</v>
      </c>
      <c r="E278" s="574">
        <f t="shared" si="32"/>
        <v>4.0219968543726503E-2</v>
      </c>
    </row>
    <row r="279" spans="1:5" x14ac:dyDescent="0.2">
      <c r="A279" s="512">
        <v>4</v>
      </c>
      <c r="B279" s="511" t="s">
        <v>114</v>
      </c>
      <c r="C279" s="547">
        <f t="shared" si="31"/>
        <v>0.29871740553505377</v>
      </c>
      <c r="D279" s="547">
        <f t="shared" si="31"/>
        <v>0.33893737407878027</v>
      </c>
      <c r="E279" s="574">
        <f t="shared" si="32"/>
        <v>4.0219968543726503E-2</v>
      </c>
    </row>
    <row r="280" spans="1:5" x14ac:dyDescent="0.2">
      <c r="A280" s="512">
        <v>5</v>
      </c>
      <c r="B280" s="511" t="s">
        <v>733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0.38160800655554222</v>
      </c>
      <c r="D281" s="547">
        <f t="shared" si="31"/>
        <v>0.44441981408616671</v>
      </c>
      <c r="E281" s="574">
        <f t="shared" si="32"/>
        <v>6.2811807530624486E-2</v>
      </c>
    </row>
    <row r="282" spans="1:5" x14ac:dyDescent="0.2">
      <c r="A282" s="512">
        <v>7</v>
      </c>
      <c r="B282" s="511" t="s">
        <v>748</v>
      </c>
      <c r="C282" s="547">
        <f t="shared" si="31"/>
        <v>8.531284793167998E-2</v>
      </c>
      <c r="D282" s="547">
        <f t="shared" si="31"/>
        <v>1.2517256345745425E-2</v>
      </c>
      <c r="E282" s="574">
        <f t="shared" si="32"/>
        <v>-7.2795591585934558E-2</v>
      </c>
    </row>
    <row r="283" spans="1:5" ht="29.25" customHeight="1" x14ac:dyDescent="0.2">
      <c r="A283" s="512"/>
      <c r="B283" s="516" t="s">
        <v>834</v>
      </c>
      <c r="C283" s="575">
        <f t="shared" si="31"/>
        <v>0.35982295345899379</v>
      </c>
      <c r="D283" s="575">
        <f t="shared" si="31"/>
        <v>0.37060144762647551</v>
      </c>
      <c r="E283" s="576">
        <f t="shared" si="32"/>
        <v>1.0778494167481723E-2</v>
      </c>
    </row>
    <row r="284" spans="1:5" x14ac:dyDescent="0.2">
      <c r="A284" s="512"/>
      <c r="B284" s="516" t="s">
        <v>835</v>
      </c>
      <c r="C284" s="575">
        <f t="shared" si="31"/>
        <v>0.39340912426547781</v>
      </c>
      <c r="D284" s="575">
        <f t="shared" si="31"/>
        <v>0.41211288602275975</v>
      </c>
      <c r="E284" s="576">
        <f t="shared" si="32"/>
        <v>1.8703761757281945E-2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836</v>
      </c>
      <c r="C286" s="520"/>
      <c r="D286" s="520"/>
      <c r="E286" s="520"/>
    </row>
    <row r="287" spans="1:5" x14ac:dyDescent="0.2">
      <c r="A287" s="512">
        <v>1</v>
      </c>
      <c r="B287" s="511" t="s">
        <v>641</v>
      </c>
      <c r="C287" s="547">
        <f t="shared" ref="C287:D295" si="33">IF(C25=0,0,+C58/C25)</f>
        <v>0.54463319194907578</v>
      </c>
      <c r="D287" s="547">
        <f t="shared" si="33"/>
        <v>0.51764132704008814</v>
      </c>
      <c r="E287" s="574">
        <f t="shared" ref="E287:E295" si="34">D287-C287</f>
        <v>-2.6991864908987639E-2</v>
      </c>
    </row>
    <row r="288" spans="1:5" x14ac:dyDescent="0.2">
      <c r="A288" s="512">
        <v>2</v>
      </c>
      <c r="B288" s="511" t="s">
        <v>620</v>
      </c>
      <c r="C288" s="547">
        <f t="shared" si="33"/>
        <v>0.2497191154983977</v>
      </c>
      <c r="D288" s="547">
        <f t="shared" si="33"/>
        <v>0.33025518957329603</v>
      </c>
      <c r="E288" s="574">
        <f t="shared" si="34"/>
        <v>8.0536074074898323E-2</v>
      </c>
    </row>
    <row r="289" spans="1:5" x14ac:dyDescent="0.2">
      <c r="A289" s="512">
        <v>3</v>
      </c>
      <c r="B289" s="511" t="s">
        <v>766</v>
      </c>
      <c r="C289" s="547">
        <f t="shared" si="33"/>
        <v>0.2454641834800019</v>
      </c>
      <c r="D289" s="547">
        <f t="shared" si="33"/>
        <v>0.26035394063897627</v>
      </c>
      <c r="E289" s="574">
        <f t="shared" si="34"/>
        <v>1.4889757158974365E-2</v>
      </c>
    </row>
    <row r="290" spans="1:5" x14ac:dyDescent="0.2">
      <c r="A290" s="512">
        <v>4</v>
      </c>
      <c r="B290" s="511" t="s">
        <v>114</v>
      </c>
      <c r="C290" s="547">
        <f t="shared" si="33"/>
        <v>0.2454641834800019</v>
      </c>
      <c r="D290" s="547">
        <f t="shared" si="33"/>
        <v>0.26035394063897627</v>
      </c>
      <c r="E290" s="574">
        <f t="shared" si="34"/>
        <v>1.4889757158974365E-2</v>
      </c>
    </row>
    <row r="291" spans="1:5" x14ac:dyDescent="0.2">
      <c r="A291" s="512">
        <v>5</v>
      </c>
      <c r="B291" s="511" t="s">
        <v>733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0.40255519958143787</v>
      </c>
      <c r="D292" s="547">
        <f t="shared" si="33"/>
        <v>0.29092646676272582</v>
      </c>
      <c r="E292" s="574">
        <f t="shared" si="34"/>
        <v>-0.11162873281871205</v>
      </c>
    </row>
    <row r="293" spans="1:5" x14ac:dyDescent="0.2">
      <c r="A293" s="512">
        <v>7</v>
      </c>
      <c r="B293" s="511" t="s">
        <v>748</v>
      </c>
      <c r="C293" s="547">
        <f t="shared" si="33"/>
        <v>7.609151621130604E-2</v>
      </c>
      <c r="D293" s="547">
        <f t="shared" si="33"/>
        <v>5.2267616454337425E-2</v>
      </c>
      <c r="E293" s="574">
        <f t="shared" si="34"/>
        <v>-2.3823899756968615E-2</v>
      </c>
    </row>
    <row r="294" spans="1:5" ht="29.25" customHeight="1" x14ac:dyDescent="0.2">
      <c r="A294" s="512"/>
      <c r="B294" s="516" t="s">
        <v>837</v>
      </c>
      <c r="C294" s="575">
        <f t="shared" si="33"/>
        <v>0.25064455917251344</v>
      </c>
      <c r="D294" s="575">
        <f t="shared" si="33"/>
        <v>0.30714615318934024</v>
      </c>
      <c r="E294" s="576">
        <f t="shared" si="34"/>
        <v>5.6501594016826806E-2</v>
      </c>
    </row>
    <row r="295" spans="1:5" x14ac:dyDescent="0.2">
      <c r="A295" s="512"/>
      <c r="B295" s="516" t="s">
        <v>838</v>
      </c>
      <c r="C295" s="575">
        <f t="shared" si="33"/>
        <v>0.40088921260980537</v>
      </c>
      <c r="D295" s="575">
        <f t="shared" si="33"/>
        <v>0.41117761683313414</v>
      </c>
      <c r="E295" s="576">
        <f t="shared" si="34"/>
        <v>1.0288404223328773E-2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839</v>
      </c>
      <c r="B297" s="501" t="s">
        <v>840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639</v>
      </c>
      <c r="C301" s="514">
        <f>+C48+C47+C50+C51+C52+C59+C58+C61+C62+C63</f>
        <v>59172104</v>
      </c>
      <c r="D301" s="514">
        <f>+D48+D47+D50+D51+D52+D59+D58+D61+D62+D63</f>
        <v>62839818</v>
      </c>
      <c r="E301" s="514">
        <f>D301-C301</f>
        <v>3667714</v>
      </c>
    </row>
    <row r="302" spans="1:5" ht="25.5" x14ac:dyDescent="0.2">
      <c r="A302" s="512">
        <v>2</v>
      </c>
      <c r="B302" s="511" t="s">
        <v>842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843</v>
      </c>
      <c r="C303" s="517">
        <f>+C301+C302</f>
        <v>59172104</v>
      </c>
      <c r="D303" s="517">
        <f>+D301+D302</f>
        <v>62839818</v>
      </c>
      <c r="E303" s="517">
        <f>D303-C303</f>
        <v>3667714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844</v>
      </c>
      <c r="C305" s="513">
        <v>619650</v>
      </c>
      <c r="D305" s="578">
        <v>2478602</v>
      </c>
      <c r="E305" s="579">
        <f>D305-C305</f>
        <v>1858952</v>
      </c>
    </row>
    <row r="306" spans="1:5" x14ac:dyDescent="0.2">
      <c r="A306" s="512">
        <v>4</v>
      </c>
      <c r="B306" s="516" t="s">
        <v>845</v>
      </c>
      <c r="C306" s="580">
        <f>+C303+C305</f>
        <v>59791754</v>
      </c>
      <c r="D306" s="580">
        <f>+D303+D305</f>
        <v>65318420</v>
      </c>
      <c r="E306" s="580">
        <f>D306-C306</f>
        <v>5526666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846</v>
      </c>
      <c r="C308" s="513">
        <v>59791753</v>
      </c>
      <c r="D308" s="513">
        <v>65318418</v>
      </c>
      <c r="E308" s="514">
        <f>D308-C308</f>
        <v>5526665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847</v>
      </c>
      <c r="C310" s="581">
        <f>C306-C308</f>
        <v>1</v>
      </c>
      <c r="D310" s="582">
        <f>D306-D308</f>
        <v>2</v>
      </c>
      <c r="E310" s="580">
        <f>D310-C310</f>
        <v>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849</v>
      </c>
      <c r="C314" s="514">
        <f>+C14+C15+C16+C19+C25+C26+C27+C30</f>
        <v>148782545</v>
      </c>
      <c r="D314" s="514">
        <f>+D14+D15+D16+D19+D25+D26+D27+D30</f>
        <v>152679640</v>
      </c>
      <c r="E314" s="514">
        <f>D314-C314</f>
        <v>3897095</v>
      </c>
    </row>
    <row r="315" spans="1:5" x14ac:dyDescent="0.2">
      <c r="A315" s="512">
        <v>2</v>
      </c>
      <c r="B315" s="583" t="s">
        <v>850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851</v>
      </c>
      <c r="C316" s="581">
        <f>C314+C315</f>
        <v>148782545</v>
      </c>
      <c r="D316" s="581">
        <f>D314+D315</f>
        <v>152679640</v>
      </c>
      <c r="E316" s="517">
        <f>D316-C316</f>
        <v>3897095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852</v>
      </c>
      <c r="C318" s="513">
        <v>148782545</v>
      </c>
      <c r="D318" s="513">
        <v>152679640</v>
      </c>
      <c r="E318" s="514">
        <f>D318-C318</f>
        <v>3897095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847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854</v>
      </c>
      <c r="C324" s="513">
        <f>+C193+C194</f>
        <v>2606888</v>
      </c>
      <c r="D324" s="513">
        <f>+D193+D194</f>
        <v>3757359</v>
      </c>
      <c r="E324" s="514">
        <f>D324-C324</f>
        <v>1150471</v>
      </c>
    </row>
    <row r="325" spans="1:5" x14ac:dyDescent="0.2">
      <c r="A325" s="512">
        <v>2</v>
      </c>
      <c r="B325" s="511" t="s">
        <v>855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856</v>
      </c>
      <c r="C326" s="581">
        <f>C324+C325</f>
        <v>2606888</v>
      </c>
      <c r="D326" s="581">
        <f>D324+D325</f>
        <v>3757359</v>
      </c>
      <c r="E326" s="517">
        <f>D326-C326</f>
        <v>1150471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857</v>
      </c>
      <c r="C328" s="513">
        <v>2606888</v>
      </c>
      <c r="D328" s="513">
        <v>3757359</v>
      </c>
      <c r="E328" s="514">
        <f>D328-C328</f>
        <v>1150471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858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FILING&amp;RJOHNSON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859</v>
      </c>
      <c r="B5" s="696"/>
      <c r="C5" s="697"/>
      <c r="D5" s="585"/>
    </row>
    <row r="6" spans="1:58" s="338" customFormat="1" ht="15.75" customHeight="1" x14ac:dyDescent="0.25">
      <c r="A6" s="695" t="s">
        <v>860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641</v>
      </c>
      <c r="C14" s="513">
        <v>15559054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620</v>
      </c>
      <c r="C15" s="515">
        <v>39724495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766</v>
      </c>
      <c r="C16" s="515">
        <v>9988388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9988388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733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342847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748</v>
      </c>
      <c r="C20" s="515">
        <v>1122051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767</v>
      </c>
      <c r="C21" s="517">
        <f>SUM(C15+C16+C19)</f>
        <v>50055730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707</v>
      </c>
      <c r="C22" s="517">
        <f>SUM(C14+C21)</f>
        <v>65614784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641</v>
      </c>
      <c r="C25" s="513">
        <v>43029416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620</v>
      </c>
      <c r="C26" s="515">
        <v>29240458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766</v>
      </c>
      <c r="C27" s="515">
        <v>14252955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14252955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733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542027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748</v>
      </c>
      <c r="C31" s="518">
        <v>2070919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769</v>
      </c>
      <c r="C32" s="517">
        <f>SUM(C26+C27+C30)</f>
        <v>44035440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713</v>
      </c>
      <c r="C33" s="517">
        <f>SUM(C25+C32)</f>
        <v>87064856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863</v>
      </c>
      <c r="C36" s="514">
        <f>SUM(C14+C25)</f>
        <v>58588470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864</v>
      </c>
      <c r="C37" s="518">
        <f>SUM(C21+C32)</f>
        <v>94091170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638</v>
      </c>
      <c r="C38" s="517">
        <f>SUM(+C36+C37)</f>
        <v>152679640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641</v>
      </c>
      <c r="C41" s="513">
        <v>8489972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620</v>
      </c>
      <c r="C42" s="515">
        <v>15012920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766</v>
      </c>
      <c r="C43" s="515">
        <v>3385438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3385438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733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152368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748</v>
      </c>
      <c r="C47" s="515">
        <v>14045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779</v>
      </c>
      <c r="C48" s="517">
        <f>SUM(C42+C43+C46)</f>
        <v>18550726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708</v>
      </c>
      <c r="C49" s="517">
        <f>SUM(C41+C48)</f>
        <v>27040698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780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641</v>
      </c>
      <c r="C52" s="513">
        <v>22273804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620</v>
      </c>
      <c r="C53" s="515">
        <v>9656813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766</v>
      </c>
      <c r="C54" s="515">
        <v>3710813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3710813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733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157690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748</v>
      </c>
      <c r="C58" s="515">
        <v>108242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781</v>
      </c>
      <c r="C59" s="517">
        <f>SUM(C53+C54+C57)</f>
        <v>13525316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714</v>
      </c>
      <c r="C60" s="517">
        <f>SUM(C52+C59)</f>
        <v>35799120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865</v>
      </c>
      <c r="C63" s="514">
        <f>SUM(C41+C52)</f>
        <v>30763776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866</v>
      </c>
      <c r="C64" s="518">
        <f>SUM(C48+C59)</f>
        <v>32076042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639</v>
      </c>
      <c r="C65" s="517">
        <f>SUM(+C63+C64)</f>
        <v>62839818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641</v>
      </c>
      <c r="C70" s="530">
        <v>985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620</v>
      </c>
      <c r="C71" s="530">
        <v>1601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766</v>
      </c>
      <c r="C72" s="530">
        <v>646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646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733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19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748</v>
      </c>
      <c r="C76" s="545">
        <v>76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796</v>
      </c>
      <c r="C77" s="532">
        <f>SUM(C71+C72+C75)</f>
        <v>2266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710</v>
      </c>
      <c r="C78" s="596">
        <f>SUM(C70+C77)</f>
        <v>3251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641</v>
      </c>
      <c r="C81" s="541">
        <v>1.03942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620</v>
      </c>
      <c r="C82" s="541">
        <v>1.3225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766</v>
      </c>
      <c r="C83" s="541">
        <f>((C73*C84)+(C74*C85))/(C73+C74)</f>
        <v>0.97484999999999999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0.97484999999999999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733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1.1223000000000001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748</v>
      </c>
      <c r="C87" s="541">
        <v>0.97609999999999997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802</v>
      </c>
      <c r="C88" s="543">
        <f>((C71*C82)+(C73*C84)+(C74*C85)+(C75*C86))/(C71+C73+C74+C75)</f>
        <v>1.2217119593998236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711</v>
      </c>
      <c r="C89" s="543">
        <f>((C70*C81)+(C71*C82)+(C73*C84)+(C74*C85)+(C75*C86))/(C70+C71+C73+C74+C75)</f>
        <v>1.1664804675484466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804</v>
      </c>
      <c r="C92" s="513">
        <v>58588470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805</v>
      </c>
      <c r="C93" s="546">
        <v>30763776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737</v>
      </c>
      <c r="C95" s="513">
        <f>+C92-C93</f>
        <v>27824694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655</v>
      </c>
      <c r="C96" s="597">
        <f>(+C92-C93)/C92</f>
        <v>0.47491757337237173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752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738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869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807</v>
      </c>
      <c r="C103" s="513">
        <v>193108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808</v>
      </c>
      <c r="C104" s="513">
        <v>3564251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809</v>
      </c>
      <c r="C105" s="578">
        <f>+C103+C104</f>
        <v>3757359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810</v>
      </c>
      <c r="C107" s="513">
        <v>282934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695</v>
      </c>
      <c r="C108" s="513">
        <v>65981058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840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639</v>
      </c>
      <c r="C114" s="514">
        <f>+C65</f>
        <v>62839818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842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843</v>
      </c>
      <c r="C116" s="517">
        <f>+C114+C115</f>
        <v>62839818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844</v>
      </c>
      <c r="C118" s="578">
        <v>2478602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845</v>
      </c>
      <c r="C119" s="580">
        <f>+C116+C118</f>
        <v>65318420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846</v>
      </c>
      <c r="C121" s="513">
        <v>65318418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847</v>
      </c>
      <c r="C123" s="582">
        <f>C119-C121</f>
        <v>2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849</v>
      </c>
      <c r="C127" s="514">
        <f>+C38</f>
        <v>152679640</v>
      </c>
      <c r="D127" s="588"/>
      <c r="AR127" s="507"/>
    </row>
    <row r="128" spans="1:58" s="506" customFormat="1" x14ac:dyDescent="0.2">
      <c r="A128" s="512">
        <v>2</v>
      </c>
      <c r="B128" s="583" t="s">
        <v>850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851</v>
      </c>
      <c r="C129" s="581">
        <f>C127+C128</f>
        <v>152679640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852</v>
      </c>
      <c r="C131" s="513">
        <v>152679640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847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854</v>
      </c>
      <c r="C137" s="513">
        <f>C105</f>
        <v>3757359</v>
      </c>
      <c r="D137" s="588"/>
      <c r="AR137" s="507"/>
    </row>
    <row r="138" spans="1:44" s="506" customFormat="1" x14ac:dyDescent="0.2">
      <c r="A138" s="512">
        <v>2</v>
      </c>
      <c r="B138" s="511" t="s">
        <v>870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856</v>
      </c>
      <c r="C139" s="581">
        <f>C137+C138</f>
        <v>3757359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871</v>
      </c>
      <c r="C141" s="513">
        <v>3757359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858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FILING&amp;RJOHNSON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615</v>
      </c>
      <c r="D8" s="35" t="s">
        <v>615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617</v>
      </c>
      <c r="D9" s="607" t="s">
        <v>618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874</v>
      </c>
      <c r="C12" s="49">
        <v>485</v>
      </c>
      <c r="D12" s="49">
        <v>322</v>
      </c>
      <c r="E12" s="49">
        <f>+D12-C12</f>
        <v>-163</v>
      </c>
      <c r="F12" s="70">
        <f>IF(C12=0,0,+E12/C12)</f>
        <v>-0.33608247422680415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875</v>
      </c>
      <c r="C13" s="49">
        <v>376</v>
      </c>
      <c r="D13" s="49">
        <v>213</v>
      </c>
      <c r="E13" s="49">
        <f>+D13-C13</f>
        <v>-163</v>
      </c>
      <c r="F13" s="70">
        <f>IF(C13=0,0,+E13/C13)</f>
        <v>-0.43351063829787234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876</v>
      </c>
      <c r="C15" s="51">
        <v>465816</v>
      </c>
      <c r="D15" s="51">
        <v>193108</v>
      </c>
      <c r="E15" s="51">
        <f>+D15-C15</f>
        <v>-272708</v>
      </c>
      <c r="F15" s="70">
        <f>IF(C15=0,0,+E15/C15)</f>
        <v>-0.58544146186477064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877</v>
      </c>
      <c r="C16" s="27">
        <f>IF(C13=0,0,+C15/+C13)</f>
        <v>1238.872340425532</v>
      </c>
      <c r="D16" s="27">
        <f>IF(D13=0,0,+D15/+D13)</f>
        <v>906.61032863849766</v>
      </c>
      <c r="E16" s="27">
        <f>+D16-C16</f>
        <v>-332.26201178703434</v>
      </c>
      <c r="F16" s="28">
        <f>IF(C16=0,0,+E16/C16)</f>
        <v>-0.26819713455940736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878</v>
      </c>
      <c r="C18" s="210">
        <v>0.445438</v>
      </c>
      <c r="D18" s="210">
        <v>0.40872999999999998</v>
      </c>
      <c r="E18" s="210">
        <f>+D18-C18</f>
        <v>-3.6708000000000018E-2</v>
      </c>
      <c r="F18" s="70">
        <f>IF(C18=0,0,+E18/C18)</f>
        <v>-8.2408775183078264E-2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879</v>
      </c>
      <c r="C19" s="27">
        <f>+C15*C18</f>
        <v>207492.14740799999</v>
      </c>
      <c r="D19" s="27">
        <f>+D15*D18</f>
        <v>78929.03284</v>
      </c>
      <c r="E19" s="27">
        <f>+D19-C19</f>
        <v>-128563.11456799999</v>
      </c>
      <c r="F19" s="28">
        <f>IF(C19=0,0,+E19/C19)</f>
        <v>-0.61960472323418225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880</v>
      </c>
      <c r="C20" s="27">
        <f>IF(C13=0,0,+C19/C13)</f>
        <v>551.84081757446802</v>
      </c>
      <c r="D20" s="27">
        <f>IF(D13=0,0,+D19/D13)</f>
        <v>370.55883962441317</v>
      </c>
      <c r="E20" s="27">
        <f>+D20-C20</f>
        <v>-181.28197795005485</v>
      </c>
      <c r="F20" s="28">
        <f>IF(C20=0,0,+E20/C20)</f>
        <v>-0.32850411237583343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881</v>
      </c>
      <c r="C22" s="51">
        <v>282865</v>
      </c>
      <c r="D22" s="51">
        <v>65413</v>
      </c>
      <c r="E22" s="51">
        <f>+D22-C22</f>
        <v>-217452</v>
      </c>
      <c r="F22" s="70">
        <f>IF(C22=0,0,+E22/C22)</f>
        <v>-0.76874834284906224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882</v>
      </c>
      <c r="C23" s="49">
        <v>67597</v>
      </c>
      <c r="D23" s="49">
        <v>94567</v>
      </c>
      <c r="E23" s="49">
        <f>+D23-C23</f>
        <v>26970</v>
      </c>
      <c r="F23" s="70">
        <f>IF(C23=0,0,+E23/C23)</f>
        <v>0.39898220335221979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883</v>
      </c>
      <c r="C24" s="49">
        <v>115354</v>
      </c>
      <c r="D24" s="49">
        <v>33128</v>
      </c>
      <c r="E24" s="49">
        <f>+D24-C24</f>
        <v>-82226</v>
      </c>
      <c r="F24" s="70">
        <f>IF(C24=0,0,+E24/C24)</f>
        <v>-0.71281446677185012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876</v>
      </c>
      <c r="C25" s="27">
        <f>+C22+C23+C24</f>
        <v>465816</v>
      </c>
      <c r="D25" s="27">
        <f>+D22+D23+D24</f>
        <v>193108</v>
      </c>
      <c r="E25" s="27">
        <f>+E22+E23+E24</f>
        <v>-272708</v>
      </c>
      <c r="F25" s="28">
        <f>IF(C25=0,0,+E25/C25)</f>
        <v>-0.58544146186477064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884</v>
      </c>
      <c r="C27" s="49">
        <v>136</v>
      </c>
      <c r="D27" s="49">
        <v>35</v>
      </c>
      <c r="E27" s="49">
        <f>+D27-C27</f>
        <v>-101</v>
      </c>
      <c r="F27" s="70">
        <f>IF(C27=0,0,+E27/C27)</f>
        <v>-0.74264705882352944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885</v>
      </c>
      <c r="C28" s="49">
        <v>52</v>
      </c>
      <c r="D28" s="49">
        <v>25</v>
      </c>
      <c r="E28" s="49">
        <f>+D28-C28</f>
        <v>-27</v>
      </c>
      <c r="F28" s="70">
        <f>IF(C28=0,0,+E28/C28)</f>
        <v>-0.51923076923076927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886</v>
      </c>
      <c r="C29" s="49">
        <v>165</v>
      </c>
      <c r="D29" s="49">
        <v>124</v>
      </c>
      <c r="E29" s="49">
        <f>+D29-C29</f>
        <v>-41</v>
      </c>
      <c r="F29" s="70">
        <f>IF(C29=0,0,+E29/C29)</f>
        <v>-0.24848484848484848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887</v>
      </c>
      <c r="C30" s="49">
        <v>204</v>
      </c>
      <c r="D30" s="49">
        <v>119</v>
      </c>
      <c r="E30" s="49">
        <f>+D30-C30</f>
        <v>-85</v>
      </c>
      <c r="F30" s="70">
        <f>IF(C30=0,0,+E30/C30)</f>
        <v>-0.41666666666666669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889</v>
      </c>
      <c r="C33" s="51">
        <v>898608</v>
      </c>
      <c r="D33" s="51">
        <v>1531753</v>
      </c>
      <c r="E33" s="51">
        <f>+D33-C33</f>
        <v>633145</v>
      </c>
      <c r="F33" s="70">
        <f>IF(C33=0,0,+E33/C33)</f>
        <v>0.70458420134252087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890</v>
      </c>
      <c r="C34" s="49">
        <v>876555</v>
      </c>
      <c r="D34" s="49">
        <v>1412824</v>
      </c>
      <c r="E34" s="49">
        <f>+D34-C34</f>
        <v>536269</v>
      </c>
      <c r="F34" s="70">
        <f>IF(C34=0,0,+E34/C34)</f>
        <v>0.61179161604234755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891</v>
      </c>
      <c r="C35" s="49">
        <v>365909</v>
      </c>
      <c r="D35" s="49">
        <v>619674</v>
      </c>
      <c r="E35" s="49">
        <f>+D35-C35</f>
        <v>253765</v>
      </c>
      <c r="F35" s="70">
        <f>IF(C35=0,0,+E35/C35)</f>
        <v>0.69351942696134827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892</v>
      </c>
      <c r="C36" s="27">
        <f>+C33+C34+C35</f>
        <v>2141072</v>
      </c>
      <c r="D36" s="27">
        <f>+D33+D34+D35</f>
        <v>3564251</v>
      </c>
      <c r="E36" s="27">
        <f>+E33+E34+E35</f>
        <v>1423179</v>
      </c>
      <c r="F36" s="28">
        <f>IF(C36=0,0,+E36/C36)</f>
        <v>0.66470394269786348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894</v>
      </c>
      <c r="C39" s="51">
        <f>+C25</f>
        <v>465816</v>
      </c>
      <c r="D39" s="51">
        <f>+D25</f>
        <v>193108</v>
      </c>
      <c r="E39" s="51">
        <f>+D39-C39</f>
        <v>-272708</v>
      </c>
      <c r="F39" s="70">
        <f>IF(C39=0,0,+E39/C39)</f>
        <v>-0.58544146186477064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895</v>
      </c>
      <c r="C40" s="49">
        <f>+C36</f>
        <v>2141072</v>
      </c>
      <c r="D40" s="49">
        <f>+D36</f>
        <v>3564251</v>
      </c>
      <c r="E40" s="49">
        <f>+D40-C40</f>
        <v>1423179</v>
      </c>
      <c r="F40" s="70">
        <f>IF(C40=0,0,+E40/C40)</f>
        <v>0.66470394269786348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896</v>
      </c>
      <c r="C41" s="27">
        <f>+C39+C40</f>
        <v>2606888</v>
      </c>
      <c r="D41" s="27">
        <f>+D39+D40</f>
        <v>3757359</v>
      </c>
      <c r="E41" s="27">
        <f>+E39+E40</f>
        <v>1150471</v>
      </c>
      <c r="F41" s="28">
        <f>IF(C41=0,0,+E41/C41)</f>
        <v>0.44131968845612085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897</v>
      </c>
      <c r="C43" s="51">
        <f t="shared" ref="C43:D45" si="0">+C22+C33</f>
        <v>1181473</v>
      </c>
      <c r="D43" s="51">
        <f t="shared" si="0"/>
        <v>1597166</v>
      </c>
      <c r="E43" s="51">
        <f>+D43-C43</f>
        <v>415693</v>
      </c>
      <c r="F43" s="70">
        <f>IF(C43=0,0,+E43/C43)</f>
        <v>0.35184299598890539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898</v>
      </c>
      <c r="C44" s="49">
        <f t="shared" si="0"/>
        <v>944152</v>
      </c>
      <c r="D44" s="49">
        <f t="shared" si="0"/>
        <v>1507391</v>
      </c>
      <c r="E44" s="49">
        <f>+D44-C44</f>
        <v>563239</v>
      </c>
      <c r="F44" s="70">
        <f>IF(C44=0,0,+E44/C44)</f>
        <v>0.59655542751590851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899</v>
      </c>
      <c r="C45" s="49">
        <f t="shared" si="0"/>
        <v>481263</v>
      </c>
      <c r="D45" s="49">
        <f t="shared" si="0"/>
        <v>652802</v>
      </c>
      <c r="E45" s="49">
        <f>+D45-C45</f>
        <v>171539</v>
      </c>
      <c r="F45" s="70">
        <f>IF(C45=0,0,+E45/C45)</f>
        <v>0.35643504694938111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896</v>
      </c>
      <c r="C46" s="27">
        <f>+C43+C44+C45</f>
        <v>2606888</v>
      </c>
      <c r="D46" s="27">
        <f>+D43+D44+D45</f>
        <v>3757359</v>
      </c>
      <c r="E46" s="27">
        <f>+E43+E44+E45</f>
        <v>1150471</v>
      </c>
      <c r="F46" s="28">
        <f>IF(C46=0,0,+E46/C46)</f>
        <v>0.44131968845612085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900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FILING&amp;RJOHNSON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617</v>
      </c>
      <c r="D9" s="35" t="s">
        <v>618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903</v>
      </c>
      <c r="D10" s="35" t="s">
        <v>903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904</v>
      </c>
      <c r="D11" s="605" t="s">
        <v>904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58453607</v>
      </c>
      <c r="D15" s="51">
        <v>58588470</v>
      </c>
      <c r="E15" s="51">
        <f>+D15-C15</f>
        <v>134863</v>
      </c>
      <c r="F15" s="70">
        <f>+E15/C15</f>
        <v>2.3071801197828562E-3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906</v>
      </c>
      <c r="C17" s="51">
        <v>27218717</v>
      </c>
      <c r="D17" s="51">
        <v>27824694</v>
      </c>
      <c r="E17" s="51">
        <f>+D17-C17</f>
        <v>605977</v>
      </c>
      <c r="F17" s="70">
        <f>+E17/C17</f>
        <v>2.2263246280124077E-2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907</v>
      </c>
      <c r="C19" s="27">
        <f>+C15-C17</f>
        <v>31234890</v>
      </c>
      <c r="D19" s="27">
        <f>+D15-D17</f>
        <v>30763776</v>
      </c>
      <c r="E19" s="27">
        <f>+D19-C19</f>
        <v>-471114</v>
      </c>
      <c r="F19" s="28">
        <f>+E19/C19</f>
        <v>-1.5082940903585702E-2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908</v>
      </c>
      <c r="C21" s="628">
        <f>+C17/C15</f>
        <v>0.46564649124219143</v>
      </c>
      <c r="D21" s="628">
        <f>+D17/D15</f>
        <v>0.47491757337237173</v>
      </c>
      <c r="E21" s="628">
        <f>+D21-C21</f>
        <v>9.271082130180297E-3</v>
      </c>
      <c r="F21" s="28">
        <f>+E21/C21</f>
        <v>1.9910129904443401E-2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FILING&amp;R&amp;12JOHNSON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910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911</v>
      </c>
      <c r="B6" s="632" t="s">
        <v>912</v>
      </c>
      <c r="C6" s="632" t="s">
        <v>913</v>
      </c>
      <c r="D6" s="632" t="s">
        <v>914</v>
      </c>
      <c r="E6" s="632" t="s">
        <v>915</v>
      </c>
    </row>
    <row r="7" spans="1:6" ht="37.5" customHeight="1" x14ac:dyDescent="0.25">
      <c r="A7" s="633" t="s">
        <v>8</v>
      </c>
      <c r="B7" s="634" t="s">
        <v>916</v>
      </c>
      <c r="C7" s="631" t="s">
        <v>917</v>
      </c>
      <c r="D7" s="631" t="s">
        <v>918</v>
      </c>
      <c r="E7" s="631" t="s">
        <v>919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920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921</v>
      </c>
      <c r="C10" s="641">
        <v>67574808</v>
      </c>
      <c r="D10" s="641">
        <v>63263065</v>
      </c>
      <c r="E10" s="641">
        <v>65614784</v>
      </c>
    </row>
    <row r="11" spans="1:6" ht="26.1" customHeight="1" x14ac:dyDescent="0.25">
      <c r="A11" s="639">
        <v>2</v>
      </c>
      <c r="B11" s="640" t="s">
        <v>922</v>
      </c>
      <c r="C11" s="641">
        <v>83805059</v>
      </c>
      <c r="D11" s="641">
        <v>85519480</v>
      </c>
      <c r="E11" s="641">
        <v>87064856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151379867</v>
      </c>
      <c r="D12" s="641">
        <f>+D11+D10</f>
        <v>148782545</v>
      </c>
      <c r="E12" s="641">
        <f>+E11+E10</f>
        <v>152679640</v>
      </c>
    </row>
    <row r="13" spans="1:6" ht="26.1" customHeight="1" x14ac:dyDescent="0.25">
      <c r="A13" s="639">
        <v>4</v>
      </c>
      <c r="B13" s="640" t="s">
        <v>496</v>
      </c>
      <c r="C13" s="641">
        <v>61336304</v>
      </c>
      <c r="D13" s="641">
        <v>59499426</v>
      </c>
      <c r="E13" s="641">
        <v>65318419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923</v>
      </c>
      <c r="C16" s="641">
        <v>67684735</v>
      </c>
      <c r="D16" s="641">
        <v>61577163</v>
      </c>
      <c r="E16" s="641">
        <v>65981058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17737</v>
      </c>
      <c r="D19" s="644">
        <v>15790</v>
      </c>
      <c r="E19" s="644">
        <v>16189</v>
      </c>
    </row>
    <row r="20" spans="1:5" ht="26.1" customHeight="1" x14ac:dyDescent="0.25">
      <c r="A20" s="639">
        <v>2</v>
      </c>
      <c r="B20" s="640" t="s">
        <v>385</v>
      </c>
      <c r="C20" s="645">
        <v>3437</v>
      </c>
      <c r="D20" s="645">
        <v>3268</v>
      </c>
      <c r="E20" s="645">
        <v>3251</v>
      </c>
    </row>
    <row r="21" spans="1:5" ht="26.1" customHeight="1" x14ac:dyDescent="0.25">
      <c r="A21" s="639">
        <v>3</v>
      </c>
      <c r="B21" s="640" t="s">
        <v>925</v>
      </c>
      <c r="C21" s="646">
        <f>IF(C20=0,0,+C19/C20)</f>
        <v>5.1606051789351177</v>
      </c>
      <c r="D21" s="646">
        <f>IF(D20=0,0,+D19/D20)</f>
        <v>4.8317013463892291</v>
      </c>
      <c r="E21" s="646">
        <f>IF(E20=0,0,+E19/E20)</f>
        <v>4.9796985542909873</v>
      </c>
    </row>
    <row r="22" spans="1:5" ht="26.1" customHeight="1" x14ac:dyDescent="0.25">
      <c r="A22" s="639">
        <v>4</v>
      </c>
      <c r="B22" s="640" t="s">
        <v>926</v>
      </c>
      <c r="C22" s="645">
        <f>IF(C10=0,0,C19*(C12/C10))</f>
        <v>39734.107731079312</v>
      </c>
      <c r="D22" s="645">
        <f>IF(D10=0,0,D19*(D12/D10))</f>
        <v>37135.038992340946</v>
      </c>
      <c r="E22" s="645">
        <f>IF(E10=0,0,E19*(E12/E10))</f>
        <v>37670.331917270349</v>
      </c>
    </row>
    <row r="23" spans="1:5" ht="26.1" customHeight="1" x14ac:dyDescent="0.25">
      <c r="A23" s="639">
        <v>0</v>
      </c>
      <c r="B23" s="640" t="s">
        <v>927</v>
      </c>
      <c r="C23" s="645">
        <f>IF(C10=0,0,C20*(C12/C10))</f>
        <v>7699.5054559237515</v>
      </c>
      <c r="D23" s="645">
        <f>IF(D10=0,0,D20*(D12/D10))</f>
        <v>7685.7066134876641</v>
      </c>
      <c r="E23" s="645">
        <f>IF(E10=0,0,E20*(E12/E10))</f>
        <v>7564.7815839796103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1.2110842304335177</v>
      </c>
      <c r="D26" s="647">
        <v>1.1539156334149328</v>
      </c>
      <c r="E26" s="647">
        <v>1.1664804675484466</v>
      </c>
    </row>
    <row r="27" spans="1:5" ht="26.1" customHeight="1" x14ac:dyDescent="0.25">
      <c r="A27" s="639">
        <v>2</v>
      </c>
      <c r="B27" s="640" t="s">
        <v>929</v>
      </c>
      <c r="C27" s="645">
        <f>C19*C26</f>
        <v>21481.000995199302</v>
      </c>
      <c r="D27" s="645">
        <f>D19*D26</f>
        <v>18220.327851621787</v>
      </c>
      <c r="E27" s="645">
        <f>E19*E26</f>
        <v>18884.152289141803</v>
      </c>
    </row>
    <row r="28" spans="1:5" ht="26.1" customHeight="1" x14ac:dyDescent="0.25">
      <c r="A28" s="639">
        <v>3</v>
      </c>
      <c r="B28" s="640" t="s">
        <v>930</v>
      </c>
      <c r="C28" s="645">
        <f>C20*C26</f>
        <v>4162.4965000000002</v>
      </c>
      <c r="D28" s="645">
        <f>D20*D26</f>
        <v>3770.99629</v>
      </c>
      <c r="E28" s="645">
        <f>E20*E26</f>
        <v>3792.2280000000001</v>
      </c>
    </row>
    <row r="29" spans="1:5" ht="26.1" customHeight="1" x14ac:dyDescent="0.25">
      <c r="A29" s="639">
        <v>4</v>
      </c>
      <c r="B29" s="640" t="s">
        <v>931</v>
      </c>
      <c r="C29" s="645">
        <f>C22*C26</f>
        <v>48121.351283456672</v>
      </c>
      <c r="D29" s="645">
        <f>D22*D26</f>
        <v>42850.702040735327</v>
      </c>
      <c r="E29" s="645">
        <f>E22*E26</f>
        <v>43941.706387562685</v>
      </c>
    </row>
    <row r="30" spans="1:5" ht="26.1" customHeight="1" x14ac:dyDescent="0.25">
      <c r="A30" s="639">
        <v>5</v>
      </c>
      <c r="B30" s="640" t="s">
        <v>932</v>
      </c>
      <c r="C30" s="645">
        <f>C23*C26</f>
        <v>9324.7496398060866</v>
      </c>
      <c r="D30" s="645">
        <f>D23*D26</f>
        <v>8868.6570151439555</v>
      </c>
      <c r="E30" s="645">
        <f>E23*E26</f>
        <v>8824.1699589824148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934</v>
      </c>
      <c r="C33" s="641">
        <f>IF(C19=0,0,C12/C19)</f>
        <v>8534.6939730506856</v>
      </c>
      <c r="D33" s="641">
        <f>IF(D19=0,0,D12/D19)</f>
        <v>9422.5804306523114</v>
      </c>
      <c r="E33" s="641">
        <f>IF(E19=0,0,E12/E19)</f>
        <v>9431.0729507690412</v>
      </c>
    </row>
    <row r="34" spans="1:5" ht="26.1" customHeight="1" x14ac:dyDescent="0.25">
      <c r="A34" s="639">
        <v>2</v>
      </c>
      <c r="B34" s="640" t="s">
        <v>935</v>
      </c>
      <c r="C34" s="641">
        <f>IF(C20=0,0,C12/C20)</f>
        <v>44044.185917951705</v>
      </c>
      <c r="D34" s="641">
        <f>IF(D20=0,0,D12/D20)</f>
        <v>45527.094553243573</v>
      </c>
      <c r="E34" s="641">
        <f>IF(E20=0,0,E12/E20)</f>
        <v>46963.900338357431</v>
      </c>
    </row>
    <row r="35" spans="1:5" ht="26.1" customHeight="1" x14ac:dyDescent="0.25">
      <c r="A35" s="639">
        <v>3</v>
      </c>
      <c r="B35" s="640" t="s">
        <v>936</v>
      </c>
      <c r="C35" s="641">
        <f>IF(C22=0,0,C12/C22)</f>
        <v>3809.8217285899532</v>
      </c>
      <c r="D35" s="641">
        <f>IF(D22=0,0,D12/D22)</f>
        <v>4006.5272324255861</v>
      </c>
      <c r="E35" s="641">
        <f>IF(E22=0,0,E12/E22)</f>
        <v>4053.0473778491573</v>
      </c>
    </row>
    <row r="36" spans="1:5" ht="26.1" customHeight="1" x14ac:dyDescent="0.25">
      <c r="A36" s="639">
        <v>4</v>
      </c>
      <c r="B36" s="640" t="s">
        <v>937</v>
      </c>
      <c r="C36" s="641">
        <f>IF(C23=0,0,C12/C23)</f>
        <v>19660.985743380857</v>
      </c>
      <c r="D36" s="641">
        <f>IF(D23=0,0,D12/D23)</f>
        <v>19358.343023255817</v>
      </c>
      <c r="E36" s="641">
        <f>IF(E23=0,0,E12/E23)</f>
        <v>20182.954167948323</v>
      </c>
    </row>
    <row r="37" spans="1:5" ht="26.1" customHeight="1" x14ac:dyDescent="0.25">
      <c r="A37" s="639">
        <v>5</v>
      </c>
      <c r="B37" s="640" t="s">
        <v>938</v>
      </c>
      <c r="C37" s="641">
        <f>IF(C29=0,0,C12/C29)</f>
        <v>3145.7941841305255</v>
      </c>
      <c r="D37" s="641">
        <f>IF(D29=0,0,D12/D29)</f>
        <v>3472.1145258848333</v>
      </c>
      <c r="E37" s="641">
        <f>IF(E29=0,0,E12/E29)</f>
        <v>3474.5951523451677</v>
      </c>
    </row>
    <row r="38" spans="1:5" ht="26.1" customHeight="1" x14ac:dyDescent="0.25">
      <c r="A38" s="639">
        <v>6</v>
      </c>
      <c r="B38" s="640" t="s">
        <v>939</v>
      </c>
      <c r="C38" s="641">
        <f>IF(C30=0,0,C12/C30)</f>
        <v>16234.201758487967</v>
      </c>
      <c r="D38" s="641">
        <f>IF(D30=0,0,D12/D30)</f>
        <v>16776.220429535348</v>
      </c>
      <c r="E38" s="641">
        <f>IF(E30=0,0,E12/E30)</f>
        <v>17302.436456879703</v>
      </c>
    </row>
    <row r="39" spans="1:5" ht="26.1" customHeight="1" x14ac:dyDescent="0.25">
      <c r="A39" s="639">
        <v>7</v>
      </c>
      <c r="B39" s="640" t="s">
        <v>940</v>
      </c>
      <c r="C39" s="641">
        <f>IF(C22=0,0,C10/C22)</f>
        <v>1700.6751090862974</v>
      </c>
      <c r="D39" s="641">
        <f>IF(D22=0,0,D10/D22)</f>
        <v>1703.5949528166088</v>
      </c>
      <c r="E39" s="641">
        <f>IF(E22=0,0,E10/E22)</f>
        <v>1741.8159241097164</v>
      </c>
    </row>
    <row r="40" spans="1:5" ht="26.1" customHeight="1" x14ac:dyDescent="0.25">
      <c r="A40" s="639">
        <v>8</v>
      </c>
      <c r="B40" s="640" t="s">
        <v>941</v>
      </c>
      <c r="C40" s="641">
        <f>IF(C23=0,0,C10/C23)</f>
        <v>8776.5127756367929</v>
      </c>
      <c r="D40" s="641">
        <f>IF(D23=0,0,D10/D23)</f>
        <v>8231.2620272259028</v>
      </c>
      <c r="E40" s="641">
        <f>IF(E23=0,0,E10/E23)</f>
        <v>8673.718239130174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943</v>
      </c>
      <c r="C43" s="641">
        <f>IF(C19=0,0,C13/C19)</f>
        <v>3458.0991148446751</v>
      </c>
      <c r="D43" s="641">
        <f>IF(D19=0,0,D13/D19)</f>
        <v>3768.1713742875236</v>
      </c>
      <c r="E43" s="641">
        <f>IF(E19=0,0,E13/E19)</f>
        <v>4034.7408116622396</v>
      </c>
    </row>
    <row r="44" spans="1:5" ht="26.1" customHeight="1" x14ac:dyDescent="0.25">
      <c r="A44" s="639">
        <v>2</v>
      </c>
      <c r="B44" s="640" t="s">
        <v>944</v>
      </c>
      <c r="C44" s="641">
        <f>IF(C20=0,0,C13/C20)</f>
        <v>17845.884201338376</v>
      </c>
      <c r="D44" s="641">
        <f>IF(D20=0,0,D13/D20)</f>
        <v>18206.678702570378</v>
      </c>
      <c r="E44" s="641">
        <f>IF(E20=0,0,E13/E20)</f>
        <v>20091.7929867733</v>
      </c>
    </row>
    <row r="45" spans="1:5" ht="26.1" customHeight="1" x14ac:dyDescent="0.25">
      <c r="A45" s="639">
        <v>3</v>
      </c>
      <c r="B45" s="640" t="s">
        <v>945</v>
      </c>
      <c r="C45" s="641">
        <f>IF(C22=0,0,C13/C22)</f>
        <v>1543.6688402599723</v>
      </c>
      <c r="D45" s="641">
        <f>IF(D22=0,0,D13/D22)</f>
        <v>1602.2448774665802</v>
      </c>
      <c r="E45" s="641">
        <f>IF(E22=0,0,E13/E22)</f>
        <v>1733.9485923152724</v>
      </c>
    </row>
    <row r="46" spans="1:5" ht="26.1" customHeight="1" x14ac:dyDescent="0.25">
      <c r="A46" s="639">
        <v>4</v>
      </c>
      <c r="B46" s="640" t="s">
        <v>946</v>
      </c>
      <c r="C46" s="641">
        <f>IF(C23=0,0,C13/C23)</f>
        <v>7966.2654116063813</v>
      </c>
      <c r="D46" s="641">
        <f>IF(D23=0,0,D13/D23)</f>
        <v>7741.5687317005204</v>
      </c>
      <c r="E46" s="641">
        <f>IF(E23=0,0,E13/E23)</f>
        <v>8634.5412983672541</v>
      </c>
    </row>
    <row r="47" spans="1:5" ht="26.1" customHeight="1" x14ac:dyDescent="0.25">
      <c r="A47" s="639">
        <v>5</v>
      </c>
      <c r="B47" s="640" t="s">
        <v>947</v>
      </c>
      <c r="C47" s="641">
        <f>IF(C29=0,0,C13/C29)</f>
        <v>1274.6172408730013</v>
      </c>
      <c r="D47" s="641">
        <f>IF(D29=0,0,D13/D29)</f>
        <v>1388.5286160174887</v>
      </c>
      <c r="E47" s="641">
        <f>IF(E29=0,0,E13/E29)</f>
        <v>1486.4788914635278</v>
      </c>
    </row>
    <row r="48" spans="1:5" ht="26.1" customHeight="1" x14ac:dyDescent="0.25">
      <c r="A48" s="639">
        <v>6</v>
      </c>
      <c r="B48" s="640" t="s">
        <v>948</v>
      </c>
      <c r="C48" s="641">
        <f>IF(C30=0,0,C13/C30)</f>
        <v>6577.7963344092013</v>
      </c>
      <c r="D48" s="641">
        <f>IF(D30=0,0,D13/D30)</f>
        <v>6708.9555835116716</v>
      </c>
      <c r="E48" s="641">
        <f>IF(E30=0,0,E13/E30)</f>
        <v>7402.2167868049983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950</v>
      </c>
      <c r="C51" s="641">
        <f>IF(C19=0,0,C16/C19)</f>
        <v>3816.0193381067825</v>
      </c>
      <c r="D51" s="641">
        <f>IF(D19=0,0,D16/D19)</f>
        <v>3899.7569981000634</v>
      </c>
      <c r="E51" s="641">
        <f>IF(E19=0,0,E16/E19)</f>
        <v>4075.672246587189</v>
      </c>
    </row>
    <row r="52" spans="1:6" ht="26.1" customHeight="1" x14ac:dyDescent="0.25">
      <c r="A52" s="639">
        <v>2</v>
      </c>
      <c r="B52" s="640" t="s">
        <v>951</v>
      </c>
      <c r="C52" s="641">
        <f>IF(C20=0,0,C16/C20)</f>
        <v>19692.969159150423</v>
      </c>
      <c r="D52" s="641">
        <f>IF(D20=0,0,D16/D20)</f>
        <v>18842.461138310893</v>
      </c>
      <c r="E52" s="641">
        <f>IF(E20=0,0,E16/E20)</f>
        <v>20295.619194094124</v>
      </c>
    </row>
    <row r="53" spans="1:6" ht="26.1" customHeight="1" x14ac:dyDescent="0.25">
      <c r="A53" s="639">
        <v>3</v>
      </c>
      <c r="B53" s="640" t="s">
        <v>952</v>
      </c>
      <c r="C53" s="641">
        <f>IF(C22=0,0,C16/C22)</f>
        <v>1703.4416742938008</v>
      </c>
      <c r="D53" s="641">
        <f>IF(D22=0,0,D16/D22)</f>
        <v>1658.1957275633995</v>
      </c>
      <c r="E53" s="641">
        <f>IF(E22=0,0,E16/E22)</f>
        <v>1751.5390664702454</v>
      </c>
    </row>
    <row r="54" spans="1:6" ht="26.1" customHeight="1" x14ac:dyDescent="0.25">
      <c r="A54" s="639">
        <v>4</v>
      </c>
      <c r="B54" s="640" t="s">
        <v>953</v>
      </c>
      <c r="C54" s="641">
        <f>IF(C23=0,0,C16/C23)</f>
        <v>8790.7899263744985</v>
      </c>
      <c r="D54" s="641">
        <f>IF(D23=0,0,D16/D23)</f>
        <v>8011.9065294449438</v>
      </c>
      <c r="E54" s="641">
        <f>IF(E23=0,0,E16/E23)</f>
        <v>8722.1365570860671</v>
      </c>
    </row>
    <row r="55" spans="1:6" ht="26.1" customHeight="1" x14ac:dyDescent="0.25">
      <c r="A55" s="639">
        <v>5</v>
      </c>
      <c r="B55" s="640" t="s">
        <v>954</v>
      </c>
      <c r="C55" s="641">
        <f>IF(C29=0,0,C16/C29)</f>
        <v>1406.5426924798119</v>
      </c>
      <c r="D55" s="641">
        <f>IF(D29=0,0,D16/D29)</f>
        <v>1437.0164330437963</v>
      </c>
      <c r="E55" s="641">
        <f>IF(E29=0,0,E16/E29)</f>
        <v>1501.5588474888032</v>
      </c>
    </row>
    <row r="56" spans="1:6" ht="26.1" customHeight="1" x14ac:dyDescent="0.25">
      <c r="A56" s="639">
        <v>6</v>
      </c>
      <c r="B56" s="640" t="s">
        <v>955</v>
      </c>
      <c r="C56" s="641">
        <f>IF(C30=0,0,C16/C30)</f>
        <v>7258.6115032046628</v>
      </c>
      <c r="D56" s="641">
        <f>IF(D30=0,0,D16/D30)</f>
        <v>6943.2342343211567</v>
      </c>
      <c r="E56" s="641">
        <f>IF(E30=0,0,E16/E30)</f>
        <v>7477.3104220228324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957</v>
      </c>
      <c r="C59" s="649">
        <v>10037829</v>
      </c>
      <c r="D59" s="649">
        <v>9407572</v>
      </c>
      <c r="E59" s="649">
        <v>9394293</v>
      </c>
    </row>
    <row r="60" spans="1:6" ht="26.1" customHeight="1" x14ac:dyDescent="0.25">
      <c r="A60" s="639">
        <v>2</v>
      </c>
      <c r="B60" s="640" t="s">
        <v>958</v>
      </c>
      <c r="C60" s="649">
        <v>3137311</v>
      </c>
      <c r="D60" s="649">
        <v>2448165</v>
      </c>
      <c r="E60" s="649">
        <v>2347211</v>
      </c>
    </row>
    <row r="61" spans="1:6" ht="26.1" customHeight="1" x14ac:dyDescent="0.25">
      <c r="A61" s="650">
        <v>3</v>
      </c>
      <c r="B61" s="651" t="s">
        <v>959</v>
      </c>
      <c r="C61" s="652">
        <f>C59+C60</f>
        <v>13175140</v>
      </c>
      <c r="D61" s="652">
        <f>D59+D60</f>
        <v>11855737</v>
      </c>
      <c r="E61" s="652">
        <f>E59+E60</f>
        <v>11741504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960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961</v>
      </c>
      <c r="C64" s="641">
        <v>692376</v>
      </c>
      <c r="D64" s="641">
        <v>0</v>
      </c>
      <c r="E64" s="649">
        <v>0</v>
      </c>
      <c r="F64" s="653"/>
    </row>
    <row r="65" spans="1:6" ht="26.1" customHeight="1" x14ac:dyDescent="0.25">
      <c r="A65" s="639">
        <v>2</v>
      </c>
      <c r="B65" s="640" t="s">
        <v>962</v>
      </c>
      <c r="C65" s="649">
        <v>216401</v>
      </c>
      <c r="D65" s="649">
        <v>0</v>
      </c>
      <c r="E65" s="649">
        <v>0</v>
      </c>
      <c r="F65" s="653"/>
    </row>
    <row r="66" spans="1:6" ht="26.1" customHeight="1" x14ac:dyDescent="0.25">
      <c r="A66" s="650">
        <v>3</v>
      </c>
      <c r="B66" s="651" t="s">
        <v>963</v>
      </c>
      <c r="C66" s="654">
        <f>C64+C65</f>
        <v>908777</v>
      </c>
      <c r="D66" s="654">
        <f>D64+D65</f>
        <v>0</v>
      </c>
      <c r="E66" s="654">
        <f>E64+E65</f>
        <v>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965</v>
      </c>
      <c r="C69" s="649">
        <v>15934731</v>
      </c>
      <c r="D69" s="649">
        <v>16801243</v>
      </c>
      <c r="E69" s="649">
        <v>17775085</v>
      </c>
    </row>
    <row r="70" spans="1:6" ht="26.1" customHeight="1" x14ac:dyDescent="0.25">
      <c r="A70" s="639">
        <v>2</v>
      </c>
      <c r="B70" s="640" t="s">
        <v>966</v>
      </c>
      <c r="C70" s="649">
        <v>5033765</v>
      </c>
      <c r="D70" s="649">
        <v>4372247</v>
      </c>
      <c r="E70" s="649">
        <v>4441193</v>
      </c>
    </row>
    <row r="71" spans="1:6" ht="26.1" customHeight="1" x14ac:dyDescent="0.25">
      <c r="A71" s="650">
        <v>3</v>
      </c>
      <c r="B71" s="651" t="s">
        <v>967</v>
      </c>
      <c r="C71" s="652">
        <f>C69+C70</f>
        <v>20968496</v>
      </c>
      <c r="D71" s="652">
        <f>D69+D70</f>
        <v>21173490</v>
      </c>
      <c r="E71" s="652">
        <f>E69+E70</f>
        <v>22216278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969</v>
      </c>
      <c r="C75" s="641">
        <f t="shared" ref="C75:E76" si="0">+C59+C64+C69</f>
        <v>26664936</v>
      </c>
      <c r="D75" s="641">
        <f t="shared" si="0"/>
        <v>26208815</v>
      </c>
      <c r="E75" s="641">
        <f t="shared" si="0"/>
        <v>27169378</v>
      </c>
    </row>
    <row r="76" spans="1:6" ht="26.1" customHeight="1" x14ac:dyDescent="0.25">
      <c r="A76" s="639">
        <v>2</v>
      </c>
      <c r="B76" s="640" t="s">
        <v>970</v>
      </c>
      <c r="C76" s="641">
        <f t="shared" si="0"/>
        <v>8387477</v>
      </c>
      <c r="D76" s="641">
        <f t="shared" si="0"/>
        <v>6820412</v>
      </c>
      <c r="E76" s="641">
        <f t="shared" si="0"/>
        <v>6788404</v>
      </c>
    </row>
    <row r="77" spans="1:6" ht="26.1" customHeight="1" x14ac:dyDescent="0.25">
      <c r="A77" s="650">
        <v>3</v>
      </c>
      <c r="B77" s="651" t="s">
        <v>968</v>
      </c>
      <c r="C77" s="654">
        <f>C75+C76</f>
        <v>35052413</v>
      </c>
      <c r="D77" s="654">
        <f>D75+D76</f>
        <v>33029227</v>
      </c>
      <c r="E77" s="654">
        <f>E75+E76</f>
        <v>33957782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125.4</v>
      </c>
      <c r="D80" s="646">
        <v>119.6</v>
      </c>
      <c r="E80" s="646">
        <v>118.7</v>
      </c>
    </row>
    <row r="81" spans="1:5" ht="26.1" customHeight="1" x14ac:dyDescent="0.25">
      <c r="A81" s="639">
        <v>2</v>
      </c>
      <c r="B81" s="640" t="s">
        <v>597</v>
      </c>
      <c r="C81" s="646">
        <v>5.9</v>
      </c>
      <c r="D81" s="646">
        <v>0</v>
      </c>
      <c r="E81" s="646">
        <v>0</v>
      </c>
    </row>
    <row r="82" spans="1:5" ht="26.1" customHeight="1" x14ac:dyDescent="0.25">
      <c r="A82" s="639">
        <v>3</v>
      </c>
      <c r="B82" s="640" t="s">
        <v>972</v>
      </c>
      <c r="C82" s="646">
        <v>344.4</v>
      </c>
      <c r="D82" s="646">
        <v>343.9</v>
      </c>
      <c r="E82" s="646">
        <v>345.5</v>
      </c>
    </row>
    <row r="83" spans="1:5" ht="26.1" customHeight="1" x14ac:dyDescent="0.25">
      <c r="A83" s="650">
        <v>4</v>
      </c>
      <c r="B83" s="651" t="s">
        <v>971</v>
      </c>
      <c r="C83" s="656">
        <f>C80+C81+C82</f>
        <v>475.7</v>
      </c>
      <c r="D83" s="656">
        <f>D80+D81+D82</f>
        <v>463.5</v>
      </c>
      <c r="E83" s="656">
        <f>E80+E81+E82</f>
        <v>464.2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974</v>
      </c>
      <c r="C86" s="649">
        <f>IF(C80=0,0,C59/C80)</f>
        <v>80046.483253588507</v>
      </c>
      <c r="D86" s="649">
        <f>IF(D80=0,0,D59/D80)</f>
        <v>78658.628762541804</v>
      </c>
      <c r="E86" s="649">
        <f>IF(E80=0,0,E59/E80)</f>
        <v>79143.159224936811</v>
      </c>
    </row>
    <row r="87" spans="1:5" ht="26.1" customHeight="1" x14ac:dyDescent="0.25">
      <c r="A87" s="639">
        <v>2</v>
      </c>
      <c r="B87" s="640" t="s">
        <v>975</v>
      </c>
      <c r="C87" s="649">
        <f>IF(C80=0,0,C60/C80)</f>
        <v>25018.429027113238</v>
      </c>
      <c r="D87" s="649">
        <f>IF(D80=0,0,D60/D80)</f>
        <v>20469.607023411372</v>
      </c>
      <c r="E87" s="649">
        <f>IF(E80=0,0,E60/E80)</f>
        <v>19774.313395113732</v>
      </c>
    </row>
    <row r="88" spans="1:5" ht="26.1" customHeight="1" x14ac:dyDescent="0.25">
      <c r="A88" s="650">
        <v>3</v>
      </c>
      <c r="B88" s="651" t="s">
        <v>976</v>
      </c>
      <c r="C88" s="652">
        <f>+C86+C87</f>
        <v>105064.91228070174</v>
      </c>
      <c r="D88" s="652">
        <f>+D86+D87</f>
        <v>99128.235785953177</v>
      </c>
      <c r="E88" s="652">
        <f>+E86+E87</f>
        <v>98917.472620050539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977</v>
      </c>
    </row>
    <row r="91" spans="1:5" ht="26.1" customHeight="1" x14ac:dyDescent="0.25">
      <c r="A91" s="639">
        <v>1</v>
      </c>
      <c r="B91" s="640" t="s">
        <v>978</v>
      </c>
      <c r="C91" s="641">
        <f>IF(C81=0,0,C64/C81)</f>
        <v>117351.86440677966</v>
      </c>
      <c r="D91" s="641">
        <f>IF(D81=0,0,D64/D81)</f>
        <v>0</v>
      </c>
      <c r="E91" s="641">
        <f>IF(E81=0,0,E64/E81)</f>
        <v>0</v>
      </c>
    </row>
    <row r="92" spans="1:5" ht="26.1" customHeight="1" x14ac:dyDescent="0.25">
      <c r="A92" s="639">
        <v>2</v>
      </c>
      <c r="B92" s="640" t="s">
        <v>979</v>
      </c>
      <c r="C92" s="641">
        <f>IF(C81=0,0,C65/C81)</f>
        <v>36678.135593220337</v>
      </c>
      <c r="D92" s="641">
        <f>IF(D81=0,0,D65/D81)</f>
        <v>0</v>
      </c>
      <c r="E92" s="641">
        <f>IF(E81=0,0,E65/E81)</f>
        <v>0</v>
      </c>
    </row>
    <row r="93" spans="1:5" ht="26.1" customHeight="1" x14ac:dyDescent="0.25">
      <c r="A93" s="650">
        <v>3</v>
      </c>
      <c r="B93" s="651" t="s">
        <v>980</v>
      </c>
      <c r="C93" s="654">
        <f>+C91+C92</f>
        <v>154030</v>
      </c>
      <c r="D93" s="654">
        <f>+D91+D92</f>
        <v>0</v>
      </c>
      <c r="E93" s="654">
        <f>+E91+E92</f>
        <v>0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981</v>
      </c>
      <c r="B95" s="642" t="s">
        <v>982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983</v>
      </c>
      <c r="C96" s="649">
        <f>IF(C82=0,0,C69/C82)</f>
        <v>46268.092334494773</v>
      </c>
      <c r="D96" s="649">
        <f>IF(D82=0,0,D69/D82)</f>
        <v>48855.024716487351</v>
      </c>
      <c r="E96" s="649">
        <f>IF(E82=0,0,E69/E82)</f>
        <v>51447.424023154847</v>
      </c>
    </row>
    <row r="97" spans="1:5" ht="26.1" customHeight="1" x14ac:dyDescent="0.25">
      <c r="A97" s="639">
        <v>2</v>
      </c>
      <c r="B97" s="640" t="s">
        <v>984</v>
      </c>
      <c r="C97" s="649">
        <f>IF(C82=0,0,C70/C82)</f>
        <v>14616.042392566784</v>
      </c>
      <c r="D97" s="649">
        <f>IF(D82=0,0,D70/D82)</f>
        <v>12713.71619656877</v>
      </c>
      <c r="E97" s="649">
        <f>IF(E82=0,0,E70/E82)</f>
        <v>12854.393632416788</v>
      </c>
    </row>
    <row r="98" spans="1:5" ht="26.1" customHeight="1" x14ac:dyDescent="0.25">
      <c r="A98" s="650">
        <v>3</v>
      </c>
      <c r="B98" s="651" t="s">
        <v>985</v>
      </c>
      <c r="C98" s="654">
        <f>+C96+C97</f>
        <v>60884.134727061559</v>
      </c>
      <c r="D98" s="654">
        <f>+D96+D97</f>
        <v>61568.740913056121</v>
      </c>
      <c r="E98" s="654">
        <f>+E96+E97</f>
        <v>64301.817655571635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986</v>
      </c>
      <c r="B100" s="642" t="s">
        <v>987</v>
      </c>
    </row>
    <row r="101" spans="1:5" ht="26.1" customHeight="1" x14ac:dyDescent="0.25">
      <c r="A101" s="639">
        <v>1</v>
      </c>
      <c r="B101" s="640" t="s">
        <v>988</v>
      </c>
      <c r="C101" s="641">
        <f>IF(C83=0,0,C75/C83)</f>
        <v>56054.101324364099</v>
      </c>
      <c r="D101" s="641">
        <f>IF(D83=0,0,D75/D83)</f>
        <v>56545.447680690399</v>
      </c>
      <c r="E101" s="641">
        <f>IF(E83=0,0,E75/E83)</f>
        <v>58529.465747522619</v>
      </c>
    </row>
    <row r="102" spans="1:5" ht="26.1" customHeight="1" x14ac:dyDescent="0.25">
      <c r="A102" s="639">
        <v>2</v>
      </c>
      <c r="B102" s="640" t="s">
        <v>989</v>
      </c>
      <c r="C102" s="658">
        <f>IF(C83=0,0,C76/C83)</f>
        <v>17631.862518393948</v>
      </c>
      <c r="D102" s="658">
        <f>IF(D83=0,0,D76/D83)</f>
        <v>14715.020496224381</v>
      </c>
      <c r="E102" s="658">
        <f>IF(E83=0,0,E76/E83)</f>
        <v>14623.87763894873</v>
      </c>
    </row>
    <row r="103" spans="1:5" ht="26.1" customHeight="1" x14ac:dyDescent="0.25">
      <c r="A103" s="650">
        <v>3</v>
      </c>
      <c r="B103" s="651" t="s">
        <v>987</v>
      </c>
      <c r="C103" s="654">
        <f>+C101+C102</f>
        <v>73685.96384275805</v>
      </c>
      <c r="D103" s="654">
        <f>+D101+D102</f>
        <v>71260.468176914786</v>
      </c>
      <c r="E103" s="654">
        <f>+E101+E102</f>
        <v>73153.343386471344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990</v>
      </c>
      <c r="B107" s="634" t="s">
        <v>991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992</v>
      </c>
      <c r="C108" s="641">
        <f>IF(C19=0,0,C77/C19)</f>
        <v>1976.2312115915881</v>
      </c>
      <c r="D108" s="641">
        <f>IF(D19=0,0,D77/D19)</f>
        <v>2091.7813172894239</v>
      </c>
      <c r="E108" s="641">
        <f>IF(E19=0,0,E77/E19)</f>
        <v>2097.5836679226636</v>
      </c>
    </row>
    <row r="109" spans="1:5" ht="26.1" customHeight="1" x14ac:dyDescent="0.25">
      <c r="A109" s="639">
        <v>2</v>
      </c>
      <c r="B109" s="640" t="s">
        <v>993</v>
      </c>
      <c r="C109" s="641">
        <f>IF(C20=0,0,C77/C20)</f>
        <v>10198.549025312774</v>
      </c>
      <c r="D109" s="641">
        <f>IF(D20=0,0,D77/D20)</f>
        <v>10106.862607099143</v>
      </c>
      <c r="E109" s="641">
        <f>IF(E20=0,0,E77/E20)</f>
        <v>10445.334358658874</v>
      </c>
    </row>
    <row r="110" spans="1:5" ht="26.1" customHeight="1" x14ac:dyDescent="0.25">
      <c r="A110" s="639">
        <v>3</v>
      </c>
      <c r="B110" s="640" t="s">
        <v>994</v>
      </c>
      <c r="C110" s="641">
        <f>IF(C22=0,0,C77/C22)</f>
        <v>882.17440887901523</v>
      </c>
      <c r="D110" s="641">
        <f>IF(D22=0,0,D77/D22)</f>
        <v>889.43563535269845</v>
      </c>
      <c r="E110" s="641">
        <f>IF(E22=0,0,E77/E22)</f>
        <v>901.44631787626236</v>
      </c>
    </row>
    <row r="111" spans="1:5" ht="26.1" customHeight="1" x14ac:dyDescent="0.25">
      <c r="A111" s="639">
        <v>4</v>
      </c>
      <c r="B111" s="640" t="s">
        <v>995</v>
      </c>
      <c r="C111" s="641">
        <f>IF(C23=0,0,C77/C23)</f>
        <v>4552.5538231850724</v>
      </c>
      <c r="D111" s="641">
        <f>IF(D23=0,0,D77/D23)</f>
        <v>4297.4873568601924</v>
      </c>
      <c r="E111" s="641">
        <f>IF(E23=0,0,E77/E23)</f>
        <v>4488.9309258993571</v>
      </c>
    </row>
    <row r="112" spans="1:5" ht="26.1" customHeight="1" x14ac:dyDescent="0.25">
      <c r="A112" s="639">
        <v>5</v>
      </c>
      <c r="B112" s="640" t="s">
        <v>996</v>
      </c>
      <c r="C112" s="641">
        <f>IF(C29=0,0,C77/C29)</f>
        <v>728.41705532177025</v>
      </c>
      <c r="D112" s="641">
        <f>IF(D29=0,0,D77/D29)</f>
        <v>770.79780323321893</v>
      </c>
      <c r="E112" s="641">
        <f>IF(E29=0,0,E77/E29)</f>
        <v>772.79160942214696</v>
      </c>
    </row>
    <row r="113" spans="1:7" ht="25.5" customHeight="1" x14ac:dyDescent="0.25">
      <c r="A113" s="639">
        <v>6</v>
      </c>
      <c r="B113" s="640" t="s">
        <v>997</v>
      </c>
      <c r="C113" s="641">
        <f>IF(C30=0,0,C77/C30)</f>
        <v>3759.0728281181964</v>
      </c>
      <c r="D113" s="641">
        <f>IF(D30=0,0,D77/D30)</f>
        <v>3724.2647836758033</v>
      </c>
      <c r="E113" s="641">
        <f>IF(E30=0,0,E77/E30)</f>
        <v>3848.2692602076695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FILING&amp;R&amp;12JOHNSON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148782545</v>
      </c>
      <c r="D12" s="51">
        <v>152679640</v>
      </c>
      <c r="E12" s="51">
        <f t="shared" ref="E12:E19" si="0">D12-C12</f>
        <v>3897095</v>
      </c>
      <c r="F12" s="70">
        <f t="shared" ref="F12:F19" si="1">IF(C12=0,0,E12/C12)</f>
        <v>2.6193227169222035E-2</v>
      </c>
    </row>
    <row r="13" spans="1:8" ht="23.1" customHeight="1" x14ac:dyDescent="0.2">
      <c r="A13" s="25">
        <v>2</v>
      </c>
      <c r="B13" s="48" t="s">
        <v>72</v>
      </c>
      <c r="C13" s="51">
        <v>88817303</v>
      </c>
      <c r="D13" s="51">
        <v>87168113</v>
      </c>
      <c r="E13" s="51">
        <f t="shared" si="0"/>
        <v>-1649190</v>
      </c>
      <c r="F13" s="70">
        <f t="shared" si="1"/>
        <v>-1.8568341351234231E-2</v>
      </c>
    </row>
    <row r="14" spans="1:8" ht="23.1" customHeight="1" x14ac:dyDescent="0.2">
      <c r="A14" s="25">
        <v>3</v>
      </c>
      <c r="B14" s="48" t="s">
        <v>73</v>
      </c>
      <c r="C14" s="51">
        <v>465816</v>
      </c>
      <c r="D14" s="51">
        <v>193108</v>
      </c>
      <c r="E14" s="51">
        <f t="shared" si="0"/>
        <v>-272708</v>
      </c>
      <c r="F14" s="70">
        <f t="shared" si="1"/>
        <v>-0.58544146186477064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59499426</v>
      </c>
      <c r="D16" s="27">
        <f>D12-D13-D14-D15</f>
        <v>65318419</v>
      </c>
      <c r="E16" s="27">
        <f t="shared" si="0"/>
        <v>5818993</v>
      </c>
      <c r="F16" s="28">
        <f t="shared" si="1"/>
        <v>9.7799145154778472E-2</v>
      </c>
    </row>
    <row r="17" spans="1:7" ht="23.1" customHeight="1" x14ac:dyDescent="0.2">
      <c r="A17" s="25">
        <v>5</v>
      </c>
      <c r="B17" s="48" t="s">
        <v>76</v>
      </c>
      <c r="C17" s="51">
        <v>589869</v>
      </c>
      <c r="D17" s="51">
        <v>257382</v>
      </c>
      <c r="E17" s="51">
        <f t="shared" si="0"/>
        <v>-332487</v>
      </c>
      <c r="F17" s="70">
        <f t="shared" si="1"/>
        <v>-0.56366244030454216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33994</v>
      </c>
      <c r="D18" s="51">
        <v>25552</v>
      </c>
      <c r="E18" s="51">
        <f t="shared" si="0"/>
        <v>-8442</v>
      </c>
      <c r="F18" s="70">
        <f t="shared" si="1"/>
        <v>-0.24833794198976289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60123289</v>
      </c>
      <c r="D19" s="27">
        <f>SUM(D16:D18)</f>
        <v>65601353</v>
      </c>
      <c r="E19" s="27">
        <f t="shared" si="0"/>
        <v>5478064</v>
      </c>
      <c r="F19" s="28">
        <f t="shared" si="1"/>
        <v>9.1113844420587176E-2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26208815</v>
      </c>
      <c r="D22" s="51">
        <v>27169378</v>
      </c>
      <c r="E22" s="51">
        <f t="shared" ref="E22:E31" si="2">D22-C22</f>
        <v>960563</v>
      </c>
      <c r="F22" s="70">
        <f t="shared" ref="F22:F31" si="3">IF(C22=0,0,E22/C22)</f>
        <v>3.6650378889697986E-2</v>
      </c>
    </row>
    <row r="23" spans="1:7" ht="23.1" customHeight="1" x14ac:dyDescent="0.2">
      <c r="A23" s="25">
        <v>2</v>
      </c>
      <c r="B23" s="48" t="s">
        <v>81</v>
      </c>
      <c r="C23" s="51">
        <v>6820412</v>
      </c>
      <c r="D23" s="51">
        <v>6788404</v>
      </c>
      <c r="E23" s="51">
        <f t="shared" si="2"/>
        <v>-32008</v>
      </c>
      <c r="F23" s="70">
        <f t="shared" si="3"/>
        <v>-4.6929716269339741E-3</v>
      </c>
    </row>
    <row r="24" spans="1:7" ht="23.1" customHeight="1" x14ac:dyDescent="0.2">
      <c r="A24" s="25">
        <v>3</v>
      </c>
      <c r="B24" s="48" t="s">
        <v>82</v>
      </c>
      <c r="C24" s="51">
        <v>485260</v>
      </c>
      <c r="D24" s="51">
        <v>961569</v>
      </c>
      <c r="E24" s="51">
        <f t="shared" si="2"/>
        <v>476309</v>
      </c>
      <c r="F24" s="70">
        <f t="shared" si="3"/>
        <v>0.98155421835716938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6448817</v>
      </c>
      <c r="D25" s="51">
        <v>6460003</v>
      </c>
      <c r="E25" s="51">
        <f t="shared" si="2"/>
        <v>11186</v>
      </c>
      <c r="F25" s="70">
        <f t="shared" si="3"/>
        <v>1.7345817070014548E-3</v>
      </c>
    </row>
    <row r="26" spans="1:7" ht="23.1" customHeight="1" x14ac:dyDescent="0.2">
      <c r="A26" s="25">
        <v>5</v>
      </c>
      <c r="B26" s="48" t="s">
        <v>84</v>
      </c>
      <c r="C26" s="51">
        <v>3243262</v>
      </c>
      <c r="D26" s="51">
        <v>3178071</v>
      </c>
      <c r="E26" s="51">
        <f t="shared" si="2"/>
        <v>-65191</v>
      </c>
      <c r="F26" s="70">
        <f t="shared" si="3"/>
        <v>-2.0100442085776604E-2</v>
      </c>
    </row>
    <row r="27" spans="1:7" ht="23.1" customHeight="1" x14ac:dyDescent="0.2">
      <c r="A27" s="25">
        <v>6</v>
      </c>
      <c r="B27" s="48" t="s">
        <v>85</v>
      </c>
      <c r="C27" s="51">
        <v>1928135</v>
      </c>
      <c r="D27" s="51">
        <v>3564251</v>
      </c>
      <c r="E27" s="51">
        <f t="shared" si="2"/>
        <v>1636116</v>
      </c>
      <c r="F27" s="70">
        <f t="shared" si="3"/>
        <v>0.84854846781993998</v>
      </c>
    </row>
    <row r="28" spans="1:7" ht="23.1" customHeight="1" x14ac:dyDescent="0.2">
      <c r="A28" s="25">
        <v>7</v>
      </c>
      <c r="B28" s="48" t="s">
        <v>86</v>
      </c>
      <c r="C28" s="51">
        <v>1480694</v>
      </c>
      <c r="D28" s="51">
        <v>1495715</v>
      </c>
      <c r="E28" s="51">
        <f t="shared" si="2"/>
        <v>15021</v>
      </c>
      <c r="F28" s="70">
        <f t="shared" si="3"/>
        <v>1.0144567344772114E-2</v>
      </c>
    </row>
    <row r="29" spans="1:7" ht="23.1" customHeight="1" x14ac:dyDescent="0.2">
      <c r="A29" s="25">
        <v>8</v>
      </c>
      <c r="B29" s="48" t="s">
        <v>87</v>
      </c>
      <c r="C29" s="51">
        <v>729896</v>
      </c>
      <c r="D29" s="51">
        <v>736725</v>
      </c>
      <c r="E29" s="51">
        <f t="shared" si="2"/>
        <v>6829</v>
      </c>
      <c r="F29" s="70">
        <f t="shared" si="3"/>
        <v>9.3561274482940032E-3</v>
      </c>
    </row>
    <row r="30" spans="1:7" ht="23.1" customHeight="1" x14ac:dyDescent="0.2">
      <c r="A30" s="25">
        <v>9</v>
      </c>
      <c r="B30" s="48" t="s">
        <v>88</v>
      </c>
      <c r="C30" s="51">
        <v>14231872</v>
      </c>
      <c r="D30" s="51">
        <v>15626942</v>
      </c>
      <c r="E30" s="51">
        <f t="shared" si="2"/>
        <v>1395070</v>
      </c>
      <c r="F30" s="70">
        <f t="shared" si="3"/>
        <v>9.8024349853624321E-2</v>
      </c>
    </row>
    <row r="31" spans="1:7" ht="23.1" customHeight="1" x14ac:dyDescent="0.25">
      <c r="A31" s="29"/>
      <c r="B31" s="71" t="s">
        <v>89</v>
      </c>
      <c r="C31" s="27">
        <f>SUM(C22:C30)</f>
        <v>61577163</v>
      </c>
      <c r="D31" s="27">
        <f>SUM(D22:D30)</f>
        <v>65981058</v>
      </c>
      <c r="E31" s="27">
        <f t="shared" si="2"/>
        <v>4403895</v>
      </c>
      <c r="F31" s="28">
        <f t="shared" si="3"/>
        <v>7.1518315970484053E-2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-1453874</v>
      </c>
      <c r="D33" s="27">
        <f>+D19-D31</f>
        <v>-379705</v>
      </c>
      <c r="E33" s="27">
        <f>D33-C33</f>
        <v>1074169</v>
      </c>
      <c r="F33" s="28">
        <f>IF(C33=0,0,E33/C33)</f>
        <v>-0.73883225093783922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111148</v>
      </c>
      <c r="D36" s="51">
        <v>427261</v>
      </c>
      <c r="E36" s="51">
        <f>D36-C36</f>
        <v>316113</v>
      </c>
      <c r="F36" s="70">
        <f>IF(C36=0,0,E36/C36)</f>
        <v>2.8440727678410767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3200</v>
      </c>
      <c r="E38" s="51">
        <f>D38-C38</f>
        <v>3200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111148</v>
      </c>
      <c r="D39" s="27">
        <f>SUM(D36:D38)</f>
        <v>430461</v>
      </c>
      <c r="E39" s="27">
        <f>D39-C39</f>
        <v>319313</v>
      </c>
      <c r="F39" s="28">
        <f>IF(C39=0,0,E39/C39)</f>
        <v>2.8728632094144744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-1342726</v>
      </c>
      <c r="D41" s="27">
        <f>D33+D39</f>
        <v>50756</v>
      </c>
      <c r="E41" s="27">
        <f>D41-C41</f>
        <v>1393482</v>
      </c>
      <c r="F41" s="28">
        <f>IF(C41=0,0,E41/C41)</f>
        <v>-1.0378007128781299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1094678</v>
      </c>
      <c r="D45" s="51">
        <v>0</v>
      </c>
      <c r="E45" s="51">
        <f>D45-C45</f>
        <v>-1094678</v>
      </c>
      <c r="F45" s="70">
        <f>IF(C45=0,0,E45/C45)</f>
        <v>-1</v>
      </c>
    </row>
    <row r="46" spans="1:6" ht="23.1" customHeight="1" x14ac:dyDescent="0.25">
      <c r="A46" s="20"/>
      <c r="B46" s="74" t="s">
        <v>100</v>
      </c>
      <c r="C46" s="27">
        <f>SUM(C44:C45)</f>
        <v>1094678</v>
      </c>
      <c r="D46" s="27">
        <f>SUM(D44:D45)</f>
        <v>0</v>
      </c>
      <c r="E46" s="27">
        <f>D46-C46</f>
        <v>-1094678</v>
      </c>
      <c r="F46" s="28">
        <f>IF(C46=0,0,E46/C46)</f>
        <v>-1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-248048</v>
      </c>
      <c r="D48" s="27">
        <f>D41+D46</f>
        <v>50756</v>
      </c>
      <c r="E48" s="27">
        <f>D48-C48</f>
        <v>298804</v>
      </c>
      <c r="F48" s="28">
        <f>IF(C48=0,0,E48/C48)</f>
        <v>-1.2046216861252661</v>
      </c>
    </row>
    <row r="49" spans="1:6" ht="23.1" customHeight="1" x14ac:dyDescent="0.2">
      <c r="A49" s="44"/>
      <c r="B49" s="48" t="s">
        <v>102</v>
      </c>
      <c r="C49" s="51">
        <v>423393</v>
      </c>
      <c r="D49" s="51">
        <v>437603</v>
      </c>
      <c r="E49" s="51">
        <f>D49-C49</f>
        <v>14210</v>
      </c>
      <c r="F49" s="70">
        <f>IF(C49=0,0,E49/C49)</f>
        <v>3.3562198713724602E-2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FILING&amp;RJOHNSON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32238275</v>
      </c>
      <c r="D14" s="97">
        <v>31435866</v>
      </c>
      <c r="E14" s="97">
        <f t="shared" ref="E14:E25" si="0">D14-C14</f>
        <v>-802409</v>
      </c>
      <c r="F14" s="98">
        <f t="shared" ref="F14:F25" si="1">IF(C14=0,0,E14/C14)</f>
        <v>-2.4889948361070807E-2</v>
      </c>
    </row>
    <row r="15" spans="1:6" ht="18" customHeight="1" x14ac:dyDescent="0.25">
      <c r="A15" s="99">
        <v>2</v>
      </c>
      <c r="B15" s="100" t="s">
        <v>113</v>
      </c>
      <c r="C15" s="97">
        <v>7310781</v>
      </c>
      <c r="D15" s="97">
        <v>8288629</v>
      </c>
      <c r="E15" s="97">
        <f t="shared" si="0"/>
        <v>977848</v>
      </c>
      <c r="F15" s="98">
        <f t="shared" si="1"/>
        <v>0.13375424595539109</v>
      </c>
    </row>
    <row r="16" spans="1:6" ht="18" customHeight="1" x14ac:dyDescent="0.25">
      <c r="A16" s="99">
        <v>3</v>
      </c>
      <c r="B16" s="100" t="s">
        <v>114</v>
      </c>
      <c r="C16" s="97">
        <v>4140803</v>
      </c>
      <c r="D16" s="97">
        <v>8496248</v>
      </c>
      <c r="E16" s="97">
        <f t="shared" si="0"/>
        <v>4355445</v>
      </c>
      <c r="F16" s="98">
        <f t="shared" si="1"/>
        <v>1.0518358395702476</v>
      </c>
    </row>
    <row r="17" spans="1:6" ht="18" customHeight="1" x14ac:dyDescent="0.25">
      <c r="A17" s="99">
        <v>4</v>
      </c>
      <c r="B17" s="100" t="s">
        <v>115</v>
      </c>
      <c r="C17" s="97">
        <v>4424570</v>
      </c>
      <c r="D17" s="97">
        <v>1492140</v>
      </c>
      <c r="E17" s="97">
        <f t="shared" si="0"/>
        <v>-2932430</v>
      </c>
      <c r="F17" s="98">
        <f t="shared" si="1"/>
        <v>-0.66276044903798559</v>
      </c>
    </row>
    <row r="18" spans="1:6" ht="18" customHeight="1" x14ac:dyDescent="0.25">
      <c r="A18" s="99">
        <v>5</v>
      </c>
      <c r="B18" s="100" t="s">
        <v>116</v>
      </c>
      <c r="C18" s="97">
        <v>400272</v>
      </c>
      <c r="D18" s="97">
        <v>342847</v>
      </c>
      <c r="E18" s="97">
        <f t="shared" si="0"/>
        <v>-57425</v>
      </c>
      <c r="F18" s="98">
        <f t="shared" si="1"/>
        <v>-0.14346494383819003</v>
      </c>
    </row>
    <row r="19" spans="1:6" ht="18" customHeight="1" x14ac:dyDescent="0.25">
      <c r="A19" s="99">
        <v>6</v>
      </c>
      <c r="B19" s="100" t="s">
        <v>117</v>
      </c>
      <c r="C19" s="97">
        <v>289102</v>
      </c>
      <c r="D19" s="97">
        <v>650971</v>
      </c>
      <c r="E19" s="97">
        <f t="shared" si="0"/>
        <v>361869</v>
      </c>
      <c r="F19" s="98">
        <f t="shared" si="1"/>
        <v>1.2517000920090486</v>
      </c>
    </row>
    <row r="20" spans="1:6" ht="18" customHeight="1" x14ac:dyDescent="0.25">
      <c r="A20" s="99">
        <v>7</v>
      </c>
      <c r="B20" s="100" t="s">
        <v>118</v>
      </c>
      <c r="C20" s="97">
        <v>13703932</v>
      </c>
      <c r="D20" s="97">
        <v>13621109</v>
      </c>
      <c r="E20" s="97">
        <f t="shared" si="0"/>
        <v>-82823</v>
      </c>
      <c r="F20" s="98">
        <f t="shared" si="1"/>
        <v>-6.0437398551014413E-3</v>
      </c>
    </row>
    <row r="21" spans="1:6" ht="18" customHeight="1" x14ac:dyDescent="0.25">
      <c r="A21" s="99">
        <v>8</v>
      </c>
      <c r="B21" s="100" t="s">
        <v>119</v>
      </c>
      <c r="C21" s="97">
        <v>101466</v>
      </c>
      <c r="D21" s="97">
        <v>164923</v>
      </c>
      <c r="E21" s="97">
        <f t="shared" si="0"/>
        <v>63457</v>
      </c>
      <c r="F21" s="98">
        <f t="shared" si="1"/>
        <v>0.62540161236276193</v>
      </c>
    </row>
    <row r="22" spans="1:6" ht="18" customHeight="1" x14ac:dyDescent="0.25">
      <c r="A22" s="99">
        <v>9</v>
      </c>
      <c r="B22" s="100" t="s">
        <v>120</v>
      </c>
      <c r="C22" s="97">
        <v>653864</v>
      </c>
      <c r="D22" s="97">
        <v>1122051</v>
      </c>
      <c r="E22" s="97">
        <f t="shared" si="0"/>
        <v>468187</v>
      </c>
      <c r="F22" s="98">
        <f t="shared" si="1"/>
        <v>0.71603116244356624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63263065</v>
      </c>
      <c r="D25" s="103">
        <f>SUM(D14:D24)</f>
        <v>65614784</v>
      </c>
      <c r="E25" s="103">
        <f t="shared" si="0"/>
        <v>2351719</v>
      </c>
      <c r="F25" s="104">
        <f t="shared" si="1"/>
        <v>3.7173649427197371E-2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22583294</v>
      </c>
      <c r="D27" s="97">
        <v>22226566</v>
      </c>
      <c r="E27" s="97">
        <f t="shared" ref="E27:E38" si="2">D27-C27</f>
        <v>-356728</v>
      </c>
      <c r="F27" s="98">
        <f t="shared" ref="F27:F38" si="3">IF(C27=0,0,E27/C27)</f>
        <v>-1.5796101312766861E-2</v>
      </c>
    </row>
    <row r="28" spans="1:6" ht="18" customHeight="1" x14ac:dyDescent="0.25">
      <c r="A28" s="99">
        <v>2</v>
      </c>
      <c r="B28" s="100" t="s">
        <v>113</v>
      </c>
      <c r="C28" s="97">
        <v>6591509</v>
      </c>
      <c r="D28" s="97">
        <v>7013892</v>
      </c>
      <c r="E28" s="97">
        <f t="shared" si="2"/>
        <v>422383</v>
      </c>
      <c r="F28" s="98">
        <f t="shared" si="3"/>
        <v>6.4079863958313638E-2</v>
      </c>
    </row>
    <row r="29" spans="1:6" ht="18" customHeight="1" x14ac:dyDescent="0.25">
      <c r="A29" s="99">
        <v>3</v>
      </c>
      <c r="B29" s="100" t="s">
        <v>114</v>
      </c>
      <c r="C29" s="97">
        <v>4795982</v>
      </c>
      <c r="D29" s="97">
        <v>12129986</v>
      </c>
      <c r="E29" s="97">
        <f t="shared" si="2"/>
        <v>7334004</v>
      </c>
      <c r="F29" s="98">
        <f t="shared" si="3"/>
        <v>1.5291975657957015</v>
      </c>
    </row>
    <row r="30" spans="1:6" ht="18" customHeight="1" x14ac:dyDescent="0.25">
      <c r="A30" s="99">
        <v>4</v>
      </c>
      <c r="B30" s="100" t="s">
        <v>115</v>
      </c>
      <c r="C30" s="97">
        <v>7254770</v>
      </c>
      <c r="D30" s="97">
        <v>2122969</v>
      </c>
      <c r="E30" s="97">
        <f t="shared" si="2"/>
        <v>-5131801</v>
      </c>
      <c r="F30" s="98">
        <f t="shared" si="3"/>
        <v>-0.70736922052663287</v>
      </c>
    </row>
    <row r="31" spans="1:6" ht="18" customHeight="1" x14ac:dyDescent="0.25">
      <c r="A31" s="99">
        <v>5</v>
      </c>
      <c r="B31" s="100" t="s">
        <v>116</v>
      </c>
      <c r="C31" s="97">
        <v>588682</v>
      </c>
      <c r="D31" s="97">
        <v>542027</v>
      </c>
      <c r="E31" s="97">
        <f t="shared" si="2"/>
        <v>-46655</v>
      </c>
      <c r="F31" s="98">
        <f t="shared" si="3"/>
        <v>-7.9253315032564275E-2</v>
      </c>
    </row>
    <row r="32" spans="1:6" ht="18" customHeight="1" x14ac:dyDescent="0.25">
      <c r="A32" s="99">
        <v>6</v>
      </c>
      <c r="B32" s="100" t="s">
        <v>117</v>
      </c>
      <c r="C32" s="97">
        <v>754767</v>
      </c>
      <c r="D32" s="97">
        <v>1612386</v>
      </c>
      <c r="E32" s="97">
        <f t="shared" si="2"/>
        <v>857619</v>
      </c>
      <c r="F32" s="98">
        <f t="shared" si="3"/>
        <v>1.136269868714451</v>
      </c>
    </row>
    <row r="33" spans="1:6" ht="18" customHeight="1" x14ac:dyDescent="0.25">
      <c r="A33" s="99">
        <v>7</v>
      </c>
      <c r="B33" s="100" t="s">
        <v>118</v>
      </c>
      <c r="C33" s="97">
        <v>38814632</v>
      </c>
      <c r="D33" s="97">
        <v>36870444</v>
      </c>
      <c r="E33" s="97">
        <f t="shared" si="2"/>
        <v>-1944188</v>
      </c>
      <c r="F33" s="98">
        <f t="shared" si="3"/>
        <v>-5.0089048892695928E-2</v>
      </c>
    </row>
    <row r="34" spans="1:6" ht="18" customHeight="1" x14ac:dyDescent="0.25">
      <c r="A34" s="99">
        <v>8</v>
      </c>
      <c r="B34" s="100" t="s">
        <v>119</v>
      </c>
      <c r="C34" s="97">
        <v>2197783</v>
      </c>
      <c r="D34" s="97">
        <v>2475667</v>
      </c>
      <c r="E34" s="97">
        <f t="shared" si="2"/>
        <v>277884</v>
      </c>
      <c r="F34" s="98">
        <f t="shared" si="3"/>
        <v>0.12643832443876396</v>
      </c>
    </row>
    <row r="35" spans="1:6" ht="18" customHeight="1" x14ac:dyDescent="0.25">
      <c r="A35" s="99">
        <v>9</v>
      </c>
      <c r="B35" s="100" t="s">
        <v>120</v>
      </c>
      <c r="C35" s="97">
        <v>1938061</v>
      </c>
      <c r="D35" s="97">
        <v>2070919</v>
      </c>
      <c r="E35" s="97">
        <f t="shared" si="2"/>
        <v>132858</v>
      </c>
      <c r="F35" s="98">
        <f t="shared" si="3"/>
        <v>6.8552021840385835E-2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85519480</v>
      </c>
      <c r="D38" s="103">
        <f>SUM(D27:D37)</f>
        <v>87064856</v>
      </c>
      <c r="E38" s="103">
        <f t="shared" si="2"/>
        <v>1545376</v>
      </c>
      <c r="F38" s="104">
        <f t="shared" si="3"/>
        <v>1.8070455994353567E-2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54821569</v>
      </c>
      <c r="D41" s="103">
        <f t="shared" si="4"/>
        <v>53662432</v>
      </c>
      <c r="E41" s="107">
        <f t="shared" ref="E41:E52" si="5">D41-C41</f>
        <v>-1159137</v>
      </c>
      <c r="F41" s="108">
        <f t="shared" ref="F41:F52" si="6">IF(C41=0,0,E41/C41)</f>
        <v>-2.1143812939757343E-2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13902290</v>
      </c>
      <c r="D42" s="103">
        <f t="shared" si="4"/>
        <v>15302521</v>
      </c>
      <c r="E42" s="107">
        <f t="shared" si="5"/>
        <v>1400231</v>
      </c>
      <c r="F42" s="108">
        <f t="shared" si="6"/>
        <v>0.10071944981726032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8936785</v>
      </c>
      <c r="D43" s="103">
        <f t="shared" si="4"/>
        <v>20626234</v>
      </c>
      <c r="E43" s="107">
        <f t="shared" si="5"/>
        <v>11689449</v>
      </c>
      <c r="F43" s="108">
        <f t="shared" si="6"/>
        <v>1.3080150188238835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11679340</v>
      </c>
      <c r="D44" s="103">
        <f t="shared" si="4"/>
        <v>3615109</v>
      </c>
      <c r="E44" s="107">
        <f t="shared" si="5"/>
        <v>-8064231</v>
      </c>
      <c r="F44" s="108">
        <f t="shared" si="6"/>
        <v>-0.69046975257163501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988954</v>
      </c>
      <c r="D45" s="103">
        <f t="shared" si="4"/>
        <v>884874</v>
      </c>
      <c r="E45" s="107">
        <f t="shared" si="5"/>
        <v>-104080</v>
      </c>
      <c r="F45" s="108">
        <f t="shared" si="6"/>
        <v>-0.10524250875167096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1043869</v>
      </c>
      <c r="D46" s="103">
        <f t="shared" si="4"/>
        <v>2263357</v>
      </c>
      <c r="E46" s="107">
        <f t="shared" si="5"/>
        <v>1219488</v>
      </c>
      <c r="F46" s="108">
        <f t="shared" si="6"/>
        <v>1.1682385433421243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52518564</v>
      </c>
      <c r="D47" s="103">
        <f t="shared" si="4"/>
        <v>50491553</v>
      </c>
      <c r="E47" s="107">
        <f t="shared" si="5"/>
        <v>-2027011</v>
      </c>
      <c r="F47" s="108">
        <f t="shared" si="6"/>
        <v>-3.8596085757409512E-2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2299249</v>
      </c>
      <c r="D48" s="103">
        <f t="shared" si="4"/>
        <v>2640590</v>
      </c>
      <c r="E48" s="107">
        <f t="shared" si="5"/>
        <v>341341</v>
      </c>
      <c r="F48" s="108">
        <f t="shared" si="6"/>
        <v>0.14845760507017727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2591925</v>
      </c>
      <c r="D49" s="103">
        <f t="shared" si="4"/>
        <v>3192970</v>
      </c>
      <c r="E49" s="107">
        <f t="shared" si="5"/>
        <v>601045</v>
      </c>
      <c r="F49" s="108">
        <f t="shared" si="6"/>
        <v>0.23189135488102472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148782545</v>
      </c>
      <c r="D52" s="112">
        <f>SUM(D41:D51)</f>
        <v>152679640</v>
      </c>
      <c r="E52" s="111">
        <f t="shared" si="5"/>
        <v>3897095</v>
      </c>
      <c r="F52" s="113">
        <f t="shared" si="6"/>
        <v>2.6193227169222035E-2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11191228</v>
      </c>
      <c r="D57" s="97">
        <v>10737352</v>
      </c>
      <c r="E57" s="97">
        <f t="shared" ref="E57:E68" si="7">D57-C57</f>
        <v>-453876</v>
      </c>
      <c r="F57" s="98">
        <f t="shared" ref="F57:F68" si="8">IF(C57=0,0,E57/C57)</f>
        <v>-4.0556407214650619E-2</v>
      </c>
    </row>
    <row r="58" spans="1:6" ht="18" customHeight="1" x14ac:dyDescent="0.25">
      <c r="A58" s="99">
        <v>2</v>
      </c>
      <c r="B58" s="100" t="s">
        <v>113</v>
      </c>
      <c r="C58" s="97">
        <v>3554102</v>
      </c>
      <c r="D58" s="97">
        <v>4275568</v>
      </c>
      <c r="E58" s="97">
        <f t="shared" si="7"/>
        <v>721466</v>
      </c>
      <c r="F58" s="98">
        <f t="shared" si="8"/>
        <v>0.20299529951588333</v>
      </c>
    </row>
    <row r="59" spans="1:6" ht="18" customHeight="1" x14ac:dyDescent="0.25">
      <c r="A59" s="99">
        <v>3</v>
      </c>
      <c r="B59" s="100" t="s">
        <v>114</v>
      </c>
      <c r="C59" s="97">
        <v>522842</v>
      </c>
      <c r="D59" s="97">
        <v>2977074</v>
      </c>
      <c r="E59" s="97">
        <f t="shared" si="7"/>
        <v>2454232</v>
      </c>
      <c r="F59" s="98">
        <f t="shared" si="8"/>
        <v>4.6940222858913403</v>
      </c>
    </row>
    <row r="60" spans="1:6" ht="18" customHeight="1" x14ac:dyDescent="0.25">
      <c r="A60" s="99">
        <v>4</v>
      </c>
      <c r="B60" s="100" t="s">
        <v>115</v>
      </c>
      <c r="C60" s="97">
        <v>2035784</v>
      </c>
      <c r="D60" s="97">
        <v>408364</v>
      </c>
      <c r="E60" s="97">
        <f t="shared" si="7"/>
        <v>-1627420</v>
      </c>
      <c r="F60" s="98">
        <f t="shared" si="8"/>
        <v>-0.79940700978099832</v>
      </c>
    </row>
    <row r="61" spans="1:6" ht="18" customHeight="1" x14ac:dyDescent="0.25">
      <c r="A61" s="99">
        <v>5</v>
      </c>
      <c r="B61" s="100" t="s">
        <v>116</v>
      </c>
      <c r="C61" s="97">
        <v>152747</v>
      </c>
      <c r="D61" s="97">
        <v>152368</v>
      </c>
      <c r="E61" s="97">
        <f t="shared" si="7"/>
        <v>-379</v>
      </c>
      <c r="F61" s="98">
        <f t="shared" si="8"/>
        <v>-2.4812271272103546E-3</v>
      </c>
    </row>
    <row r="62" spans="1:6" ht="18" customHeight="1" x14ac:dyDescent="0.25">
      <c r="A62" s="99">
        <v>6</v>
      </c>
      <c r="B62" s="100" t="s">
        <v>117</v>
      </c>
      <c r="C62" s="97">
        <v>195488</v>
      </c>
      <c r="D62" s="97">
        <v>478514</v>
      </c>
      <c r="E62" s="97">
        <f t="shared" si="7"/>
        <v>283026</v>
      </c>
      <c r="F62" s="98">
        <f t="shared" si="8"/>
        <v>1.4477921918480929</v>
      </c>
    </row>
    <row r="63" spans="1:6" ht="18" customHeight="1" x14ac:dyDescent="0.25">
      <c r="A63" s="99">
        <v>7</v>
      </c>
      <c r="B63" s="100" t="s">
        <v>118</v>
      </c>
      <c r="C63" s="97">
        <v>7143085</v>
      </c>
      <c r="D63" s="97">
        <v>7909766</v>
      </c>
      <c r="E63" s="97">
        <f t="shared" si="7"/>
        <v>766681</v>
      </c>
      <c r="F63" s="98">
        <f t="shared" si="8"/>
        <v>0.10733191611187604</v>
      </c>
    </row>
    <row r="64" spans="1:6" ht="18" customHeight="1" x14ac:dyDescent="0.25">
      <c r="A64" s="99">
        <v>8</v>
      </c>
      <c r="B64" s="100" t="s">
        <v>119</v>
      </c>
      <c r="C64" s="97">
        <v>37208</v>
      </c>
      <c r="D64" s="97">
        <v>87647</v>
      </c>
      <c r="E64" s="97">
        <f t="shared" si="7"/>
        <v>50439</v>
      </c>
      <c r="F64" s="98">
        <f t="shared" si="8"/>
        <v>1.3555955708449796</v>
      </c>
    </row>
    <row r="65" spans="1:6" ht="18" customHeight="1" x14ac:dyDescent="0.25">
      <c r="A65" s="99">
        <v>9</v>
      </c>
      <c r="B65" s="100" t="s">
        <v>120</v>
      </c>
      <c r="C65" s="97">
        <v>55783</v>
      </c>
      <c r="D65" s="97">
        <v>14045</v>
      </c>
      <c r="E65" s="97">
        <f t="shared" si="7"/>
        <v>-41738</v>
      </c>
      <c r="F65" s="98">
        <f t="shared" si="8"/>
        <v>-0.74822078410985426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24888267</v>
      </c>
      <c r="D68" s="103">
        <f>SUM(D57:D67)</f>
        <v>27040698</v>
      </c>
      <c r="E68" s="103">
        <f t="shared" si="7"/>
        <v>2152431</v>
      </c>
      <c r="F68" s="104">
        <f t="shared" si="8"/>
        <v>8.6483763614397094E-2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5593446</v>
      </c>
      <c r="D70" s="97">
        <v>6028770</v>
      </c>
      <c r="E70" s="97">
        <f t="shared" ref="E70:E81" si="9">D70-C70</f>
        <v>435324</v>
      </c>
      <c r="F70" s="98">
        <f t="shared" ref="F70:F81" si="10">IF(C70=0,0,E70/C70)</f>
        <v>7.7827514559003524E-2</v>
      </c>
    </row>
    <row r="71" spans="1:6" ht="18" customHeight="1" x14ac:dyDescent="0.25">
      <c r="A71" s="99">
        <v>2</v>
      </c>
      <c r="B71" s="100" t="s">
        <v>113</v>
      </c>
      <c r="C71" s="97">
        <v>1692060</v>
      </c>
      <c r="D71" s="97">
        <v>3628043</v>
      </c>
      <c r="E71" s="97">
        <f t="shared" si="9"/>
        <v>1935983</v>
      </c>
      <c r="F71" s="98">
        <f t="shared" si="10"/>
        <v>1.1441574175856648</v>
      </c>
    </row>
    <row r="72" spans="1:6" ht="18" customHeight="1" x14ac:dyDescent="0.25">
      <c r="A72" s="99">
        <v>3</v>
      </c>
      <c r="B72" s="100" t="s">
        <v>114</v>
      </c>
      <c r="C72" s="97">
        <v>1090983</v>
      </c>
      <c r="D72" s="97">
        <v>2392306</v>
      </c>
      <c r="E72" s="97">
        <f t="shared" si="9"/>
        <v>1301323</v>
      </c>
      <c r="F72" s="98">
        <f t="shared" si="10"/>
        <v>1.1927986045612076</v>
      </c>
    </row>
    <row r="73" spans="1:6" ht="18" customHeight="1" x14ac:dyDescent="0.25">
      <c r="A73" s="99">
        <v>4</v>
      </c>
      <c r="B73" s="100" t="s">
        <v>115</v>
      </c>
      <c r="C73" s="97">
        <v>1867045</v>
      </c>
      <c r="D73" s="97">
        <v>1318507</v>
      </c>
      <c r="E73" s="97">
        <f t="shared" si="9"/>
        <v>-548538</v>
      </c>
      <c r="F73" s="98">
        <f t="shared" si="10"/>
        <v>-0.29380009587342565</v>
      </c>
    </row>
    <row r="74" spans="1:6" ht="18" customHeight="1" x14ac:dyDescent="0.25">
      <c r="A74" s="99">
        <v>5</v>
      </c>
      <c r="B74" s="100" t="s">
        <v>116</v>
      </c>
      <c r="C74" s="97">
        <v>236977</v>
      </c>
      <c r="D74" s="97">
        <v>157690</v>
      </c>
      <c r="E74" s="97">
        <f t="shared" si="9"/>
        <v>-79287</v>
      </c>
      <c r="F74" s="98">
        <f t="shared" si="10"/>
        <v>-0.33457677327335567</v>
      </c>
    </row>
    <row r="75" spans="1:6" ht="18" customHeight="1" x14ac:dyDescent="0.25">
      <c r="A75" s="99">
        <v>6</v>
      </c>
      <c r="B75" s="100" t="s">
        <v>117</v>
      </c>
      <c r="C75" s="97">
        <v>514717</v>
      </c>
      <c r="D75" s="97">
        <v>1182046</v>
      </c>
      <c r="E75" s="97">
        <f t="shared" si="9"/>
        <v>667329</v>
      </c>
      <c r="F75" s="98">
        <f t="shared" si="10"/>
        <v>1.2964969099524593</v>
      </c>
    </row>
    <row r="76" spans="1:6" ht="18" customHeight="1" x14ac:dyDescent="0.25">
      <c r="A76" s="99">
        <v>7</v>
      </c>
      <c r="B76" s="100" t="s">
        <v>118</v>
      </c>
      <c r="C76" s="97">
        <v>21819473</v>
      </c>
      <c r="D76" s="97">
        <v>19533782</v>
      </c>
      <c r="E76" s="97">
        <f t="shared" si="9"/>
        <v>-2285691</v>
      </c>
      <c r="F76" s="98">
        <f t="shared" si="10"/>
        <v>-0.10475463820780639</v>
      </c>
    </row>
    <row r="77" spans="1:6" ht="18" customHeight="1" x14ac:dyDescent="0.25">
      <c r="A77" s="99">
        <v>8</v>
      </c>
      <c r="B77" s="100" t="s">
        <v>119</v>
      </c>
      <c r="C77" s="97">
        <v>1321666</v>
      </c>
      <c r="D77" s="97">
        <v>1449734</v>
      </c>
      <c r="E77" s="97">
        <f t="shared" si="9"/>
        <v>128068</v>
      </c>
      <c r="F77" s="98">
        <f t="shared" si="10"/>
        <v>9.6898913946488752E-2</v>
      </c>
    </row>
    <row r="78" spans="1:6" ht="18" customHeight="1" x14ac:dyDescent="0.25">
      <c r="A78" s="99">
        <v>9</v>
      </c>
      <c r="B78" s="100" t="s">
        <v>120</v>
      </c>
      <c r="C78" s="97">
        <v>147470</v>
      </c>
      <c r="D78" s="97">
        <v>108242</v>
      </c>
      <c r="E78" s="97">
        <f t="shared" si="9"/>
        <v>-39228</v>
      </c>
      <c r="F78" s="98">
        <f t="shared" si="10"/>
        <v>-0.26600664541940733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34283837</v>
      </c>
      <c r="D81" s="103">
        <f>SUM(D70:D80)</f>
        <v>35799120</v>
      </c>
      <c r="E81" s="103">
        <f t="shared" si="9"/>
        <v>1515283</v>
      </c>
      <c r="F81" s="104">
        <f t="shared" si="10"/>
        <v>4.4198174200863222E-2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16784674</v>
      </c>
      <c r="D84" s="103">
        <f t="shared" si="11"/>
        <v>16766122</v>
      </c>
      <c r="E84" s="103">
        <f t="shared" ref="E84:E95" si="12">D84-C84</f>
        <v>-18552</v>
      </c>
      <c r="F84" s="104">
        <f t="shared" ref="F84:F95" si="13">IF(C84=0,0,E84/C84)</f>
        <v>-1.1052940319245998E-3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5246162</v>
      </c>
      <c r="D85" s="103">
        <f t="shared" si="11"/>
        <v>7903611</v>
      </c>
      <c r="E85" s="103">
        <f t="shared" si="12"/>
        <v>2657449</v>
      </c>
      <c r="F85" s="104">
        <f t="shared" si="13"/>
        <v>0.50655107486196571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1613825</v>
      </c>
      <c r="D86" s="103">
        <f t="shared" si="11"/>
        <v>5369380</v>
      </c>
      <c r="E86" s="103">
        <f t="shared" si="12"/>
        <v>3755555</v>
      </c>
      <c r="F86" s="104">
        <f t="shared" si="13"/>
        <v>2.32711415426084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3902829</v>
      </c>
      <c r="D87" s="103">
        <f t="shared" si="11"/>
        <v>1726871</v>
      </c>
      <c r="E87" s="103">
        <f t="shared" si="12"/>
        <v>-2175958</v>
      </c>
      <c r="F87" s="104">
        <f t="shared" si="13"/>
        <v>-0.55753352247818189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389724</v>
      </c>
      <c r="D88" s="103">
        <f t="shared" si="11"/>
        <v>310058</v>
      </c>
      <c r="E88" s="103">
        <f t="shared" si="12"/>
        <v>-79666</v>
      </c>
      <c r="F88" s="104">
        <f t="shared" si="13"/>
        <v>-0.20441645882727263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710205</v>
      </c>
      <c r="D89" s="103">
        <f t="shared" si="11"/>
        <v>1660560</v>
      </c>
      <c r="E89" s="103">
        <f t="shared" si="12"/>
        <v>950355</v>
      </c>
      <c r="F89" s="104">
        <f t="shared" si="13"/>
        <v>1.3381418041269775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28962558</v>
      </c>
      <c r="D90" s="103">
        <f t="shared" si="11"/>
        <v>27443548</v>
      </c>
      <c r="E90" s="103">
        <f t="shared" si="12"/>
        <v>-1519010</v>
      </c>
      <c r="F90" s="104">
        <f t="shared" si="13"/>
        <v>-5.2447370152871167E-2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1358874</v>
      </c>
      <c r="D91" s="103">
        <f t="shared" si="11"/>
        <v>1537381</v>
      </c>
      <c r="E91" s="103">
        <f t="shared" si="12"/>
        <v>178507</v>
      </c>
      <c r="F91" s="104">
        <f t="shared" si="13"/>
        <v>0.13136390864789524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203253</v>
      </c>
      <c r="D92" s="103">
        <f t="shared" si="11"/>
        <v>122287</v>
      </c>
      <c r="E92" s="103">
        <f t="shared" si="12"/>
        <v>-80966</v>
      </c>
      <c r="F92" s="104">
        <f t="shared" si="13"/>
        <v>-0.39835082385007847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59172104</v>
      </c>
      <c r="D95" s="112">
        <f>SUM(D84:D94)</f>
        <v>62839818</v>
      </c>
      <c r="E95" s="112">
        <f t="shared" si="12"/>
        <v>3667714</v>
      </c>
      <c r="F95" s="113">
        <f t="shared" si="13"/>
        <v>6.1983836167123614E-2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1347</v>
      </c>
      <c r="D100" s="117">
        <v>1271</v>
      </c>
      <c r="E100" s="117">
        <f t="shared" ref="E100:E111" si="14">D100-C100</f>
        <v>-76</v>
      </c>
      <c r="F100" s="98">
        <f t="shared" ref="F100:F111" si="15">IF(C100=0,0,E100/C100)</f>
        <v>-5.6421677802524127E-2</v>
      </c>
    </row>
    <row r="101" spans="1:6" ht="18" customHeight="1" x14ac:dyDescent="0.25">
      <c r="A101" s="99">
        <v>2</v>
      </c>
      <c r="B101" s="100" t="s">
        <v>113</v>
      </c>
      <c r="C101" s="117">
        <v>269</v>
      </c>
      <c r="D101" s="117">
        <v>330</v>
      </c>
      <c r="E101" s="117">
        <f t="shared" si="14"/>
        <v>61</v>
      </c>
      <c r="F101" s="98">
        <f t="shared" si="15"/>
        <v>0.22676579925650558</v>
      </c>
    </row>
    <row r="102" spans="1:6" ht="18" customHeight="1" x14ac:dyDescent="0.25">
      <c r="A102" s="99">
        <v>3</v>
      </c>
      <c r="B102" s="100" t="s">
        <v>114</v>
      </c>
      <c r="C102" s="117">
        <v>216</v>
      </c>
      <c r="D102" s="117">
        <v>539</v>
      </c>
      <c r="E102" s="117">
        <f t="shared" si="14"/>
        <v>323</v>
      </c>
      <c r="F102" s="98">
        <f t="shared" si="15"/>
        <v>1.4953703703703705</v>
      </c>
    </row>
    <row r="103" spans="1:6" ht="18" customHeight="1" x14ac:dyDescent="0.25">
      <c r="A103" s="99">
        <v>4</v>
      </c>
      <c r="B103" s="100" t="s">
        <v>115</v>
      </c>
      <c r="C103" s="117">
        <v>427</v>
      </c>
      <c r="D103" s="117">
        <v>107</v>
      </c>
      <c r="E103" s="117">
        <f t="shared" si="14"/>
        <v>-320</v>
      </c>
      <c r="F103" s="98">
        <f t="shared" si="15"/>
        <v>-0.74941451990632324</v>
      </c>
    </row>
    <row r="104" spans="1:6" ht="18" customHeight="1" x14ac:dyDescent="0.25">
      <c r="A104" s="99">
        <v>5</v>
      </c>
      <c r="B104" s="100" t="s">
        <v>116</v>
      </c>
      <c r="C104" s="117">
        <v>30</v>
      </c>
      <c r="D104" s="117">
        <v>19</v>
      </c>
      <c r="E104" s="117">
        <f t="shared" si="14"/>
        <v>-11</v>
      </c>
      <c r="F104" s="98">
        <f t="shared" si="15"/>
        <v>-0.36666666666666664</v>
      </c>
    </row>
    <row r="105" spans="1:6" ht="18" customHeight="1" x14ac:dyDescent="0.25">
      <c r="A105" s="99">
        <v>6</v>
      </c>
      <c r="B105" s="100" t="s">
        <v>117</v>
      </c>
      <c r="C105" s="117">
        <v>18</v>
      </c>
      <c r="D105" s="117">
        <v>43</v>
      </c>
      <c r="E105" s="117">
        <f t="shared" si="14"/>
        <v>25</v>
      </c>
      <c r="F105" s="98">
        <f t="shared" si="15"/>
        <v>1.3888888888888888</v>
      </c>
    </row>
    <row r="106" spans="1:6" ht="18" customHeight="1" x14ac:dyDescent="0.25">
      <c r="A106" s="99">
        <v>7</v>
      </c>
      <c r="B106" s="100" t="s">
        <v>118</v>
      </c>
      <c r="C106" s="117">
        <v>903</v>
      </c>
      <c r="D106" s="117">
        <v>858</v>
      </c>
      <c r="E106" s="117">
        <f t="shared" si="14"/>
        <v>-45</v>
      </c>
      <c r="F106" s="98">
        <f t="shared" si="15"/>
        <v>-4.9833887043189369E-2</v>
      </c>
    </row>
    <row r="107" spans="1:6" ht="18" customHeight="1" x14ac:dyDescent="0.25">
      <c r="A107" s="99">
        <v>8</v>
      </c>
      <c r="B107" s="100" t="s">
        <v>119</v>
      </c>
      <c r="C107" s="117">
        <v>6</v>
      </c>
      <c r="D107" s="117">
        <v>8</v>
      </c>
      <c r="E107" s="117">
        <f t="shared" si="14"/>
        <v>2</v>
      </c>
      <c r="F107" s="98">
        <f t="shared" si="15"/>
        <v>0.33333333333333331</v>
      </c>
    </row>
    <row r="108" spans="1:6" ht="18" customHeight="1" x14ac:dyDescent="0.25">
      <c r="A108" s="99">
        <v>9</v>
      </c>
      <c r="B108" s="100" t="s">
        <v>120</v>
      </c>
      <c r="C108" s="117">
        <v>52</v>
      </c>
      <c r="D108" s="117">
        <v>76</v>
      </c>
      <c r="E108" s="117">
        <f t="shared" si="14"/>
        <v>24</v>
      </c>
      <c r="F108" s="98">
        <f t="shared" si="15"/>
        <v>0.46153846153846156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3268</v>
      </c>
      <c r="D111" s="118">
        <f>SUM(D100:D110)</f>
        <v>3251</v>
      </c>
      <c r="E111" s="118">
        <f t="shared" si="14"/>
        <v>-17</v>
      </c>
      <c r="F111" s="104">
        <f t="shared" si="15"/>
        <v>-5.2019583843329253E-3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7689</v>
      </c>
      <c r="D113" s="117">
        <v>7475</v>
      </c>
      <c r="E113" s="117">
        <f t="shared" ref="E113:E124" si="16">D113-C113</f>
        <v>-214</v>
      </c>
      <c r="F113" s="98">
        <f t="shared" ref="F113:F124" si="17">IF(C113=0,0,E113/C113)</f>
        <v>-2.7831967746130837E-2</v>
      </c>
    </row>
    <row r="114" spans="1:6" ht="18" customHeight="1" x14ac:dyDescent="0.25">
      <c r="A114" s="99">
        <v>2</v>
      </c>
      <c r="B114" s="100" t="s">
        <v>113</v>
      </c>
      <c r="C114" s="117">
        <v>1491</v>
      </c>
      <c r="D114" s="117">
        <v>1767</v>
      </c>
      <c r="E114" s="117">
        <f t="shared" si="16"/>
        <v>276</v>
      </c>
      <c r="F114" s="98">
        <f t="shared" si="17"/>
        <v>0.18511066398390341</v>
      </c>
    </row>
    <row r="115" spans="1:6" ht="18" customHeight="1" x14ac:dyDescent="0.25">
      <c r="A115" s="99">
        <v>3</v>
      </c>
      <c r="B115" s="100" t="s">
        <v>114</v>
      </c>
      <c r="C115" s="117">
        <v>1312</v>
      </c>
      <c r="D115" s="117">
        <v>2426</v>
      </c>
      <c r="E115" s="117">
        <f t="shared" si="16"/>
        <v>1114</v>
      </c>
      <c r="F115" s="98">
        <f t="shared" si="17"/>
        <v>0.84908536585365857</v>
      </c>
    </row>
    <row r="116" spans="1:6" ht="18" customHeight="1" x14ac:dyDescent="0.25">
      <c r="A116" s="99">
        <v>4</v>
      </c>
      <c r="B116" s="100" t="s">
        <v>115</v>
      </c>
      <c r="C116" s="117">
        <v>1501</v>
      </c>
      <c r="D116" s="117">
        <v>478</v>
      </c>
      <c r="E116" s="117">
        <f t="shared" si="16"/>
        <v>-1023</v>
      </c>
      <c r="F116" s="98">
        <f t="shared" si="17"/>
        <v>-0.68154563624250497</v>
      </c>
    </row>
    <row r="117" spans="1:6" ht="18" customHeight="1" x14ac:dyDescent="0.25">
      <c r="A117" s="99">
        <v>5</v>
      </c>
      <c r="B117" s="100" t="s">
        <v>116</v>
      </c>
      <c r="C117" s="117">
        <v>93</v>
      </c>
      <c r="D117" s="117">
        <v>92</v>
      </c>
      <c r="E117" s="117">
        <f t="shared" si="16"/>
        <v>-1</v>
      </c>
      <c r="F117" s="98">
        <f t="shared" si="17"/>
        <v>-1.0752688172043012E-2</v>
      </c>
    </row>
    <row r="118" spans="1:6" ht="18" customHeight="1" x14ac:dyDescent="0.25">
      <c r="A118" s="99">
        <v>6</v>
      </c>
      <c r="B118" s="100" t="s">
        <v>117</v>
      </c>
      <c r="C118" s="117">
        <v>91</v>
      </c>
      <c r="D118" s="117">
        <v>190</v>
      </c>
      <c r="E118" s="117">
        <f t="shared" si="16"/>
        <v>99</v>
      </c>
      <c r="F118" s="98">
        <f t="shared" si="17"/>
        <v>1.0879120879120878</v>
      </c>
    </row>
    <row r="119" spans="1:6" ht="18" customHeight="1" x14ac:dyDescent="0.25">
      <c r="A119" s="99">
        <v>7</v>
      </c>
      <c r="B119" s="100" t="s">
        <v>118</v>
      </c>
      <c r="C119" s="117">
        <v>3422</v>
      </c>
      <c r="D119" s="117">
        <v>3417</v>
      </c>
      <c r="E119" s="117">
        <f t="shared" si="16"/>
        <v>-5</v>
      </c>
      <c r="F119" s="98">
        <f t="shared" si="17"/>
        <v>-1.4611338398597311E-3</v>
      </c>
    </row>
    <row r="120" spans="1:6" ht="18" customHeight="1" x14ac:dyDescent="0.25">
      <c r="A120" s="99">
        <v>8</v>
      </c>
      <c r="B120" s="100" t="s">
        <v>119</v>
      </c>
      <c r="C120" s="117">
        <v>22</v>
      </c>
      <c r="D120" s="117">
        <v>26</v>
      </c>
      <c r="E120" s="117">
        <f t="shared" si="16"/>
        <v>4</v>
      </c>
      <c r="F120" s="98">
        <f t="shared" si="17"/>
        <v>0.18181818181818182</v>
      </c>
    </row>
    <row r="121" spans="1:6" ht="18" customHeight="1" x14ac:dyDescent="0.25">
      <c r="A121" s="99">
        <v>9</v>
      </c>
      <c r="B121" s="100" t="s">
        <v>120</v>
      </c>
      <c r="C121" s="117">
        <v>169</v>
      </c>
      <c r="D121" s="117">
        <v>318</v>
      </c>
      <c r="E121" s="117">
        <f t="shared" si="16"/>
        <v>149</v>
      </c>
      <c r="F121" s="98">
        <f t="shared" si="17"/>
        <v>0.88165680473372776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15790</v>
      </c>
      <c r="D124" s="118">
        <f>SUM(D113:D123)</f>
        <v>16189</v>
      </c>
      <c r="E124" s="118">
        <f t="shared" si="16"/>
        <v>399</v>
      </c>
      <c r="F124" s="104">
        <f t="shared" si="17"/>
        <v>2.526915769474351E-2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23735</v>
      </c>
      <c r="D126" s="117">
        <v>23135</v>
      </c>
      <c r="E126" s="117">
        <f t="shared" ref="E126:E137" si="18">D126-C126</f>
        <v>-600</v>
      </c>
      <c r="F126" s="98">
        <f t="shared" ref="F126:F137" si="19">IF(C126=0,0,E126/C126)</f>
        <v>-2.5279123657046557E-2</v>
      </c>
    </row>
    <row r="127" spans="1:6" ht="18" customHeight="1" x14ac:dyDescent="0.25">
      <c r="A127" s="99">
        <v>2</v>
      </c>
      <c r="B127" s="100" t="s">
        <v>113</v>
      </c>
      <c r="C127" s="117">
        <v>7172</v>
      </c>
      <c r="D127" s="117">
        <v>7676</v>
      </c>
      <c r="E127" s="117">
        <f t="shared" si="18"/>
        <v>504</v>
      </c>
      <c r="F127" s="98">
        <f t="shared" si="19"/>
        <v>7.0273284997211374E-2</v>
      </c>
    </row>
    <row r="128" spans="1:6" ht="18" customHeight="1" x14ac:dyDescent="0.25">
      <c r="A128" s="99">
        <v>3</v>
      </c>
      <c r="B128" s="100" t="s">
        <v>114</v>
      </c>
      <c r="C128" s="117">
        <v>3435</v>
      </c>
      <c r="D128" s="117">
        <v>8985</v>
      </c>
      <c r="E128" s="117">
        <f t="shared" si="18"/>
        <v>5550</v>
      </c>
      <c r="F128" s="98">
        <f t="shared" si="19"/>
        <v>1.6157205240174672</v>
      </c>
    </row>
    <row r="129" spans="1:6" ht="18" customHeight="1" x14ac:dyDescent="0.25">
      <c r="A129" s="99">
        <v>4</v>
      </c>
      <c r="B129" s="100" t="s">
        <v>115</v>
      </c>
      <c r="C129" s="117">
        <v>7004</v>
      </c>
      <c r="D129" s="117">
        <v>2010</v>
      </c>
      <c r="E129" s="117">
        <f t="shared" si="18"/>
        <v>-4994</v>
      </c>
      <c r="F129" s="98">
        <f t="shared" si="19"/>
        <v>-0.71302113078241003</v>
      </c>
    </row>
    <row r="130" spans="1:6" ht="18" customHeight="1" x14ac:dyDescent="0.25">
      <c r="A130" s="99">
        <v>5</v>
      </c>
      <c r="B130" s="100" t="s">
        <v>116</v>
      </c>
      <c r="C130" s="117">
        <v>522</v>
      </c>
      <c r="D130" s="117">
        <v>524</v>
      </c>
      <c r="E130" s="117">
        <f t="shared" si="18"/>
        <v>2</v>
      </c>
      <c r="F130" s="98">
        <f t="shared" si="19"/>
        <v>3.8314176245210726E-3</v>
      </c>
    </row>
    <row r="131" spans="1:6" ht="18" customHeight="1" x14ac:dyDescent="0.25">
      <c r="A131" s="99">
        <v>6</v>
      </c>
      <c r="B131" s="100" t="s">
        <v>117</v>
      </c>
      <c r="C131" s="117">
        <v>571</v>
      </c>
      <c r="D131" s="117">
        <v>1018</v>
      </c>
      <c r="E131" s="117">
        <f t="shared" si="18"/>
        <v>447</v>
      </c>
      <c r="F131" s="98">
        <f t="shared" si="19"/>
        <v>0.78283712784588444</v>
      </c>
    </row>
    <row r="132" spans="1:6" ht="18" customHeight="1" x14ac:dyDescent="0.25">
      <c r="A132" s="99">
        <v>7</v>
      </c>
      <c r="B132" s="100" t="s">
        <v>118</v>
      </c>
      <c r="C132" s="117">
        <v>35040</v>
      </c>
      <c r="D132" s="117">
        <v>35746</v>
      </c>
      <c r="E132" s="117">
        <f t="shared" si="18"/>
        <v>706</v>
      </c>
      <c r="F132" s="98">
        <f t="shared" si="19"/>
        <v>2.014840182648402E-2</v>
      </c>
    </row>
    <row r="133" spans="1:6" ht="18" customHeight="1" x14ac:dyDescent="0.25">
      <c r="A133" s="99">
        <v>8</v>
      </c>
      <c r="B133" s="100" t="s">
        <v>119</v>
      </c>
      <c r="C133" s="117">
        <v>1389</v>
      </c>
      <c r="D133" s="117">
        <v>1506</v>
      </c>
      <c r="E133" s="117">
        <f t="shared" si="18"/>
        <v>117</v>
      </c>
      <c r="F133" s="98">
        <f t="shared" si="19"/>
        <v>8.4233261339092869E-2</v>
      </c>
    </row>
    <row r="134" spans="1:6" ht="18" customHeight="1" x14ac:dyDescent="0.25">
      <c r="A134" s="99">
        <v>9</v>
      </c>
      <c r="B134" s="100" t="s">
        <v>120</v>
      </c>
      <c r="C134" s="117">
        <v>1895</v>
      </c>
      <c r="D134" s="117">
        <v>1951</v>
      </c>
      <c r="E134" s="117">
        <f t="shared" si="18"/>
        <v>56</v>
      </c>
      <c r="F134" s="98">
        <f t="shared" si="19"/>
        <v>2.9551451187335091E-2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80763</v>
      </c>
      <c r="D137" s="118">
        <f>SUM(D126:D136)</f>
        <v>82551</v>
      </c>
      <c r="E137" s="118">
        <f t="shared" si="18"/>
        <v>1788</v>
      </c>
      <c r="F137" s="104">
        <f t="shared" si="19"/>
        <v>2.2138850711340589E-2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5183053</v>
      </c>
      <c r="D142" s="97">
        <v>4900784</v>
      </c>
      <c r="E142" s="97">
        <f t="shared" ref="E142:E153" si="20">D142-C142</f>
        <v>-282269</v>
      </c>
      <c r="F142" s="98">
        <f t="shared" ref="F142:F153" si="21">IF(C142=0,0,E142/C142)</f>
        <v>-5.4459987192876473E-2</v>
      </c>
    </row>
    <row r="143" spans="1:6" ht="18" customHeight="1" x14ac:dyDescent="0.25">
      <c r="A143" s="99">
        <v>2</v>
      </c>
      <c r="B143" s="100" t="s">
        <v>113</v>
      </c>
      <c r="C143" s="97">
        <v>1148377</v>
      </c>
      <c r="D143" s="97">
        <v>1330444</v>
      </c>
      <c r="E143" s="97">
        <f t="shared" si="20"/>
        <v>182067</v>
      </c>
      <c r="F143" s="98">
        <f t="shared" si="21"/>
        <v>0.15854288269444616</v>
      </c>
    </row>
    <row r="144" spans="1:6" ht="18" customHeight="1" x14ac:dyDescent="0.25">
      <c r="A144" s="99">
        <v>3</v>
      </c>
      <c r="B144" s="100" t="s">
        <v>114</v>
      </c>
      <c r="C144" s="97">
        <v>2620574</v>
      </c>
      <c r="D144" s="97">
        <v>6584825</v>
      </c>
      <c r="E144" s="97">
        <f t="shared" si="20"/>
        <v>3964251</v>
      </c>
      <c r="F144" s="98">
        <f t="shared" si="21"/>
        <v>1.5127414833544102</v>
      </c>
    </row>
    <row r="145" spans="1:6" ht="18" customHeight="1" x14ac:dyDescent="0.25">
      <c r="A145" s="99">
        <v>4</v>
      </c>
      <c r="B145" s="100" t="s">
        <v>115</v>
      </c>
      <c r="C145" s="97">
        <v>3333229</v>
      </c>
      <c r="D145" s="97">
        <v>1130485</v>
      </c>
      <c r="E145" s="97">
        <f t="shared" si="20"/>
        <v>-2202744</v>
      </c>
      <c r="F145" s="98">
        <f t="shared" si="21"/>
        <v>-0.66084388441358211</v>
      </c>
    </row>
    <row r="146" spans="1:6" ht="18" customHeight="1" x14ac:dyDescent="0.25">
      <c r="A146" s="99">
        <v>5</v>
      </c>
      <c r="B146" s="100" t="s">
        <v>116</v>
      </c>
      <c r="C146" s="97">
        <v>218757</v>
      </c>
      <c r="D146" s="97">
        <v>278462</v>
      </c>
      <c r="E146" s="97">
        <f t="shared" si="20"/>
        <v>59705</v>
      </c>
      <c r="F146" s="98">
        <f t="shared" si="21"/>
        <v>0.27292840914805011</v>
      </c>
    </row>
    <row r="147" spans="1:6" ht="18" customHeight="1" x14ac:dyDescent="0.25">
      <c r="A147" s="99">
        <v>6</v>
      </c>
      <c r="B147" s="100" t="s">
        <v>117</v>
      </c>
      <c r="C147" s="97">
        <v>277689</v>
      </c>
      <c r="D147" s="97">
        <v>287663</v>
      </c>
      <c r="E147" s="97">
        <f t="shared" si="20"/>
        <v>9974</v>
      </c>
      <c r="F147" s="98">
        <f t="shared" si="21"/>
        <v>3.5917879354241615E-2</v>
      </c>
    </row>
    <row r="148" spans="1:6" ht="18" customHeight="1" x14ac:dyDescent="0.25">
      <c r="A148" s="99">
        <v>7</v>
      </c>
      <c r="B148" s="100" t="s">
        <v>118</v>
      </c>
      <c r="C148" s="97">
        <v>10106210</v>
      </c>
      <c r="D148" s="97">
        <v>9676733</v>
      </c>
      <c r="E148" s="97">
        <f t="shared" si="20"/>
        <v>-429477</v>
      </c>
      <c r="F148" s="98">
        <f t="shared" si="21"/>
        <v>-4.2496346305885196E-2</v>
      </c>
    </row>
    <row r="149" spans="1:6" ht="18" customHeight="1" x14ac:dyDescent="0.25">
      <c r="A149" s="99">
        <v>8</v>
      </c>
      <c r="B149" s="100" t="s">
        <v>119</v>
      </c>
      <c r="C149" s="97">
        <v>599123</v>
      </c>
      <c r="D149" s="97">
        <v>604198</v>
      </c>
      <c r="E149" s="97">
        <f t="shared" si="20"/>
        <v>5075</v>
      </c>
      <c r="F149" s="98">
        <f t="shared" si="21"/>
        <v>8.4707146946453402E-3</v>
      </c>
    </row>
    <row r="150" spans="1:6" ht="18" customHeight="1" x14ac:dyDescent="0.25">
      <c r="A150" s="99">
        <v>9</v>
      </c>
      <c r="B150" s="100" t="s">
        <v>120</v>
      </c>
      <c r="C150" s="97">
        <v>1553078</v>
      </c>
      <c r="D150" s="97">
        <v>1750994</v>
      </c>
      <c r="E150" s="97">
        <f t="shared" si="20"/>
        <v>197916</v>
      </c>
      <c r="F150" s="98">
        <f t="shared" si="21"/>
        <v>0.12743468132315311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25040090</v>
      </c>
      <c r="D153" s="103">
        <f>SUM(D142:D152)</f>
        <v>26544588</v>
      </c>
      <c r="E153" s="103">
        <f t="shared" si="20"/>
        <v>1504498</v>
      </c>
      <c r="F153" s="104">
        <f t="shared" si="21"/>
        <v>6.0083569987168579E-2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1377070</v>
      </c>
      <c r="D155" s="97">
        <v>1324558</v>
      </c>
      <c r="E155" s="97">
        <f t="shared" ref="E155:E166" si="22">D155-C155</f>
        <v>-52512</v>
      </c>
      <c r="F155" s="98">
        <f t="shared" ref="F155:F166" si="23">IF(C155=0,0,E155/C155)</f>
        <v>-3.8133137748988792E-2</v>
      </c>
    </row>
    <row r="156" spans="1:6" ht="18" customHeight="1" x14ac:dyDescent="0.25">
      <c r="A156" s="99">
        <v>2</v>
      </c>
      <c r="B156" s="100" t="s">
        <v>113</v>
      </c>
      <c r="C156" s="97">
        <v>311002</v>
      </c>
      <c r="D156" s="97">
        <v>336555</v>
      </c>
      <c r="E156" s="97">
        <f t="shared" si="22"/>
        <v>25553</v>
      </c>
      <c r="F156" s="98">
        <f t="shared" si="23"/>
        <v>8.2163458755892246E-2</v>
      </c>
    </row>
    <row r="157" spans="1:6" ht="18" customHeight="1" x14ac:dyDescent="0.25">
      <c r="A157" s="99">
        <v>3</v>
      </c>
      <c r="B157" s="100" t="s">
        <v>114</v>
      </c>
      <c r="C157" s="97">
        <v>670059</v>
      </c>
      <c r="D157" s="97">
        <v>1426242</v>
      </c>
      <c r="E157" s="97">
        <f t="shared" si="22"/>
        <v>756183</v>
      </c>
      <c r="F157" s="98">
        <f t="shared" si="23"/>
        <v>1.1285319650956109</v>
      </c>
    </row>
    <row r="158" spans="1:6" ht="18" customHeight="1" x14ac:dyDescent="0.25">
      <c r="A158" s="99">
        <v>4</v>
      </c>
      <c r="B158" s="100" t="s">
        <v>115</v>
      </c>
      <c r="C158" s="97">
        <v>944606</v>
      </c>
      <c r="D158" s="97">
        <v>210962</v>
      </c>
      <c r="E158" s="97">
        <f t="shared" si="22"/>
        <v>-733644</v>
      </c>
      <c r="F158" s="98">
        <f t="shared" si="23"/>
        <v>-0.77666667372428289</v>
      </c>
    </row>
    <row r="159" spans="1:6" ht="18" customHeight="1" x14ac:dyDescent="0.25">
      <c r="A159" s="99">
        <v>5</v>
      </c>
      <c r="B159" s="100" t="s">
        <v>116</v>
      </c>
      <c r="C159" s="97">
        <v>92864</v>
      </c>
      <c r="D159" s="97">
        <v>71963</v>
      </c>
      <c r="E159" s="97">
        <f t="shared" si="22"/>
        <v>-20901</v>
      </c>
      <c r="F159" s="98">
        <f t="shared" si="23"/>
        <v>-0.22507107167470711</v>
      </c>
    </row>
    <row r="160" spans="1:6" ht="18" customHeight="1" x14ac:dyDescent="0.25">
      <c r="A160" s="99">
        <v>6</v>
      </c>
      <c r="B160" s="100" t="s">
        <v>117</v>
      </c>
      <c r="C160" s="97">
        <v>206839</v>
      </c>
      <c r="D160" s="97">
        <v>177057</v>
      </c>
      <c r="E160" s="97">
        <f t="shared" si="22"/>
        <v>-29782</v>
      </c>
      <c r="F160" s="98">
        <f t="shared" si="23"/>
        <v>-0.14398638554624613</v>
      </c>
    </row>
    <row r="161" spans="1:6" ht="18" customHeight="1" x14ac:dyDescent="0.25">
      <c r="A161" s="99">
        <v>7</v>
      </c>
      <c r="B161" s="100" t="s">
        <v>118</v>
      </c>
      <c r="C161" s="97">
        <v>5970012</v>
      </c>
      <c r="D161" s="97">
        <v>5489314</v>
      </c>
      <c r="E161" s="97">
        <f t="shared" si="22"/>
        <v>-480698</v>
      </c>
      <c r="F161" s="98">
        <f t="shared" si="23"/>
        <v>-8.0518766126433244E-2</v>
      </c>
    </row>
    <row r="162" spans="1:6" ht="18" customHeight="1" x14ac:dyDescent="0.25">
      <c r="A162" s="99">
        <v>8</v>
      </c>
      <c r="B162" s="100" t="s">
        <v>119</v>
      </c>
      <c r="C162" s="97">
        <v>453745</v>
      </c>
      <c r="D162" s="97">
        <v>445569</v>
      </c>
      <c r="E162" s="97">
        <f t="shared" si="22"/>
        <v>-8176</v>
      </c>
      <c r="F162" s="98">
        <f t="shared" si="23"/>
        <v>-1.801893133808637E-2</v>
      </c>
    </row>
    <row r="163" spans="1:6" ht="18" customHeight="1" x14ac:dyDescent="0.25">
      <c r="A163" s="99">
        <v>9</v>
      </c>
      <c r="B163" s="100" t="s">
        <v>120</v>
      </c>
      <c r="C163" s="97">
        <v>69697</v>
      </c>
      <c r="D163" s="97">
        <v>53334</v>
      </c>
      <c r="E163" s="97">
        <f t="shared" si="22"/>
        <v>-16363</v>
      </c>
      <c r="F163" s="98">
        <f t="shared" si="23"/>
        <v>-0.2347733761854886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10095894</v>
      </c>
      <c r="D166" s="103">
        <f>SUM(D155:D165)</f>
        <v>9535554</v>
      </c>
      <c r="E166" s="103">
        <f t="shared" si="22"/>
        <v>-560340</v>
      </c>
      <c r="F166" s="104">
        <f t="shared" si="23"/>
        <v>-5.5501771314159995E-2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2804</v>
      </c>
      <c r="D168" s="117">
        <v>2845</v>
      </c>
      <c r="E168" s="117">
        <f t="shared" ref="E168:E179" si="24">D168-C168</f>
        <v>41</v>
      </c>
      <c r="F168" s="98">
        <f t="shared" ref="F168:F179" si="25">IF(C168=0,0,E168/C168)</f>
        <v>1.4621968616262483E-2</v>
      </c>
    </row>
    <row r="169" spans="1:6" ht="18" customHeight="1" x14ac:dyDescent="0.25">
      <c r="A169" s="99">
        <v>2</v>
      </c>
      <c r="B169" s="100" t="s">
        <v>113</v>
      </c>
      <c r="C169" s="117">
        <v>645</v>
      </c>
      <c r="D169" s="117">
        <v>716</v>
      </c>
      <c r="E169" s="117">
        <f t="shared" si="24"/>
        <v>71</v>
      </c>
      <c r="F169" s="98">
        <f t="shared" si="25"/>
        <v>0.11007751937984496</v>
      </c>
    </row>
    <row r="170" spans="1:6" ht="18" customHeight="1" x14ac:dyDescent="0.25">
      <c r="A170" s="99">
        <v>3</v>
      </c>
      <c r="B170" s="100" t="s">
        <v>114</v>
      </c>
      <c r="C170" s="117">
        <v>1628</v>
      </c>
      <c r="D170" s="117">
        <v>4030</v>
      </c>
      <c r="E170" s="117">
        <f t="shared" si="24"/>
        <v>2402</v>
      </c>
      <c r="F170" s="98">
        <f t="shared" si="25"/>
        <v>1.4754299754299753</v>
      </c>
    </row>
    <row r="171" spans="1:6" ht="18" customHeight="1" x14ac:dyDescent="0.25">
      <c r="A171" s="99">
        <v>4</v>
      </c>
      <c r="B171" s="100" t="s">
        <v>115</v>
      </c>
      <c r="C171" s="117">
        <v>3085</v>
      </c>
      <c r="D171" s="117">
        <v>983</v>
      </c>
      <c r="E171" s="117">
        <f t="shared" si="24"/>
        <v>-2102</v>
      </c>
      <c r="F171" s="98">
        <f t="shared" si="25"/>
        <v>-0.68136142625607776</v>
      </c>
    </row>
    <row r="172" spans="1:6" ht="18" customHeight="1" x14ac:dyDescent="0.25">
      <c r="A172" s="99">
        <v>5</v>
      </c>
      <c r="B172" s="100" t="s">
        <v>116</v>
      </c>
      <c r="C172" s="117">
        <v>177</v>
      </c>
      <c r="D172" s="117">
        <v>208</v>
      </c>
      <c r="E172" s="117">
        <f t="shared" si="24"/>
        <v>31</v>
      </c>
      <c r="F172" s="98">
        <f t="shared" si="25"/>
        <v>0.1751412429378531</v>
      </c>
    </row>
    <row r="173" spans="1:6" ht="18" customHeight="1" x14ac:dyDescent="0.25">
      <c r="A173" s="99">
        <v>6</v>
      </c>
      <c r="B173" s="100" t="s">
        <v>117</v>
      </c>
      <c r="C173" s="117">
        <v>191</v>
      </c>
      <c r="D173" s="117">
        <v>452</v>
      </c>
      <c r="E173" s="117">
        <f t="shared" si="24"/>
        <v>261</v>
      </c>
      <c r="F173" s="98">
        <f t="shared" si="25"/>
        <v>1.3664921465968587</v>
      </c>
    </row>
    <row r="174" spans="1:6" ht="18" customHeight="1" x14ac:dyDescent="0.25">
      <c r="A174" s="99">
        <v>7</v>
      </c>
      <c r="B174" s="100" t="s">
        <v>118</v>
      </c>
      <c r="C174" s="117">
        <v>6963</v>
      </c>
      <c r="D174" s="117">
        <v>6927</v>
      </c>
      <c r="E174" s="117">
        <f t="shared" si="24"/>
        <v>-36</v>
      </c>
      <c r="F174" s="98">
        <f t="shared" si="25"/>
        <v>-5.1701852649719948E-3</v>
      </c>
    </row>
    <row r="175" spans="1:6" ht="18" customHeight="1" x14ac:dyDescent="0.25">
      <c r="A175" s="99">
        <v>8</v>
      </c>
      <c r="B175" s="100" t="s">
        <v>119</v>
      </c>
      <c r="C175" s="117">
        <v>638</v>
      </c>
      <c r="D175" s="117">
        <v>609</v>
      </c>
      <c r="E175" s="117">
        <f t="shared" si="24"/>
        <v>-29</v>
      </c>
      <c r="F175" s="98">
        <f t="shared" si="25"/>
        <v>-4.5454545454545456E-2</v>
      </c>
    </row>
    <row r="176" spans="1:6" ht="18" customHeight="1" x14ac:dyDescent="0.25">
      <c r="A176" s="99">
        <v>9</v>
      </c>
      <c r="B176" s="100" t="s">
        <v>120</v>
      </c>
      <c r="C176" s="117">
        <v>1304</v>
      </c>
      <c r="D176" s="117">
        <v>1375</v>
      </c>
      <c r="E176" s="117">
        <f t="shared" si="24"/>
        <v>71</v>
      </c>
      <c r="F176" s="98">
        <f t="shared" si="25"/>
        <v>5.4447852760736194E-2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17435</v>
      </c>
      <c r="D179" s="118">
        <f>SUM(D168:D178)</f>
        <v>18145</v>
      </c>
      <c r="E179" s="118">
        <f t="shared" si="24"/>
        <v>710</v>
      </c>
      <c r="F179" s="104">
        <f t="shared" si="25"/>
        <v>4.0722684255807287E-2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FILING&amp;RJOHNSON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9407572</v>
      </c>
      <c r="D15" s="146">
        <v>9394293</v>
      </c>
      <c r="E15" s="146">
        <f>+D15-C15</f>
        <v>-13279</v>
      </c>
      <c r="F15" s="150">
        <f>IF(C15=0,0,E15/C15)</f>
        <v>-1.4115225480070734E-3</v>
      </c>
    </row>
    <row r="16" spans="1:7" ht="15" customHeight="1" x14ac:dyDescent="0.2">
      <c r="A16" s="141">
        <v>2</v>
      </c>
      <c r="B16" s="149" t="s">
        <v>158</v>
      </c>
      <c r="C16" s="146">
        <v>0</v>
      </c>
      <c r="D16" s="146">
        <v>0</v>
      </c>
      <c r="E16" s="146">
        <f>+D16-C16</f>
        <v>0</v>
      </c>
      <c r="F16" s="150">
        <f>IF(C16=0,0,E16/C16)</f>
        <v>0</v>
      </c>
    </row>
    <row r="17" spans="1:7" ht="15" customHeight="1" x14ac:dyDescent="0.2">
      <c r="A17" s="141">
        <v>3</v>
      </c>
      <c r="B17" s="149" t="s">
        <v>159</v>
      </c>
      <c r="C17" s="146">
        <v>16801243</v>
      </c>
      <c r="D17" s="146">
        <v>17775085</v>
      </c>
      <c r="E17" s="146">
        <f>+D17-C17</f>
        <v>973842</v>
      </c>
      <c r="F17" s="150">
        <f>IF(C17=0,0,E17/C17)</f>
        <v>5.7962497179524161E-2</v>
      </c>
    </row>
    <row r="18" spans="1:7" ht="15.75" customHeight="1" x14ac:dyDescent="0.25">
      <c r="A18" s="141"/>
      <c r="B18" s="151" t="s">
        <v>160</v>
      </c>
      <c r="C18" s="147">
        <f>SUM(C15:C17)</f>
        <v>26208815</v>
      </c>
      <c r="D18" s="147">
        <f>SUM(D15:D17)</f>
        <v>27169378</v>
      </c>
      <c r="E18" s="147">
        <f>+D18-C18</f>
        <v>960563</v>
      </c>
      <c r="F18" s="148">
        <f>IF(C18=0,0,E18/C18)</f>
        <v>3.6650378889697986E-2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2448165</v>
      </c>
      <c r="D21" s="146">
        <v>2347211</v>
      </c>
      <c r="E21" s="146">
        <f>+D21-C21</f>
        <v>-100954</v>
      </c>
      <c r="F21" s="150">
        <f>IF(C21=0,0,E21/C21)</f>
        <v>-4.1236599657294343E-2</v>
      </c>
    </row>
    <row r="22" spans="1:7" ht="15" customHeight="1" x14ac:dyDescent="0.2">
      <c r="A22" s="141">
        <v>2</v>
      </c>
      <c r="B22" s="149" t="s">
        <v>163</v>
      </c>
      <c r="C22" s="146">
        <v>0</v>
      </c>
      <c r="D22" s="146">
        <v>0</v>
      </c>
      <c r="E22" s="146">
        <f>+D22-C22</f>
        <v>0</v>
      </c>
      <c r="F22" s="150">
        <f>IF(C22=0,0,E22/C22)</f>
        <v>0</v>
      </c>
    </row>
    <row r="23" spans="1:7" ht="15" customHeight="1" x14ac:dyDescent="0.2">
      <c r="A23" s="141">
        <v>3</v>
      </c>
      <c r="B23" s="149" t="s">
        <v>164</v>
      </c>
      <c r="C23" s="146">
        <v>4372247</v>
      </c>
      <c r="D23" s="146">
        <v>4441193</v>
      </c>
      <c r="E23" s="146">
        <f>+D23-C23</f>
        <v>68946</v>
      </c>
      <c r="F23" s="150">
        <f>IF(C23=0,0,E23/C23)</f>
        <v>1.5769008475504699E-2</v>
      </c>
    </row>
    <row r="24" spans="1:7" ht="15.75" customHeight="1" x14ac:dyDescent="0.25">
      <c r="A24" s="141"/>
      <c r="B24" s="151" t="s">
        <v>165</v>
      </c>
      <c r="C24" s="147">
        <f>SUM(C21:C23)</f>
        <v>6820412</v>
      </c>
      <c r="D24" s="147">
        <f>SUM(D21:D23)</f>
        <v>6788404</v>
      </c>
      <c r="E24" s="147">
        <f>+D24-C24</f>
        <v>-32008</v>
      </c>
      <c r="F24" s="148">
        <f>IF(C24=0,0,E24/C24)</f>
        <v>-4.6929716269339741E-3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52166</v>
      </c>
      <c r="D27" s="146">
        <v>153963</v>
      </c>
      <c r="E27" s="146">
        <f>+D27-C27</f>
        <v>101797</v>
      </c>
      <c r="F27" s="150">
        <f>IF(C27=0,0,E27/C27)</f>
        <v>1.9514051297780164</v>
      </c>
    </row>
    <row r="28" spans="1:7" ht="15" customHeight="1" x14ac:dyDescent="0.2">
      <c r="A28" s="141">
        <v>2</v>
      </c>
      <c r="B28" s="149" t="s">
        <v>168</v>
      </c>
      <c r="C28" s="146">
        <v>485260</v>
      </c>
      <c r="D28" s="146">
        <v>961569</v>
      </c>
      <c r="E28" s="146">
        <f>+D28-C28</f>
        <v>476309</v>
      </c>
      <c r="F28" s="150">
        <f>IF(C28=0,0,E28/C28)</f>
        <v>0.98155421835716938</v>
      </c>
    </row>
    <row r="29" spans="1:7" ht="15" customHeight="1" x14ac:dyDescent="0.2">
      <c r="A29" s="141">
        <v>3</v>
      </c>
      <c r="B29" s="149" t="s">
        <v>169</v>
      </c>
      <c r="C29" s="146">
        <v>888237</v>
      </c>
      <c r="D29" s="146">
        <v>525817</v>
      </c>
      <c r="E29" s="146">
        <f>+D29-C29</f>
        <v>-362420</v>
      </c>
      <c r="F29" s="150">
        <f>IF(C29=0,0,E29/C29)</f>
        <v>-0.40802173293839372</v>
      </c>
    </row>
    <row r="30" spans="1:7" ht="15.75" customHeight="1" x14ac:dyDescent="0.25">
      <c r="A30" s="141"/>
      <c r="B30" s="151" t="s">
        <v>170</v>
      </c>
      <c r="C30" s="147">
        <f>SUM(C27:C29)</f>
        <v>1425663</v>
      </c>
      <c r="D30" s="147">
        <f>SUM(D27:D29)</f>
        <v>1641349</v>
      </c>
      <c r="E30" s="147">
        <f>+D30-C30</f>
        <v>215686</v>
      </c>
      <c r="F30" s="148">
        <f>IF(C30=0,0,E30/C30)</f>
        <v>0.15128820766197904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4201438</v>
      </c>
      <c r="D33" s="146">
        <v>3931361</v>
      </c>
      <c r="E33" s="146">
        <f>+D33-C33</f>
        <v>-270077</v>
      </c>
      <c r="F33" s="150">
        <f>IF(C33=0,0,E33/C33)</f>
        <v>-6.4282038673425621E-2</v>
      </c>
    </row>
    <row r="34" spans="1:7" ht="15" customHeight="1" x14ac:dyDescent="0.2">
      <c r="A34" s="141">
        <v>2</v>
      </c>
      <c r="B34" s="149" t="s">
        <v>174</v>
      </c>
      <c r="C34" s="146">
        <v>2247379</v>
      </c>
      <c r="D34" s="146">
        <v>2528642</v>
      </c>
      <c r="E34" s="146">
        <f>+D34-C34</f>
        <v>281263</v>
      </c>
      <c r="F34" s="150">
        <f>IF(C34=0,0,E34/C34)</f>
        <v>0.12515156544579265</v>
      </c>
    </row>
    <row r="35" spans="1:7" ht="15.75" customHeight="1" x14ac:dyDescent="0.25">
      <c r="A35" s="141"/>
      <c r="B35" s="151" t="s">
        <v>175</v>
      </c>
      <c r="C35" s="147">
        <f>SUM(C33:C34)</f>
        <v>6448817</v>
      </c>
      <c r="D35" s="147">
        <f>SUM(D33:D34)</f>
        <v>6460003</v>
      </c>
      <c r="E35" s="147">
        <f>+D35-C35</f>
        <v>11186</v>
      </c>
      <c r="F35" s="148">
        <f>IF(C35=0,0,E35/C35)</f>
        <v>1.7345817070014548E-3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1174692</v>
      </c>
      <c r="D38" s="146">
        <v>1148143</v>
      </c>
      <c r="E38" s="146">
        <f>+D38-C38</f>
        <v>-26549</v>
      </c>
      <c r="F38" s="150">
        <f>IF(C38=0,0,E38/C38)</f>
        <v>-2.2600817916526204E-2</v>
      </c>
    </row>
    <row r="39" spans="1:7" ht="15" customHeight="1" x14ac:dyDescent="0.2">
      <c r="A39" s="141">
        <v>2</v>
      </c>
      <c r="B39" s="149" t="s">
        <v>179</v>
      </c>
      <c r="C39" s="146">
        <v>1884589</v>
      </c>
      <c r="D39" s="146">
        <v>1845947</v>
      </c>
      <c r="E39" s="146">
        <f>+D39-C39</f>
        <v>-38642</v>
      </c>
      <c r="F39" s="150">
        <f>IF(C39=0,0,E39/C39)</f>
        <v>-2.0504205426222905E-2</v>
      </c>
    </row>
    <row r="40" spans="1:7" ht="15" customHeight="1" x14ac:dyDescent="0.2">
      <c r="A40" s="141">
        <v>3</v>
      </c>
      <c r="B40" s="149" t="s">
        <v>180</v>
      </c>
      <c r="C40" s="146">
        <v>183981</v>
      </c>
      <c r="D40" s="146">
        <v>183981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3243262</v>
      </c>
      <c r="D41" s="147">
        <f>SUM(D38:D40)</f>
        <v>3178071</v>
      </c>
      <c r="E41" s="147">
        <f>+D41-C41</f>
        <v>-65191</v>
      </c>
      <c r="F41" s="148">
        <f>IF(C41=0,0,E41/C41)</f>
        <v>-2.0100442085776604E-2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1928135</v>
      </c>
      <c r="D44" s="146">
        <v>3564251</v>
      </c>
      <c r="E44" s="146">
        <f>+D44-C44</f>
        <v>1636116</v>
      </c>
      <c r="F44" s="150">
        <f>IF(C44=0,0,E44/C44)</f>
        <v>0.84854846781993998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1480694</v>
      </c>
      <c r="D47" s="146">
        <v>1495715</v>
      </c>
      <c r="E47" s="146">
        <f>+D47-C47</f>
        <v>15021</v>
      </c>
      <c r="F47" s="150">
        <f>IF(C47=0,0,E47/C47)</f>
        <v>1.0144567344772114E-2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729896</v>
      </c>
      <c r="D50" s="146">
        <v>736725</v>
      </c>
      <c r="E50" s="146">
        <f>+D50-C50</f>
        <v>6829</v>
      </c>
      <c r="F50" s="150">
        <f>IF(C50=0,0,E50/C50)</f>
        <v>9.3561274482940032E-3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28601</v>
      </c>
      <c r="D53" s="146">
        <v>32648</v>
      </c>
      <c r="E53" s="146">
        <f t="shared" ref="E53:E59" si="0">+D53-C53</f>
        <v>4047</v>
      </c>
      <c r="F53" s="150">
        <f t="shared" ref="F53:F59" si="1">IF(C53=0,0,E53/C53)</f>
        <v>0.14149854900178316</v>
      </c>
    </row>
    <row r="54" spans="1:7" ht="15" customHeight="1" x14ac:dyDescent="0.2">
      <c r="A54" s="141">
        <v>2</v>
      </c>
      <c r="B54" s="149" t="s">
        <v>193</v>
      </c>
      <c r="C54" s="146">
        <v>36764</v>
      </c>
      <c r="D54" s="146">
        <v>34135</v>
      </c>
      <c r="E54" s="146">
        <f t="shared" si="0"/>
        <v>-2629</v>
      </c>
      <c r="F54" s="150">
        <f t="shared" si="1"/>
        <v>-7.1510172995321516E-2</v>
      </c>
    </row>
    <row r="55" spans="1:7" ht="15" customHeight="1" x14ac:dyDescent="0.2">
      <c r="A55" s="141">
        <v>3</v>
      </c>
      <c r="B55" s="149" t="s">
        <v>194</v>
      </c>
      <c r="C55" s="146">
        <v>638064</v>
      </c>
      <c r="D55" s="146">
        <v>714637</v>
      </c>
      <c r="E55" s="146">
        <f t="shared" si="0"/>
        <v>76573</v>
      </c>
      <c r="F55" s="150">
        <f t="shared" si="1"/>
        <v>0.12000833772160786</v>
      </c>
    </row>
    <row r="56" spans="1:7" ht="15" customHeight="1" x14ac:dyDescent="0.2">
      <c r="A56" s="141">
        <v>4</v>
      </c>
      <c r="B56" s="149" t="s">
        <v>195</v>
      </c>
      <c r="C56" s="146">
        <v>740020</v>
      </c>
      <c r="D56" s="146">
        <v>728597</v>
      </c>
      <c r="E56" s="146">
        <f t="shared" si="0"/>
        <v>-11423</v>
      </c>
      <c r="F56" s="150">
        <f t="shared" si="1"/>
        <v>-1.5436069295424447E-2</v>
      </c>
    </row>
    <row r="57" spans="1:7" ht="15" customHeight="1" x14ac:dyDescent="0.2">
      <c r="A57" s="141">
        <v>5</v>
      </c>
      <c r="B57" s="149" t="s">
        <v>196</v>
      </c>
      <c r="C57" s="146">
        <v>182090</v>
      </c>
      <c r="D57" s="146">
        <v>203761</v>
      </c>
      <c r="E57" s="146">
        <f t="shared" si="0"/>
        <v>21671</v>
      </c>
      <c r="F57" s="150">
        <f t="shared" si="1"/>
        <v>0.11901257619858312</v>
      </c>
    </row>
    <row r="58" spans="1:7" ht="15" customHeight="1" x14ac:dyDescent="0.2">
      <c r="A58" s="141">
        <v>6</v>
      </c>
      <c r="B58" s="149" t="s">
        <v>197</v>
      </c>
      <c r="C58" s="146">
        <v>85314</v>
      </c>
      <c r="D58" s="146">
        <v>74421</v>
      </c>
      <c r="E58" s="146">
        <f t="shared" si="0"/>
        <v>-10893</v>
      </c>
      <c r="F58" s="150">
        <f t="shared" si="1"/>
        <v>-0.12768127153808284</v>
      </c>
    </row>
    <row r="59" spans="1:7" ht="15.75" customHeight="1" x14ac:dyDescent="0.25">
      <c r="A59" s="141"/>
      <c r="B59" s="151" t="s">
        <v>198</v>
      </c>
      <c r="C59" s="147">
        <f>SUM(C53:C58)</f>
        <v>1710853</v>
      </c>
      <c r="D59" s="147">
        <f>SUM(D53:D58)</f>
        <v>1788199</v>
      </c>
      <c r="E59" s="147">
        <f t="shared" si="0"/>
        <v>77346</v>
      </c>
      <c r="F59" s="148">
        <f t="shared" si="1"/>
        <v>4.5209027309768869E-2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97397</v>
      </c>
      <c r="D62" s="146">
        <v>82119</v>
      </c>
      <c r="E62" s="146">
        <f t="shared" ref="E62:E90" si="2">+D62-C62</f>
        <v>-15278</v>
      </c>
      <c r="F62" s="150">
        <f t="shared" ref="F62:F90" si="3">IF(C62=0,0,E62/C62)</f>
        <v>-0.15686314773555654</v>
      </c>
    </row>
    <row r="63" spans="1:7" ht="15" customHeight="1" x14ac:dyDescent="0.2">
      <c r="A63" s="141">
        <v>2</v>
      </c>
      <c r="B63" s="149" t="s">
        <v>202</v>
      </c>
      <c r="C63" s="146">
        <v>370143</v>
      </c>
      <c r="D63" s="146">
        <v>688282</v>
      </c>
      <c r="E63" s="146">
        <f t="shared" si="2"/>
        <v>318139</v>
      </c>
      <c r="F63" s="150">
        <f t="shared" si="3"/>
        <v>0.85950294886030532</v>
      </c>
    </row>
    <row r="64" spans="1:7" ht="15" customHeight="1" x14ac:dyDescent="0.2">
      <c r="A64" s="141">
        <v>3</v>
      </c>
      <c r="B64" s="149" t="s">
        <v>203</v>
      </c>
      <c r="C64" s="146">
        <v>1628015</v>
      </c>
      <c r="D64" s="146">
        <v>1299106</v>
      </c>
      <c r="E64" s="146">
        <f t="shared" si="2"/>
        <v>-328909</v>
      </c>
      <c r="F64" s="150">
        <f t="shared" si="3"/>
        <v>-0.20203069382038863</v>
      </c>
    </row>
    <row r="65" spans="1:6" ht="15" customHeight="1" x14ac:dyDescent="0.2">
      <c r="A65" s="141">
        <v>4</v>
      </c>
      <c r="B65" s="149" t="s">
        <v>204</v>
      </c>
      <c r="C65" s="146">
        <v>138650</v>
      </c>
      <c r="D65" s="146">
        <v>153438</v>
      </c>
      <c r="E65" s="146">
        <f t="shared" si="2"/>
        <v>14788</v>
      </c>
      <c r="F65" s="150">
        <f t="shared" si="3"/>
        <v>0.1066570501262171</v>
      </c>
    </row>
    <row r="66" spans="1:6" ht="15" customHeight="1" x14ac:dyDescent="0.2">
      <c r="A66" s="141">
        <v>5</v>
      </c>
      <c r="B66" s="149" t="s">
        <v>205</v>
      </c>
      <c r="C66" s="146">
        <v>806362</v>
      </c>
      <c r="D66" s="146">
        <v>920684</v>
      </c>
      <c r="E66" s="146">
        <f t="shared" si="2"/>
        <v>114322</v>
      </c>
      <c r="F66" s="150">
        <f t="shared" si="3"/>
        <v>0.14177503404178271</v>
      </c>
    </row>
    <row r="67" spans="1:6" ht="15" customHeight="1" x14ac:dyDescent="0.2">
      <c r="A67" s="141">
        <v>6</v>
      </c>
      <c r="B67" s="149" t="s">
        <v>206</v>
      </c>
      <c r="C67" s="146">
        <v>679745</v>
      </c>
      <c r="D67" s="146">
        <v>768096</v>
      </c>
      <c r="E67" s="146">
        <f t="shared" si="2"/>
        <v>88351</v>
      </c>
      <c r="F67" s="150">
        <f t="shared" si="3"/>
        <v>0.12997668243238272</v>
      </c>
    </row>
    <row r="68" spans="1:6" ht="15" customHeight="1" x14ac:dyDescent="0.2">
      <c r="A68" s="141">
        <v>7</v>
      </c>
      <c r="B68" s="149" t="s">
        <v>207</v>
      </c>
      <c r="C68" s="146">
        <v>460123</v>
      </c>
      <c r="D68" s="146">
        <v>461460</v>
      </c>
      <c r="E68" s="146">
        <f t="shared" si="2"/>
        <v>1337</v>
      </c>
      <c r="F68" s="150">
        <f t="shared" si="3"/>
        <v>2.9057447682467514E-3</v>
      </c>
    </row>
    <row r="69" spans="1:6" ht="15" customHeight="1" x14ac:dyDescent="0.2">
      <c r="A69" s="141">
        <v>8</v>
      </c>
      <c r="B69" s="149" t="s">
        <v>208</v>
      </c>
      <c r="C69" s="146">
        <v>136360</v>
      </c>
      <c r="D69" s="146">
        <v>157555</v>
      </c>
      <c r="E69" s="146">
        <f t="shared" si="2"/>
        <v>21195</v>
      </c>
      <c r="F69" s="150">
        <f t="shared" si="3"/>
        <v>0.15543414491053095</v>
      </c>
    </row>
    <row r="70" spans="1:6" ht="15" customHeight="1" x14ac:dyDescent="0.2">
      <c r="A70" s="141">
        <v>9</v>
      </c>
      <c r="B70" s="149" t="s">
        <v>209</v>
      </c>
      <c r="C70" s="146">
        <v>48692</v>
      </c>
      <c r="D70" s="146">
        <v>26824</v>
      </c>
      <c r="E70" s="146">
        <f t="shared" si="2"/>
        <v>-21868</v>
      </c>
      <c r="F70" s="150">
        <f t="shared" si="3"/>
        <v>-0.44910868315123637</v>
      </c>
    </row>
    <row r="71" spans="1:6" ht="15" customHeight="1" x14ac:dyDescent="0.2">
      <c r="A71" s="141">
        <v>10</v>
      </c>
      <c r="B71" s="149" t="s">
        <v>210</v>
      </c>
      <c r="C71" s="146">
        <v>42246</v>
      </c>
      <c r="D71" s="146">
        <v>50242</v>
      </c>
      <c r="E71" s="146">
        <f t="shared" si="2"/>
        <v>7996</v>
      </c>
      <c r="F71" s="150">
        <f t="shared" si="3"/>
        <v>0.18927235714623869</v>
      </c>
    </row>
    <row r="72" spans="1:6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6" ht="15" customHeight="1" x14ac:dyDescent="0.2">
      <c r="A73" s="141">
        <v>12</v>
      </c>
      <c r="B73" s="149" t="s">
        <v>212</v>
      </c>
      <c r="C73" s="146">
        <v>221013</v>
      </c>
      <c r="D73" s="146">
        <v>254675</v>
      </c>
      <c r="E73" s="146">
        <f t="shared" si="2"/>
        <v>33662</v>
      </c>
      <c r="F73" s="150">
        <f t="shared" si="3"/>
        <v>0.15230778280010679</v>
      </c>
    </row>
    <row r="74" spans="1:6" ht="15" customHeight="1" x14ac:dyDescent="0.2">
      <c r="A74" s="141">
        <v>13</v>
      </c>
      <c r="B74" s="149" t="s">
        <v>213</v>
      </c>
      <c r="C74" s="146">
        <v>54787</v>
      </c>
      <c r="D74" s="146">
        <v>29768</v>
      </c>
      <c r="E74" s="146">
        <f t="shared" si="2"/>
        <v>-25019</v>
      </c>
      <c r="F74" s="150">
        <f t="shared" si="3"/>
        <v>-0.45665942650628799</v>
      </c>
    </row>
    <row r="75" spans="1:6" ht="15" customHeight="1" x14ac:dyDescent="0.2">
      <c r="A75" s="141">
        <v>14</v>
      </c>
      <c r="B75" s="149" t="s">
        <v>214</v>
      </c>
      <c r="C75" s="146">
        <v>75894</v>
      </c>
      <c r="D75" s="146">
        <v>77281</v>
      </c>
      <c r="E75" s="146">
        <f t="shared" si="2"/>
        <v>1387</v>
      </c>
      <c r="F75" s="150">
        <f t="shared" si="3"/>
        <v>1.8275489498511082E-2</v>
      </c>
    </row>
    <row r="76" spans="1:6" ht="15" customHeight="1" x14ac:dyDescent="0.2">
      <c r="A76" s="141">
        <v>15</v>
      </c>
      <c r="B76" s="149" t="s">
        <v>215</v>
      </c>
      <c r="C76" s="146">
        <v>148888</v>
      </c>
      <c r="D76" s="146">
        <v>200427</v>
      </c>
      <c r="E76" s="146">
        <f t="shared" si="2"/>
        <v>51539</v>
      </c>
      <c r="F76" s="150">
        <f t="shared" si="3"/>
        <v>0.34615952931062277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943167</v>
      </c>
      <c r="E78" s="146">
        <f t="shared" si="2"/>
        <v>943167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110415</v>
      </c>
      <c r="E79" s="146">
        <f t="shared" si="2"/>
        <v>110415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279626</v>
      </c>
      <c r="E80" s="146">
        <f t="shared" si="2"/>
        <v>279626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977414</v>
      </c>
      <c r="E81" s="146">
        <f t="shared" si="2"/>
        <v>977414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669592</v>
      </c>
      <c r="E82" s="146">
        <f t="shared" si="2"/>
        <v>669592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15225</v>
      </c>
      <c r="E83" s="146">
        <f t="shared" si="2"/>
        <v>15225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264768</v>
      </c>
      <c r="E84" s="146">
        <f t="shared" si="2"/>
        <v>264768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142083</v>
      </c>
      <c r="E86" s="146">
        <f t="shared" si="2"/>
        <v>142083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851524</v>
      </c>
      <c r="E87" s="146">
        <f t="shared" si="2"/>
        <v>851524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666560</v>
      </c>
      <c r="E88" s="146">
        <f t="shared" si="2"/>
        <v>666560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6366667</v>
      </c>
      <c r="D89" s="146">
        <v>2777158</v>
      </c>
      <c r="E89" s="146">
        <f t="shared" si="2"/>
        <v>-3589509</v>
      </c>
      <c r="F89" s="150">
        <f t="shared" si="3"/>
        <v>-0.56379719561271224</v>
      </c>
    </row>
    <row r="90" spans="1:7" ht="15.75" customHeight="1" x14ac:dyDescent="0.25">
      <c r="A90" s="141"/>
      <c r="B90" s="151" t="s">
        <v>229</v>
      </c>
      <c r="C90" s="147">
        <f>SUM(C62:C89)</f>
        <v>11274982</v>
      </c>
      <c r="D90" s="147">
        <f>SUM(D62:D89)</f>
        <v>12867489</v>
      </c>
      <c r="E90" s="147">
        <f t="shared" si="2"/>
        <v>1592507</v>
      </c>
      <c r="F90" s="148">
        <f t="shared" si="3"/>
        <v>0.14124253147366445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305634</v>
      </c>
      <c r="D93" s="146">
        <v>291474</v>
      </c>
      <c r="E93" s="146">
        <f>+D93-C93</f>
        <v>-14160</v>
      </c>
      <c r="F93" s="150">
        <f>IF(C93=0,0,E93/C93)</f>
        <v>-4.6329924026777124E-2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61577163</v>
      </c>
      <c r="D95" s="147">
        <f>+D93+D90+D59+D50+D47+D44+D41+D35+D30+D24+D18</f>
        <v>65981058</v>
      </c>
      <c r="E95" s="147">
        <f>+D95-C95</f>
        <v>4403895</v>
      </c>
      <c r="F95" s="148">
        <f>IF(C95=0,0,E95/C95)</f>
        <v>7.1518315970484053E-2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4238624</v>
      </c>
      <c r="D103" s="146">
        <v>5251402</v>
      </c>
      <c r="E103" s="146">
        <f t="shared" ref="E103:E121" si="4">D103-C103</f>
        <v>1012778</v>
      </c>
      <c r="F103" s="150">
        <f t="shared" ref="F103:F121" si="5">IF(C103=0,0,E103/C103)</f>
        <v>0.23894027873196585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616460</v>
      </c>
      <c r="D104" s="146">
        <v>716197</v>
      </c>
      <c r="E104" s="146">
        <f t="shared" si="4"/>
        <v>99737</v>
      </c>
      <c r="F104" s="150">
        <f t="shared" si="5"/>
        <v>0.16178989715472211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1327083</v>
      </c>
      <c r="D105" s="146">
        <v>1183232</v>
      </c>
      <c r="E105" s="146">
        <f t="shared" si="4"/>
        <v>-143851</v>
      </c>
      <c r="F105" s="150">
        <f t="shared" si="5"/>
        <v>-0.10839638515450804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885526</v>
      </c>
      <c r="D106" s="146">
        <v>924368</v>
      </c>
      <c r="E106" s="146">
        <f t="shared" si="4"/>
        <v>38842</v>
      </c>
      <c r="F106" s="150">
        <f t="shared" si="5"/>
        <v>4.3863195434126159E-2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1922903</v>
      </c>
      <c r="D107" s="146">
        <v>1643917</v>
      </c>
      <c r="E107" s="146">
        <f t="shared" si="4"/>
        <v>-278986</v>
      </c>
      <c r="F107" s="150">
        <f t="shared" si="5"/>
        <v>-0.14508584156351101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164503</v>
      </c>
      <c r="D108" s="146">
        <v>175629</v>
      </c>
      <c r="E108" s="146">
        <f t="shared" si="4"/>
        <v>11126</v>
      </c>
      <c r="F108" s="150">
        <f t="shared" si="5"/>
        <v>6.763402491139979E-2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7239073</v>
      </c>
      <c r="D109" s="146">
        <v>7363274</v>
      </c>
      <c r="E109" s="146">
        <f t="shared" si="4"/>
        <v>124201</v>
      </c>
      <c r="F109" s="150">
        <f t="shared" si="5"/>
        <v>1.7157031017645492E-2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339805</v>
      </c>
      <c r="D110" s="146">
        <v>388162</v>
      </c>
      <c r="E110" s="146">
        <f t="shared" si="4"/>
        <v>48357</v>
      </c>
      <c r="F110" s="150">
        <f t="shared" si="5"/>
        <v>0.14230808846250056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226159</v>
      </c>
      <c r="D111" s="146">
        <v>280545</v>
      </c>
      <c r="E111" s="146">
        <f t="shared" si="4"/>
        <v>54386</v>
      </c>
      <c r="F111" s="150">
        <f t="shared" si="5"/>
        <v>0.2404768326708201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734816</v>
      </c>
      <c r="D112" s="146">
        <v>761641</v>
      </c>
      <c r="E112" s="146">
        <f t="shared" si="4"/>
        <v>26825</v>
      </c>
      <c r="F112" s="150">
        <f t="shared" si="5"/>
        <v>3.6505737490745982E-2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689074</v>
      </c>
      <c r="D113" s="146">
        <v>697389</v>
      </c>
      <c r="E113" s="146">
        <f t="shared" si="4"/>
        <v>8315</v>
      </c>
      <c r="F113" s="150">
        <f t="shared" si="5"/>
        <v>1.2066918792466411E-2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260513</v>
      </c>
      <c r="D114" s="146">
        <v>266969</v>
      </c>
      <c r="E114" s="146">
        <f t="shared" si="4"/>
        <v>6456</v>
      </c>
      <c r="F114" s="150">
        <f t="shared" si="5"/>
        <v>2.4781872689654642E-2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1682836</v>
      </c>
      <c r="D115" s="146">
        <v>1879045</v>
      </c>
      <c r="E115" s="146">
        <f t="shared" si="4"/>
        <v>196209</v>
      </c>
      <c r="F115" s="150">
        <f t="shared" si="5"/>
        <v>0.11659424923165418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163447</v>
      </c>
      <c r="D116" s="146">
        <v>163946</v>
      </c>
      <c r="E116" s="146">
        <f t="shared" si="4"/>
        <v>499</v>
      </c>
      <c r="F116" s="150">
        <f t="shared" si="5"/>
        <v>3.0529774177562147E-3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715838</v>
      </c>
      <c r="D117" s="146">
        <v>769941</v>
      </c>
      <c r="E117" s="146">
        <f t="shared" si="4"/>
        <v>54103</v>
      </c>
      <c r="F117" s="150">
        <f t="shared" si="5"/>
        <v>7.5579949653413206E-2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184990</v>
      </c>
      <c r="D118" s="146">
        <v>227073</v>
      </c>
      <c r="E118" s="146">
        <f t="shared" si="4"/>
        <v>42083</v>
      </c>
      <c r="F118" s="150">
        <f t="shared" si="5"/>
        <v>0.22748797232282827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2871144</v>
      </c>
      <c r="D119" s="146">
        <v>3214901</v>
      </c>
      <c r="E119" s="146">
        <f t="shared" si="4"/>
        <v>343757</v>
      </c>
      <c r="F119" s="150">
        <f t="shared" si="5"/>
        <v>0.1197282337632665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4265030</v>
      </c>
      <c r="D120" s="146">
        <v>4501031</v>
      </c>
      <c r="E120" s="146">
        <f t="shared" si="4"/>
        <v>236001</v>
      </c>
      <c r="F120" s="150">
        <f t="shared" si="5"/>
        <v>5.5333960136271024E-2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28527824</v>
      </c>
      <c r="D121" s="147">
        <f>SUM(D103:D120)</f>
        <v>30408662</v>
      </c>
      <c r="E121" s="147">
        <f t="shared" si="4"/>
        <v>1880838</v>
      </c>
      <c r="F121" s="148">
        <f t="shared" si="5"/>
        <v>6.5929949651960834E-2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989513</v>
      </c>
      <c r="D124" s="146">
        <v>1006215</v>
      </c>
      <c r="E124" s="146">
        <f t="shared" ref="E124:E130" si="6">D124-C124</f>
        <v>16702</v>
      </c>
      <c r="F124" s="150">
        <f t="shared" ref="F124:F130" si="7">IF(C124=0,0,E124/C124)</f>
        <v>1.6879010179755093E-2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625098</v>
      </c>
      <c r="D126" s="146">
        <v>855495</v>
      </c>
      <c r="E126" s="146">
        <f t="shared" si="6"/>
        <v>230397</v>
      </c>
      <c r="F126" s="150">
        <f t="shared" si="7"/>
        <v>0.36857740706257258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974845</v>
      </c>
      <c r="D127" s="146">
        <v>879322</v>
      </c>
      <c r="E127" s="146">
        <f t="shared" si="6"/>
        <v>-95523</v>
      </c>
      <c r="F127" s="150">
        <f t="shared" si="7"/>
        <v>-9.7987885253553134E-2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0</v>
      </c>
      <c r="D128" s="146">
        <v>0</v>
      </c>
      <c r="E128" s="146">
        <f t="shared" si="6"/>
        <v>0</v>
      </c>
      <c r="F128" s="150">
        <f t="shared" si="7"/>
        <v>0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0</v>
      </c>
      <c r="D129" s="146">
        <v>0</v>
      </c>
      <c r="E129" s="146">
        <f t="shared" si="6"/>
        <v>0</v>
      </c>
      <c r="F129" s="150">
        <f t="shared" si="7"/>
        <v>0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2589456</v>
      </c>
      <c r="D130" s="147">
        <f>SUM(D124:D129)</f>
        <v>2741032</v>
      </c>
      <c r="E130" s="147">
        <f t="shared" si="6"/>
        <v>151576</v>
      </c>
      <c r="F130" s="148">
        <f t="shared" si="7"/>
        <v>5.8535846911474843E-2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1752177</v>
      </c>
      <c r="D133" s="146">
        <v>1744436</v>
      </c>
      <c r="E133" s="146">
        <f t="shared" ref="E133:E167" si="8">D133-C133</f>
        <v>-7741</v>
      </c>
      <c r="F133" s="150">
        <f t="shared" ref="F133:F167" si="9">IF(C133=0,0,E133/C133)</f>
        <v>-4.417932663195556E-3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323426</v>
      </c>
      <c r="D134" s="146">
        <v>333444</v>
      </c>
      <c r="E134" s="146">
        <f t="shared" si="8"/>
        <v>10018</v>
      </c>
      <c r="F134" s="150">
        <f t="shared" si="9"/>
        <v>3.0974627890151069E-2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466607</v>
      </c>
      <c r="D135" s="146">
        <v>464175</v>
      </c>
      <c r="E135" s="146">
        <f t="shared" si="8"/>
        <v>-2432</v>
      </c>
      <c r="F135" s="150">
        <f t="shared" si="9"/>
        <v>-5.2120949750003752E-3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1976367</v>
      </c>
      <c r="D137" s="146">
        <v>2148144</v>
      </c>
      <c r="E137" s="146">
        <f t="shared" si="8"/>
        <v>171777</v>
      </c>
      <c r="F137" s="150">
        <f t="shared" si="9"/>
        <v>8.6915537448257335E-2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344887</v>
      </c>
      <c r="D138" s="146">
        <v>293571</v>
      </c>
      <c r="E138" s="146">
        <f t="shared" si="8"/>
        <v>-51316</v>
      </c>
      <c r="F138" s="150">
        <f t="shared" si="9"/>
        <v>-0.14879076335147454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466507</v>
      </c>
      <c r="D140" s="146">
        <v>399764</v>
      </c>
      <c r="E140" s="146">
        <f t="shared" si="8"/>
        <v>-66743</v>
      </c>
      <c r="F140" s="150">
        <f t="shared" si="9"/>
        <v>-0.14306966454951373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466868</v>
      </c>
      <c r="D141" s="146">
        <v>348562</v>
      </c>
      <c r="E141" s="146">
        <f t="shared" si="8"/>
        <v>-118306</v>
      </c>
      <c r="F141" s="150">
        <f t="shared" si="9"/>
        <v>-0.25340353161921569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3310964</v>
      </c>
      <c r="D142" s="146">
        <v>3447796</v>
      </c>
      <c r="E142" s="146">
        <f t="shared" si="8"/>
        <v>136832</v>
      </c>
      <c r="F142" s="150">
        <f t="shared" si="9"/>
        <v>4.1326936807527956E-2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240061</v>
      </c>
      <c r="D144" s="146">
        <v>261495</v>
      </c>
      <c r="E144" s="146">
        <f t="shared" si="8"/>
        <v>21434</v>
      </c>
      <c r="F144" s="150">
        <f t="shared" si="9"/>
        <v>8.9285639899858785E-2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63805</v>
      </c>
      <c r="D145" s="146">
        <v>64353</v>
      </c>
      <c r="E145" s="146">
        <f t="shared" si="8"/>
        <v>548</v>
      </c>
      <c r="F145" s="150">
        <f t="shared" si="9"/>
        <v>8.5886685996395262E-3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27958</v>
      </c>
      <c r="D146" s="146">
        <v>24654</v>
      </c>
      <c r="E146" s="146">
        <f t="shared" si="8"/>
        <v>-3304</v>
      </c>
      <c r="F146" s="150">
        <f t="shared" si="9"/>
        <v>-0.11817726589884828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695295</v>
      </c>
      <c r="D150" s="146">
        <v>718444</v>
      </c>
      <c r="E150" s="146">
        <f t="shared" si="8"/>
        <v>23149</v>
      </c>
      <c r="F150" s="150">
        <f t="shared" si="9"/>
        <v>3.329378177608066E-2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398590</v>
      </c>
      <c r="D151" s="146">
        <v>393647</v>
      </c>
      <c r="E151" s="146">
        <f t="shared" si="8"/>
        <v>-4943</v>
      </c>
      <c r="F151" s="150">
        <f t="shared" si="9"/>
        <v>-1.2401214280338193E-2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112051</v>
      </c>
      <c r="D152" s="146">
        <v>110547</v>
      </c>
      <c r="E152" s="146">
        <f t="shared" si="8"/>
        <v>-1504</v>
      </c>
      <c r="F152" s="150">
        <f t="shared" si="9"/>
        <v>-1.3422459415801733E-2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207914</v>
      </c>
      <c r="D154" s="146">
        <v>204338</v>
      </c>
      <c r="E154" s="146">
        <f t="shared" si="8"/>
        <v>-3576</v>
      </c>
      <c r="F154" s="150">
        <f t="shared" si="9"/>
        <v>-1.7199418990544169E-2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130633</v>
      </c>
      <c r="D155" s="146">
        <v>94827</v>
      </c>
      <c r="E155" s="146">
        <f t="shared" si="8"/>
        <v>-35806</v>
      </c>
      <c r="F155" s="150">
        <f t="shared" si="9"/>
        <v>-0.27409613191153842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3239172</v>
      </c>
      <c r="D156" s="146">
        <v>3633534</v>
      </c>
      <c r="E156" s="146">
        <f t="shared" si="8"/>
        <v>394362</v>
      </c>
      <c r="F156" s="150">
        <f t="shared" si="9"/>
        <v>0.12174777998821922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657362</v>
      </c>
      <c r="D157" s="146">
        <v>698435</v>
      </c>
      <c r="E157" s="146">
        <f t="shared" si="8"/>
        <v>41073</v>
      </c>
      <c r="F157" s="150">
        <f t="shared" si="9"/>
        <v>6.2481555064028645E-2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0</v>
      </c>
      <c r="D160" s="146">
        <v>0</v>
      </c>
      <c r="E160" s="146">
        <f t="shared" si="8"/>
        <v>0</v>
      </c>
      <c r="F160" s="150">
        <f t="shared" si="9"/>
        <v>0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0</v>
      </c>
      <c r="D161" s="146">
        <v>0</v>
      </c>
      <c r="E161" s="146">
        <f t="shared" si="8"/>
        <v>0</v>
      </c>
      <c r="F161" s="150">
        <f t="shared" si="9"/>
        <v>0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0</v>
      </c>
      <c r="D163" s="146">
        <v>0</v>
      </c>
      <c r="E163" s="146">
        <f t="shared" si="8"/>
        <v>0</v>
      </c>
      <c r="F163" s="150">
        <f t="shared" si="9"/>
        <v>0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689377</v>
      </c>
      <c r="D164" s="146">
        <v>775531</v>
      </c>
      <c r="E164" s="146">
        <f t="shared" si="8"/>
        <v>86154</v>
      </c>
      <c r="F164" s="150">
        <f t="shared" si="9"/>
        <v>0.12497370814518036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1027116</v>
      </c>
      <c r="D166" s="146">
        <v>1483241</v>
      </c>
      <c r="E166" s="146">
        <f t="shared" si="8"/>
        <v>456125</v>
      </c>
      <c r="F166" s="150">
        <f t="shared" si="9"/>
        <v>0.4440832388941463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16597137</v>
      </c>
      <c r="D167" s="147">
        <f>SUM(D133:D166)</f>
        <v>17642938</v>
      </c>
      <c r="E167" s="147">
        <f t="shared" si="8"/>
        <v>1045801</v>
      </c>
      <c r="F167" s="148">
        <f t="shared" si="9"/>
        <v>6.301092772807744E-2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3636944</v>
      </c>
      <c r="D170" s="146">
        <v>3646267</v>
      </c>
      <c r="E170" s="146">
        <f t="shared" ref="E170:E183" si="10">D170-C170</f>
        <v>9323</v>
      </c>
      <c r="F170" s="150">
        <f t="shared" ref="F170:F183" si="11">IF(C170=0,0,E170/C170)</f>
        <v>2.5634158788257395E-3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1410442</v>
      </c>
      <c r="D171" s="146">
        <v>1387027</v>
      </c>
      <c r="E171" s="146">
        <f t="shared" si="10"/>
        <v>-23415</v>
      </c>
      <c r="F171" s="150">
        <f t="shared" si="11"/>
        <v>-1.6601178921217603E-2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2187415</v>
      </c>
      <c r="D173" s="146">
        <v>2169504</v>
      </c>
      <c r="E173" s="146">
        <f t="shared" si="10"/>
        <v>-17911</v>
      </c>
      <c r="F173" s="150">
        <f t="shared" si="11"/>
        <v>-8.1882038844937974E-3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1140247</v>
      </c>
      <c r="D175" s="146">
        <v>1125656</v>
      </c>
      <c r="E175" s="146">
        <f t="shared" si="10"/>
        <v>-14591</v>
      </c>
      <c r="F175" s="150">
        <f t="shared" si="11"/>
        <v>-1.2796350264460243E-2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0</v>
      </c>
      <c r="D176" s="146">
        <v>0</v>
      </c>
      <c r="E176" s="146">
        <f t="shared" si="10"/>
        <v>0</v>
      </c>
      <c r="F176" s="150">
        <f t="shared" si="11"/>
        <v>0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3559556</v>
      </c>
      <c r="D179" s="146">
        <v>3295721</v>
      </c>
      <c r="E179" s="146">
        <f t="shared" si="10"/>
        <v>-263835</v>
      </c>
      <c r="F179" s="150">
        <f t="shared" si="11"/>
        <v>-7.412019926080668E-2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0</v>
      </c>
      <c r="D181" s="146">
        <v>0</v>
      </c>
      <c r="E181" s="146">
        <f t="shared" si="10"/>
        <v>0</v>
      </c>
      <c r="F181" s="150">
        <f t="shared" si="11"/>
        <v>0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11934604</v>
      </c>
      <c r="D183" s="147">
        <f>SUM(D170:D182)</f>
        <v>11624175</v>
      </c>
      <c r="E183" s="147">
        <f t="shared" si="10"/>
        <v>-310429</v>
      </c>
      <c r="F183" s="148">
        <f t="shared" si="11"/>
        <v>-2.6010833706757257E-2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1928142</v>
      </c>
      <c r="D186" s="146">
        <v>3564251</v>
      </c>
      <c r="E186" s="146">
        <f>D186-C186</f>
        <v>1636109</v>
      </c>
      <c r="F186" s="150">
        <f>IF(C186=0,0,E186/C186)</f>
        <v>0.84854175677932431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61577163</v>
      </c>
      <c r="D188" s="147">
        <f>+D186+D183+D167+D130+D121</f>
        <v>65981058</v>
      </c>
      <c r="E188" s="147">
        <f>D188-C188</f>
        <v>4403895</v>
      </c>
      <c r="F188" s="148">
        <f>IF(C188=0,0,E188/C188)</f>
        <v>7.1518315970484053E-2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FILING&amp;RJOHNSON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61336304</v>
      </c>
      <c r="D11" s="164">
        <v>59499426</v>
      </c>
      <c r="E11" s="51">
        <v>65318419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252845</v>
      </c>
      <c r="D12" s="49">
        <v>623863</v>
      </c>
      <c r="E12" s="49">
        <v>282934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61589149</v>
      </c>
      <c r="D13" s="51">
        <f>+D11+D12</f>
        <v>60123289</v>
      </c>
      <c r="E13" s="51">
        <f>+E11+E12</f>
        <v>65601353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67684735</v>
      </c>
      <c r="D14" s="49">
        <v>61577163</v>
      </c>
      <c r="E14" s="49">
        <v>65981058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-6095586</v>
      </c>
      <c r="D15" s="51">
        <f>+D13-D14</f>
        <v>-1453874</v>
      </c>
      <c r="E15" s="51">
        <f>+E13-E14</f>
        <v>-379705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33467213</v>
      </c>
      <c r="D16" s="49">
        <v>1205826</v>
      </c>
      <c r="E16" s="49">
        <v>430461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27371627</v>
      </c>
      <c r="D17" s="51">
        <f>D15+D16</f>
        <v>-248048</v>
      </c>
      <c r="E17" s="51">
        <f>E15+E16</f>
        <v>50756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-6.4126018203810489E-2</v>
      </c>
      <c r="D20" s="169">
        <f>IF(+D27=0,0,+D24/+D27)</f>
        <v>-2.3706097829717582E-2</v>
      </c>
      <c r="E20" s="169">
        <f>IF(+E27=0,0,+E24/+E27)</f>
        <v>-5.7503342252569348E-3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0.35207757056808042</v>
      </c>
      <c r="D21" s="169">
        <f>IF(D27=0,0,+D26/D27)</f>
        <v>1.9661558788187306E-2</v>
      </c>
      <c r="E21" s="169">
        <f>IF(E27=0,0,+E26/E27)</f>
        <v>6.5189940109777996E-3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0.28795155236426995</v>
      </c>
      <c r="D22" s="169">
        <f>IF(D27=0,0,+D28/D27)</f>
        <v>-4.0445390415302747E-3</v>
      </c>
      <c r="E22" s="169">
        <f>IF(E27=0,0,+E28/E27)</f>
        <v>7.6865978572086477E-4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-6095586</v>
      </c>
      <c r="D24" s="51">
        <f>+D15</f>
        <v>-1453874</v>
      </c>
      <c r="E24" s="51">
        <f>+E15</f>
        <v>-379705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61589149</v>
      </c>
      <c r="D25" s="51">
        <f>+D13</f>
        <v>60123289</v>
      </c>
      <c r="E25" s="51">
        <f>+E13</f>
        <v>65601353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33467213</v>
      </c>
      <c r="D26" s="51">
        <f>+D16</f>
        <v>1205826</v>
      </c>
      <c r="E26" s="51">
        <f>+E16</f>
        <v>430461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95056362</v>
      </c>
      <c r="D27" s="51">
        <f>+D25+D26</f>
        <v>61329115</v>
      </c>
      <c r="E27" s="51">
        <f>+E25+E26</f>
        <v>66031814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27371627</v>
      </c>
      <c r="D28" s="51">
        <f>+D17</f>
        <v>-248048</v>
      </c>
      <c r="E28" s="51">
        <f>+E17</f>
        <v>50756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4607135</v>
      </c>
      <c r="D31" s="51">
        <v>4359087</v>
      </c>
      <c r="E31" s="51">
        <v>4961873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8733965</v>
      </c>
      <c r="D32" s="51">
        <v>8690013</v>
      </c>
      <c r="E32" s="51">
        <v>9684598</v>
      </c>
      <c r="F32" s="13"/>
    </row>
    <row r="33" spans="1:6" ht="24" customHeight="1" x14ac:dyDescent="0.2">
      <c r="A33" s="25">
        <v>3</v>
      </c>
      <c r="B33" s="48" t="s">
        <v>331</v>
      </c>
      <c r="C33" s="51">
        <v>25444731</v>
      </c>
      <c r="D33" s="51">
        <f>+D32-C32</f>
        <v>-43952</v>
      </c>
      <c r="E33" s="51">
        <f>+E32-D32</f>
        <v>994585</v>
      </c>
      <c r="F33" s="5"/>
    </row>
    <row r="34" spans="1:6" ht="24" customHeight="1" x14ac:dyDescent="0.2">
      <c r="A34" s="25">
        <v>4</v>
      </c>
      <c r="B34" s="48" t="s">
        <v>332</v>
      </c>
      <c r="C34" s="171">
        <v>-0.52259999999999995</v>
      </c>
      <c r="D34" s="171">
        <f>IF(C32=0,0,+D33/C32)</f>
        <v>-5.0323077777389763E-3</v>
      </c>
      <c r="E34" s="171">
        <f>IF(D32=0,0,+E33/D32)</f>
        <v>0.11445149736830083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0.44543777534032608</v>
      </c>
      <c r="D38" s="172">
        <f>IF((D40+D41)=0,0,+D39/(D40+D41))</f>
        <v>0.4105353463550549</v>
      </c>
      <c r="E38" s="172">
        <f>IF((E40+E41)=0,0,+E39/(E40+E41))</f>
        <v>0.43135426055264997</v>
      </c>
      <c r="F38" s="5"/>
    </row>
    <row r="39" spans="1:6" ht="24" customHeight="1" x14ac:dyDescent="0.2">
      <c r="A39" s="21">
        <v>2</v>
      </c>
      <c r="B39" s="48" t="s">
        <v>336</v>
      </c>
      <c r="C39" s="51">
        <v>67684735</v>
      </c>
      <c r="D39" s="51">
        <v>61577163</v>
      </c>
      <c r="E39" s="23">
        <v>65981058</v>
      </c>
      <c r="F39" s="5"/>
    </row>
    <row r="40" spans="1:6" ht="24" customHeight="1" x14ac:dyDescent="0.2">
      <c r="A40" s="21">
        <v>3</v>
      </c>
      <c r="B40" s="48" t="s">
        <v>337</v>
      </c>
      <c r="C40" s="51">
        <v>151379867</v>
      </c>
      <c r="D40" s="51">
        <v>148782545</v>
      </c>
      <c r="E40" s="23">
        <v>152679640</v>
      </c>
      <c r="F40" s="5"/>
    </row>
    <row r="41" spans="1:6" ht="24" customHeight="1" x14ac:dyDescent="0.2">
      <c r="A41" s="21">
        <v>4</v>
      </c>
      <c r="B41" s="48" t="s">
        <v>338</v>
      </c>
      <c r="C41" s="51">
        <v>571177</v>
      </c>
      <c r="D41" s="51">
        <v>1209809</v>
      </c>
      <c r="E41" s="23">
        <v>282934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1.2772621332843792</v>
      </c>
      <c r="D43" s="173">
        <f>IF(D38=0,0,IF((D46-D47)=0,0,((+D44-D45)/(D46-D47)/D38)))</f>
        <v>1.3531318703525037</v>
      </c>
      <c r="E43" s="173">
        <f>IF(E38=0,0,IF((E46-E47)=0,0,((+E44-E45)/(E46-E47)/E38)))</f>
        <v>1.2823343828394123</v>
      </c>
      <c r="F43" s="5"/>
    </row>
    <row r="44" spans="1:6" ht="24" customHeight="1" x14ac:dyDescent="0.2">
      <c r="A44" s="21">
        <v>6</v>
      </c>
      <c r="B44" s="48" t="s">
        <v>340</v>
      </c>
      <c r="C44" s="51">
        <v>34911509</v>
      </c>
      <c r="D44" s="51">
        <v>31234890</v>
      </c>
      <c r="E44" s="23">
        <v>30763776</v>
      </c>
      <c r="F44" s="5"/>
    </row>
    <row r="45" spans="1:6" ht="24" customHeight="1" x14ac:dyDescent="0.2">
      <c r="A45" s="21">
        <v>7</v>
      </c>
      <c r="B45" s="48" t="s">
        <v>341</v>
      </c>
      <c r="C45" s="51">
        <v>221346</v>
      </c>
      <c r="D45" s="51">
        <v>203253</v>
      </c>
      <c r="E45" s="23">
        <v>122287</v>
      </c>
      <c r="F45" s="5"/>
    </row>
    <row r="46" spans="1:6" ht="24" customHeight="1" x14ac:dyDescent="0.2">
      <c r="A46" s="21">
        <v>8</v>
      </c>
      <c r="B46" s="48" t="s">
        <v>342</v>
      </c>
      <c r="C46" s="51">
        <v>64019333</v>
      </c>
      <c r="D46" s="51">
        <v>58453607</v>
      </c>
      <c r="E46" s="23">
        <v>58588470</v>
      </c>
      <c r="F46" s="5"/>
    </row>
    <row r="47" spans="1:6" ht="24" customHeight="1" x14ac:dyDescent="0.2">
      <c r="A47" s="21">
        <v>9</v>
      </c>
      <c r="B47" s="48" t="s">
        <v>343</v>
      </c>
      <c r="C47" s="51">
        <v>3046095</v>
      </c>
      <c r="D47" s="51">
        <v>2591925</v>
      </c>
      <c r="E47" s="174">
        <v>3192970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0.6984209382851676</v>
      </c>
      <c r="D49" s="175">
        <f>IF(D38=0,0,IF(D51=0,0,(D50/D51)/D38))</f>
        <v>0.78085947494102947</v>
      </c>
      <c r="E49" s="175">
        <f>IF(E38=0,0,IF(E51=0,0,(E50/E51)/E38))</f>
        <v>0.829281376934216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21517044</v>
      </c>
      <c r="D50" s="176">
        <v>22030836</v>
      </c>
      <c r="E50" s="176">
        <v>24669733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69163715</v>
      </c>
      <c r="D51" s="176">
        <v>68723859</v>
      </c>
      <c r="E51" s="176">
        <v>68964953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0.60969577331313718</v>
      </c>
      <c r="D53" s="175">
        <f>IF(D38=0,0,IF(D55=0,0,(D54/D55)/D38))</f>
        <v>0.65180569757573315</v>
      </c>
      <c r="E53" s="175">
        <f>IF(E38=0,0,IF(E55=0,0,(E54/E55)/E38))</f>
        <v>0.67863804022928775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4270748</v>
      </c>
      <c r="D54" s="176">
        <v>5516654</v>
      </c>
      <c r="E54" s="176">
        <v>7096251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15725473</v>
      </c>
      <c r="D55" s="176">
        <v>20616125</v>
      </c>
      <c r="E55" s="176">
        <v>24241343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1258249.9104548108</v>
      </c>
      <c r="D57" s="53">
        <f>+D60*D38</f>
        <v>1070219.6679888363</v>
      </c>
      <c r="E57" s="53">
        <f>+E60*E38</f>
        <v>1620752.8130758444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280655</v>
      </c>
      <c r="D58" s="51">
        <v>465816</v>
      </c>
      <c r="E58" s="52">
        <v>193108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2544094</v>
      </c>
      <c r="D59" s="51">
        <v>2141072</v>
      </c>
      <c r="E59" s="52">
        <v>3564251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2824749</v>
      </c>
      <c r="D60" s="51">
        <v>2606888</v>
      </c>
      <c r="E60" s="52">
        <v>3757359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1.8589862403314585E-2</v>
      </c>
      <c r="D62" s="178">
        <f>IF(D63=0,0,+D57/D63)</f>
        <v>1.738013925696506E-2</v>
      </c>
      <c r="E62" s="178">
        <f>IF(E63=0,0,+E57/E63)</f>
        <v>2.4563910646535018E-2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67684735</v>
      </c>
      <c r="D63" s="176">
        <v>61577163</v>
      </c>
      <c r="E63" s="176">
        <v>65981058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0.8914769301120341</v>
      </c>
      <c r="D67" s="179">
        <f>IF(D69=0,0,D68/D69)</f>
        <v>0.94964488504157429</v>
      </c>
      <c r="E67" s="179">
        <f>IF(E69=0,0,E68/E69)</f>
        <v>0.95058854138630211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14621336</v>
      </c>
      <c r="D68" s="180">
        <v>11631657</v>
      </c>
      <c r="E68" s="180">
        <v>11019268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16401250</v>
      </c>
      <c r="D69" s="180">
        <v>12248428</v>
      </c>
      <c r="E69" s="180">
        <v>11592048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23.436027743976027</v>
      </c>
      <c r="D71" s="181">
        <f>IF((D77/365)=0,0,+D74/(D77/365))</f>
        <v>5.5368167474347381</v>
      </c>
      <c r="E71" s="181">
        <f>IF((E77/365)=0,0,+E74/(E77/365))</f>
        <v>4.5792825904920731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4142244</v>
      </c>
      <c r="D72" s="182">
        <v>884888</v>
      </c>
      <c r="E72" s="182">
        <v>787925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4142244</v>
      </c>
      <c r="D74" s="180">
        <f>+D72+D73</f>
        <v>884888</v>
      </c>
      <c r="E74" s="180">
        <f>+E72+E73</f>
        <v>787925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67684735</v>
      </c>
      <c r="D75" s="180">
        <f>+D14</f>
        <v>61577163</v>
      </c>
      <c r="E75" s="180">
        <f>+E14</f>
        <v>65981058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3172136</v>
      </c>
      <c r="D76" s="180">
        <v>3243262</v>
      </c>
      <c r="E76" s="180">
        <v>3178071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64512599</v>
      </c>
      <c r="D77" s="180">
        <f>+D75-D76</f>
        <v>58333901</v>
      </c>
      <c r="E77" s="180">
        <f>+E75-E76</f>
        <v>62802987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40.454678276669561</v>
      </c>
      <c r="D79" s="179">
        <f>IF((D84/365)=0,0,+D83/(D84/365))</f>
        <v>36.501260028962299</v>
      </c>
      <c r="E79" s="179">
        <f>IF((E84/365)=0,0,+E83/(E84/365))</f>
        <v>37.725747388343862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7869668</v>
      </c>
      <c r="D80" s="189">
        <v>7216452</v>
      </c>
      <c r="E80" s="189">
        <v>8023775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1071475</v>
      </c>
      <c r="D82" s="190">
        <v>1266304</v>
      </c>
      <c r="E82" s="190">
        <v>1272580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6798193</v>
      </c>
      <c r="D83" s="191">
        <f>+D80+D81-D82</f>
        <v>5950148</v>
      </c>
      <c r="E83" s="191">
        <f>+E80+E81-E82</f>
        <v>6751195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61336304</v>
      </c>
      <c r="D84" s="191">
        <f>+D11</f>
        <v>59499426</v>
      </c>
      <c r="E84" s="191">
        <f>+E11</f>
        <v>65318419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92.795149207986483</v>
      </c>
      <c r="D86" s="179">
        <f>IF((D90/365)=0,0,+D87/(D90/365))</f>
        <v>76.639417960406931</v>
      </c>
      <c r="E86" s="179">
        <f>IF((E90/365)=0,0,+E87/(E90/365))</f>
        <v>67.370959919470067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16401250</v>
      </c>
      <c r="D87" s="51">
        <f>+D69</f>
        <v>12248428</v>
      </c>
      <c r="E87" s="51">
        <f>+E69</f>
        <v>11592048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67684735</v>
      </c>
      <c r="D88" s="51">
        <f t="shared" si="0"/>
        <v>61577163</v>
      </c>
      <c r="E88" s="51">
        <f t="shared" si="0"/>
        <v>65981058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3172136</v>
      </c>
      <c r="D89" s="52">
        <f t="shared" si="0"/>
        <v>3243262</v>
      </c>
      <c r="E89" s="52">
        <f t="shared" si="0"/>
        <v>3178071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64512599</v>
      </c>
      <c r="D90" s="51">
        <f>+D88-D89</f>
        <v>58333901</v>
      </c>
      <c r="E90" s="51">
        <f>+E88-E89</f>
        <v>62802987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18.621297408597503</v>
      </c>
      <c r="D94" s="192">
        <f>IF(D96=0,0,(D95/D96)*100)</f>
        <v>20.063036164503629</v>
      </c>
      <c r="E94" s="192">
        <f>IF(E96=0,0,(E95/E96)*100)</f>
        <v>22.50092098454456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8733965</v>
      </c>
      <c r="D95" s="51">
        <f>+D32</f>
        <v>8690013</v>
      </c>
      <c r="E95" s="51">
        <f>+E32</f>
        <v>9684598</v>
      </c>
      <c r="F95" s="28"/>
    </row>
    <row r="96" spans="1:6" ht="24" customHeight="1" x14ac:dyDescent="0.25">
      <c r="A96" s="21">
        <v>3</v>
      </c>
      <c r="B96" s="48" t="s">
        <v>43</v>
      </c>
      <c r="C96" s="51">
        <v>46903096</v>
      </c>
      <c r="D96" s="51">
        <v>43313549</v>
      </c>
      <c r="E96" s="51">
        <v>43040896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105.67861949658335</v>
      </c>
      <c r="D98" s="192">
        <f>IF(D104=0,0,(D101/D104)*100)</f>
        <v>12.271857074177113</v>
      </c>
      <c r="E98" s="192">
        <f>IF(E104=0,0,(E101/E104)*100)</f>
        <v>13.793514590424302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27371627</v>
      </c>
      <c r="D99" s="51">
        <f>+D28</f>
        <v>-248048</v>
      </c>
      <c r="E99" s="51">
        <f>+E28</f>
        <v>50756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3172136</v>
      </c>
      <c r="D100" s="52">
        <f>+D76</f>
        <v>3243262</v>
      </c>
      <c r="E100" s="52">
        <f>+E76</f>
        <v>3178071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30543763</v>
      </c>
      <c r="D101" s="51">
        <f>+D99+D100</f>
        <v>2995214</v>
      </c>
      <c r="E101" s="51">
        <f>+E99+E100</f>
        <v>3228827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16401250</v>
      </c>
      <c r="D102" s="180">
        <f>+D69</f>
        <v>12248428</v>
      </c>
      <c r="E102" s="180">
        <f>+E69</f>
        <v>11592048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12501250</v>
      </c>
      <c r="D103" s="194">
        <v>12158750</v>
      </c>
      <c r="E103" s="194">
        <v>11816250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28902500</v>
      </c>
      <c r="D104" s="180">
        <f>+D102+D103</f>
        <v>24407178</v>
      </c>
      <c r="E104" s="180">
        <f>+E102+E103</f>
        <v>23408298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58.870371691551036</v>
      </c>
      <c r="D106" s="197">
        <f>IF(D109=0,0,(D107/D109)*100)</f>
        <v>58.318807691372385</v>
      </c>
      <c r="E106" s="197">
        <f>IF(E109=0,0,(E107/E109)*100)</f>
        <v>54.957134713942445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12501250</v>
      </c>
      <c r="D107" s="180">
        <f>+D103</f>
        <v>12158750</v>
      </c>
      <c r="E107" s="180">
        <f>+E103</f>
        <v>11816250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8733965</v>
      </c>
      <c r="D108" s="180">
        <f>+D32</f>
        <v>8690013</v>
      </c>
      <c r="E108" s="180">
        <f>+E32</f>
        <v>9684598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21235215</v>
      </c>
      <c r="D109" s="180">
        <f>+D107+D108</f>
        <v>20848763</v>
      </c>
      <c r="E109" s="180">
        <f>+E107+E108</f>
        <v>21500848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28.903955300499984</v>
      </c>
      <c r="D111" s="197">
        <f>IF((+D113+D115)=0,0,((+D112+D113+D114)/(+D113+D115)))</f>
        <v>2.3506846063231355</v>
      </c>
      <c r="E111" s="197">
        <f>IF((+E113+E115)=0,0,((+E112+E113+E114)/(+E113+E115)))</f>
        <v>2.4437480021393272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27371627</v>
      </c>
      <c r="D112" s="180">
        <f>+D17</f>
        <v>-248048</v>
      </c>
      <c r="E112" s="180">
        <f>+E17</f>
        <v>50756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592676</v>
      </c>
      <c r="D113" s="180">
        <v>1480694</v>
      </c>
      <c r="E113" s="180">
        <v>1495715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3172136</v>
      </c>
      <c r="D114" s="180">
        <v>3243262</v>
      </c>
      <c r="E114" s="180">
        <v>3178071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484562</v>
      </c>
      <c r="D115" s="180">
        <v>423393</v>
      </c>
      <c r="E115" s="180">
        <v>437603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10.837642207017606</v>
      </c>
      <c r="D119" s="197">
        <f>IF(+D121=0,0,(+D120)/(+D121))</f>
        <v>11.487497463973</v>
      </c>
      <c r="E119" s="197">
        <f>IF(+E121=0,0,(+E120)/(+E121))</f>
        <v>12.333967365738525</v>
      </c>
    </row>
    <row r="120" spans="1:8" ht="24" customHeight="1" x14ac:dyDescent="0.25">
      <c r="A120" s="17">
        <v>21</v>
      </c>
      <c r="B120" s="48" t="s">
        <v>381</v>
      </c>
      <c r="C120" s="180">
        <v>34378475</v>
      </c>
      <c r="D120" s="180">
        <v>37256964</v>
      </c>
      <c r="E120" s="180">
        <v>39198224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3172136</v>
      </c>
      <c r="D121" s="180">
        <v>3243262</v>
      </c>
      <c r="E121" s="180">
        <v>3178071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17737</v>
      </c>
      <c r="D124" s="198">
        <v>15790</v>
      </c>
      <c r="E124" s="198">
        <v>16189</v>
      </c>
    </row>
    <row r="125" spans="1:8" ht="24" customHeight="1" x14ac:dyDescent="0.2">
      <c r="A125" s="44">
        <v>2</v>
      </c>
      <c r="B125" s="48" t="s">
        <v>385</v>
      </c>
      <c r="C125" s="198">
        <v>3437</v>
      </c>
      <c r="D125" s="198">
        <v>3268</v>
      </c>
      <c r="E125" s="198">
        <v>3251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5.1606051789351177</v>
      </c>
      <c r="D126" s="199">
        <f>IF(D125=0,0,D124/D125)</f>
        <v>4.8317013463892291</v>
      </c>
      <c r="E126" s="199">
        <f>IF(E125=0,0,E124/E125)</f>
        <v>4.9796985542909873</v>
      </c>
    </row>
    <row r="127" spans="1:8" ht="24" customHeight="1" x14ac:dyDescent="0.2">
      <c r="A127" s="44">
        <v>4</v>
      </c>
      <c r="B127" s="48" t="s">
        <v>387</v>
      </c>
      <c r="C127" s="198">
        <v>72</v>
      </c>
      <c r="D127" s="198">
        <v>72</v>
      </c>
      <c r="E127" s="198">
        <v>72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95</v>
      </c>
      <c r="E128" s="198">
        <v>95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101</v>
      </c>
      <c r="D129" s="198">
        <v>101</v>
      </c>
      <c r="E129" s="198">
        <v>101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0.67490000000000006</v>
      </c>
      <c r="D130" s="171">
        <v>0.6008</v>
      </c>
      <c r="E130" s="171">
        <v>0.61599999999999999</v>
      </c>
    </row>
    <row r="131" spans="1:8" ht="24" customHeight="1" x14ac:dyDescent="0.2">
      <c r="A131" s="44">
        <v>7</v>
      </c>
      <c r="B131" s="48" t="s">
        <v>391</v>
      </c>
      <c r="C131" s="171">
        <v>0.51149999999999995</v>
      </c>
      <c r="D131" s="171">
        <v>0.45529999999999998</v>
      </c>
      <c r="E131" s="171">
        <v>0.46679999999999999</v>
      </c>
    </row>
    <row r="132" spans="1:8" ht="24" customHeight="1" x14ac:dyDescent="0.2">
      <c r="A132" s="44">
        <v>8</v>
      </c>
      <c r="B132" s="48" t="s">
        <v>392</v>
      </c>
      <c r="C132" s="199">
        <v>475.7</v>
      </c>
      <c r="D132" s="199">
        <v>463.5</v>
      </c>
      <c r="E132" s="199">
        <v>464.2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0.4027830068049934</v>
      </c>
      <c r="D135" s="203">
        <f>IF(D149=0,0,D143/D149)</f>
        <v>0.3754585727781441</v>
      </c>
      <c r="E135" s="203">
        <f>IF(E149=0,0,E143/E149)</f>
        <v>0.362821788157216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0.45688846456708804</v>
      </c>
      <c r="D136" s="203">
        <f>IF(D149=0,0,D144/D149)</f>
        <v>0.46190807530547351</v>
      </c>
      <c r="E136" s="203">
        <f>IF(E149=0,0,E144/E149)</f>
        <v>0.45169711560755582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0.10388087472688821</v>
      </c>
      <c r="D137" s="203">
        <f>IF(D149=0,0,D145/D149)</f>
        <v>0.13856548158925497</v>
      </c>
      <c r="E137" s="203">
        <f>IF(E149=0,0,E145/E149)</f>
        <v>0.15877259731552942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1.1289724544413822E-2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2.012219366000632E-2</v>
      </c>
      <c r="D139" s="203">
        <f>IF(D149=0,0,D147/D149)</f>
        <v>1.7420894366338469E-2</v>
      </c>
      <c r="E139" s="203">
        <f>IF(E149=0,0,E147/E149)</f>
        <v>2.0912873517385817E-2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5.035735696610171E-3</v>
      </c>
      <c r="D140" s="203">
        <f>IF(D149=0,0,D148/D149)</f>
        <v>6.6469759607889487E-3</v>
      </c>
      <c r="E140" s="203">
        <f>IF(E149=0,0,E148/E149)</f>
        <v>5.7956254023129742E-3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60973238</v>
      </c>
      <c r="D143" s="205">
        <f>+D46-D147</f>
        <v>55861682</v>
      </c>
      <c r="E143" s="205">
        <f>+E46-E147</f>
        <v>55395500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69163715</v>
      </c>
      <c r="D144" s="205">
        <f>+D51</f>
        <v>68723859</v>
      </c>
      <c r="E144" s="205">
        <f>+E51</f>
        <v>68964953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15725473</v>
      </c>
      <c r="D145" s="205">
        <f>+D55</f>
        <v>20616125</v>
      </c>
      <c r="E145" s="205">
        <f>+E55</f>
        <v>24241343</v>
      </c>
    </row>
    <row r="146" spans="1:7" ht="20.100000000000001" customHeight="1" x14ac:dyDescent="0.2">
      <c r="A146" s="202">
        <v>11</v>
      </c>
      <c r="B146" s="201" t="s">
        <v>404</v>
      </c>
      <c r="C146" s="204">
        <v>1709037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3046095</v>
      </c>
      <c r="D147" s="205">
        <f>+D47</f>
        <v>2591925</v>
      </c>
      <c r="E147" s="205">
        <f>+E47</f>
        <v>3192970</v>
      </c>
    </row>
    <row r="148" spans="1:7" ht="20.100000000000001" customHeight="1" x14ac:dyDescent="0.2">
      <c r="A148" s="202">
        <v>13</v>
      </c>
      <c r="B148" s="201" t="s">
        <v>406</v>
      </c>
      <c r="C148" s="206">
        <v>762309</v>
      </c>
      <c r="D148" s="205">
        <v>988954</v>
      </c>
      <c r="E148" s="205">
        <v>884874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151379867</v>
      </c>
      <c r="D149" s="205">
        <f>SUM(D143:D148)</f>
        <v>148782545</v>
      </c>
      <c r="E149" s="205">
        <f>SUM(E143:E148)</f>
        <v>152679640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0.56557497134640122</v>
      </c>
      <c r="D152" s="203">
        <f>IF(D166=0,0,D160/D166)</f>
        <v>0.52443017743631359</v>
      </c>
      <c r="E152" s="203">
        <f>IF(E166=0,0,E160/E166)</f>
        <v>0.48761263121417697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0.35080554518464657</v>
      </c>
      <c r="D153" s="203">
        <f>IF(D166=0,0,D161/D166)</f>
        <v>0.3723179422519774</v>
      </c>
      <c r="E153" s="203">
        <f>IF(E166=0,0,E161/E166)</f>
        <v>0.39258122930909828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6.9628620013336348E-2</v>
      </c>
      <c r="D154" s="203">
        <f>IF(D166=0,0,D162/D166)</f>
        <v>9.3230654769348748E-2</v>
      </c>
      <c r="E154" s="203">
        <f>IF(E166=0,0,E162/E166)</f>
        <v>0.11292602725233863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5.2901635415358982E-3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3.6087393883862846E-3</v>
      </c>
      <c r="D156" s="203">
        <f>IF(D166=0,0,D164/D166)</f>
        <v>3.4349463051034992E-3</v>
      </c>
      <c r="E156" s="203">
        <f>IF(E166=0,0,E164/E166)</f>
        <v>1.946011364959714E-3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5.0919605256936782E-3</v>
      </c>
      <c r="D157" s="203">
        <f>IF(D166=0,0,D165/D166)</f>
        <v>6.5862792372567988E-3</v>
      </c>
      <c r="E157" s="203">
        <f>IF(E166=0,0,E165/E166)</f>
        <v>4.9341008594264227E-3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1.0000000000000002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34690163</v>
      </c>
      <c r="D160" s="208">
        <f>+D44-D164</f>
        <v>31031637</v>
      </c>
      <c r="E160" s="208">
        <f>+E44-E164</f>
        <v>30641489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21517044</v>
      </c>
      <c r="D161" s="208">
        <f>+D50</f>
        <v>22030836</v>
      </c>
      <c r="E161" s="208">
        <f>+E50</f>
        <v>24669733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4270748</v>
      </c>
      <c r="D162" s="208">
        <f>+D54</f>
        <v>5516654</v>
      </c>
      <c r="E162" s="208">
        <f>+E54</f>
        <v>7096251</v>
      </c>
    </row>
    <row r="163" spans="1:6" ht="20.100000000000001" customHeight="1" x14ac:dyDescent="0.2">
      <c r="A163" s="202">
        <v>11</v>
      </c>
      <c r="B163" s="201" t="s">
        <v>420</v>
      </c>
      <c r="C163" s="207">
        <v>324478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221346</v>
      </c>
      <c r="D164" s="208">
        <f>+D45</f>
        <v>203253</v>
      </c>
      <c r="E164" s="208">
        <f>+E45</f>
        <v>122287</v>
      </c>
    </row>
    <row r="165" spans="1:6" ht="20.100000000000001" customHeight="1" x14ac:dyDescent="0.2">
      <c r="A165" s="202">
        <v>13</v>
      </c>
      <c r="B165" s="201" t="s">
        <v>422</v>
      </c>
      <c r="C165" s="209">
        <v>312321</v>
      </c>
      <c r="D165" s="208">
        <v>389724</v>
      </c>
      <c r="E165" s="208">
        <v>310058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61336100</v>
      </c>
      <c r="D166" s="208">
        <f>SUM(D160:D165)</f>
        <v>59172104</v>
      </c>
      <c r="E166" s="208">
        <f>SUM(E160:E165)</f>
        <v>62839818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1143</v>
      </c>
      <c r="D169" s="198">
        <v>979</v>
      </c>
      <c r="E169" s="198">
        <v>985</v>
      </c>
    </row>
    <row r="170" spans="1:6" ht="20.100000000000001" customHeight="1" x14ac:dyDescent="0.2">
      <c r="A170" s="202">
        <v>2</v>
      </c>
      <c r="B170" s="201" t="s">
        <v>426</v>
      </c>
      <c r="C170" s="198">
        <v>1733</v>
      </c>
      <c r="D170" s="198">
        <v>1616</v>
      </c>
      <c r="E170" s="198">
        <v>1601</v>
      </c>
    </row>
    <row r="171" spans="1:6" ht="20.100000000000001" customHeight="1" x14ac:dyDescent="0.2">
      <c r="A171" s="202">
        <v>3</v>
      </c>
      <c r="B171" s="201" t="s">
        <v>427</v>
      </c>
      <c r="C171" s="198">
        <v>541</v>
      </c>
      <c r="D171" s="198">
        <v>643</v>
      </c>
      <c r="E171" s="198">
        <v>646</v>
      </c>
    </row>
    <row r="172" spans="1:6" ht="20.100000000000001" customHeight="1" x14ac:dyDescent="0.2">
      <c r="A172" s="202">
        <v>4</v>
      </c>
      <c r="B172" s="201" t="s">
        <v>428</v>
      </c>
      <c r="C172" s="198">
        <v>509</v>
      </c>
      <c r="D172" s="198">
        <v>643</v>
      </c>
      <c r="E172" s="198">
        <v>646</v>
      </c>
    </row>
    <row r="173" spans="1:6" ht="20.100000000000001" customHeight="1" x14ac:dyDescent="0.2">
      <c r="A173" s="202">
        <v>5</v>
      </c>
      <c r="B173" s="201" t="s">
        <v>429</v>
      </c>
      <c r="C173" s="198">
        <v>32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20</v>
      </c>
      <c r="D174" s="198">
        <v>30</v>
      </c>
      <c r="E174" s="198">
        <v>19</v>
      </c>
    </row>
    <row r="175" spans="1:6" ht="20.100000000000001" customHeight="1" x14ac:dyDescent="0.2">
      <c r="A175" s="202">
        <v>7</v>
      </c>
      <c r="B175" s="201" t="s">
        <v>431</v>
      </c>
      <c r="C175" s="198">
        <v>46</v>
      </c>
      <c r="D175" s="198">
        <v>52</v>
      </c>
      <c r="E175" s="198">
        <v>76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3437</v>
      </c>
      <c r="D176" s="198">
        <f>+D169+D170+D171+D174</f>
        <v>3268</v>
      </c>
      <c r="E176" s="198">
        <f>+E169+E170+E171+E174</f>
        <v>3251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1.1677</v>
      </c>
      <c r="D179" s="210">
        <v>1.0203</v>
      </c>
      <c r="E179" s="210">
        <v>1.03942</v>
      </c>
    </row>
    <row r="180" spans="1:6" ht="20.100000000000001" customHeight="1" x14ac:dyDescent="0.2">
      <c r="A180" s="202">
        <v>2</v>
      </c>
      <c r="B180" s="201" t="s">
        <v>426</v>
      </c>
      <c r="C180" s="210">
        <v>1.3520000000000001</v>
      </c>
      <c r="D180" s="210">
        <v>1.3605</v>
      </c>
      <c r="E180" s="210">
        <v>1.3225</v>
      </c>
    </row>
    <row r="181" spans="1:6" ht="20.100000000000001" customHeight="1" x14ac:dyDescent="0.2">
      <c r="A181" s="202">
        <v>3</v>
      </c>
      <c r="B181" s="201" t="s">
        <v>427</v>
      </c>
      <c r="C181" s="210">
        <v>0.86672700000000003</v>
      </c>
      <c r="D181" s="210">
        <v>0.84913000000000005</v>
      </c>
      <c r="E181" s="210">
        <v>0.97484999999999999</v>
      </c>
    </row>
    <row r="182" spans="1:6" ht="20.100000000000001" customHeight="1" x14ac:dyDescent="0.2">
      <c r="A182" s="202">
        <v>4</v>
      </c>
      <c r="B182" s="201" t="s">
        <v>428</v>
      </c>
      <c r="C182" s="210">
        <v>0.85540000000000005</v>
      </c>
      <c r="D182" s="210">
        <v>0.84913000000000005</v>
      </c>
      <c r="E182" s="210">
        <v>0.97484999999999999</v>
      </c>
    </row>
    <row r="183" spans="1:6" ht="20.100000000000001" customHeight="1" x14ac:dyDescent="0.2">
      <c r="A183" s="202">
        <v>5</v>
      </c>
      <c r="B183" s="201" t="s">
        <v>429</v>
      </c>
      <c r="C183" s="210">
        <v>1.0468999999999999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0.79500000000000004</v>
      </c>
      <c r="D184" s="210">
        <v>0.91879999999999995</v>
      </c>
      <c r="E184" s="210">
        <v>1.1223000000000001</v>
      </c>
    </row>
    <row r="185" spans="1:6" ht="20.100000000000001" customHeight="1" x14ac:dyDescent="0.2">
      <c r="A185" s="202">
        <v>7</v>
      </c>
      <c r="B185" s="201" t="s">
        <v>431</v>
      </c>
      <c r="C185" s="210">
        <v>0.92269999999999996</v>
      </c>
      <c r="D185" s="210">
        <v>0.92349999999999999</v>
      </c>
      <c r="E185" s="210">
        <v>0.97609999999999997</v>
      </c>
    </row>
    <row r="186" spans="1:6" ht="20.100000000000001" customHeight="1" x14ac:dyDescent="0.2">
      <c r="A186" s="202">
        <v>8</v>
      </c>
      <c r="B186" s="201" t="s">
        <v>435</v>
      </c>
      <c r="C186" s="210">
        <v>1.211084</v>
      </c>
      <c r="D186" s="210">
        <v>1.153915</v>
      </c>
      <c r="E186" s="210">
        <v>1.16648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2178</v>
      </c>
      <c r="D189" s="198">
        <v>2686</v>
      </c>
      <c r="E189" s="198">
        <v>2537</v>
      </c>
    </row>
    <row r="190" spans="1:6" ht="20.100000000000001" customHeight="1" x14ac:dyDescent="0.2">
      <c r="A190" s="202">
        <v>2</v>
      </c>
      <c r="B190" s="201" t="s">
        <v>439</v>
      </c>
      <c r="C190" s="198">
        <v>17243</v>
      </c>
      <c r="D190" s="198">
        <v>17435</v>
      </c>
      <c r="E190" s="198">
        <v>18145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19421</v>
      </c>
      <c r="D191" s="198">
        <f>+D190+D189</f>
        <v>20121</v>
      </c>
      <c r="E191" s="198">
        <f>+E190+E189</f>
        <v>20682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FILING&amp;RJOHNSON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91738</v>
      </c>
      <c r="D14" s="237">
        <v>331940</v>
      </c>
      <c r="E14" s="237">
        <f t="shared" ref="E14:E24" si="0">D14-C14</f>
        <v>240202</v>
      </c>
      <c r="F14" s="238">
        <f t="shared" ref="F14:F24" si="1">IF(C14=0,0,E14/C14)</f>
        <v>2.6183479038130328</v>
      </c>
    </row>
    <row r="15" spans="1:7" ht="20.25" customHeight="1" x14ac:dyDescent="0.3">
      <c r="A15" s="235">
        <v>2</v>
      </c>
      <c r="B15" s="236" t="s">
        <v>447</v>
      </c>
      <c r="C15" s="237">
        <v>50616</v>
      </c>
      <c r="D15" s="237">
        <v>170621</v>
      </c>
      <c r="E15" s="237">
        <f t="shared" si="0"/>
        <v>120005</v>
      </c>
      <c r="F15" s="238">
        <f t="shared" si="1"/>
        <v>2.3708906274695747</v>
      </c>
    </row>
    <row r="16" spans="1:7" ht="20.25" customHeight="1" x14ac:dyDescent="0.3">
      <c r="A16" s="235">
        <v>3</v>
      </c>
      <c r="B16" s="236" t="s">
        <v>448</v>
      </c>
      <c r="C16" s="237">
        <v>121924</v>
      </c>
      <c r="D16" s="237">
        <v>201591</v>
      </c>
      <c r="E16" s="237">
        <f t="shared" si="0"/>
        <v>79667</v>
      </c>
      <c r="F16" s="238">
        <f t="shared" si="1"/>
        <v>0.65341524228207737</v>
      </c>
    </row>
    <row r="17" spans="1:6" ht="20.25" customHeight="1" x14ac:dyDescent="0.3">
      <c r="A17" s="235">
        <v>4</v>
      </c>
      <c r="B17" s="236" t="s">
        <v>449</v>
      </c>
      <c r="C17" s="237">
        <v>38015</v>
      </c>
      <c r="D17" s="237">
        <v>105314</v>
      </c>
      <c r="E17" s="237">
        <f t="shared" si="0"/>
        <v>67299</v>
      </c>
      <c r="F17" s="238">
        <f t="shared" si="1"/>
        <v>1.7703275023017231</v>
      </c>
    </row>
    <row r="18" spans="1:6" ht="20.25" customHeight="1" x14ac:dyDescent="0.3">
      <c r="A18" s="235">
        <v>5</v>
      </c>
      <c r="B18" s="236" t="s">
        <v>385</v>
      </c>
      <c r="C18" s="239">
        <v>6</v>
      </c>
      <c r="D18" s="239">
        <v>11</v>
      </c>
      <c r="E18" s="239">
        <f t="shared" si="0"/>
        <v>5</v>
      </c>
      <c r="F18" s="238">
        <f t="shared" si="1"/>
        <v>0.83333333333333337</v>
      </c>
    </row>
    <row r="19" spans="1:6" ht="20.25" customHeight="1" x14ac:dyDescent="0.3">
      <c r="A19" s="235">
        <v>6</v>
      </c>
      <c r="B19" s="236" t="s">
        <v>384</v>
      </c>
      <c r="C19" s="239">
        <v>20</v>
      </c>
      <c r="D19" s="239">
        <v>67</v>
      </c>
      <c r="E19" s="239">
        <f t="shared" si="0"/>
        <v>47</v>
      </c>
      <c r="F19" s="238">
        <f t="shared" si="1"/>
        <v>2.35</v>
      </c>
    </row>
    <row r="20" spans="1:6" ht="20.25" customHeight="1" x14ac:dyDescent="0.3">
      <c r="A20" s="235">
        <v>7</v>
      </c>
      <c r="B20" s="236" t="s">
        <v>450</v>
      </c>
      <c r="C20" s="239">
        <v>108</v>
      </c>
      <c r="D20" s="239">
        <v>187</v>
      </c>
      <c r="E20" s="239">
        <f t="shared" si="0"/>
        <v>79</v>
      </c>
      <c r="F20" s="238">
        <f t="shared" si="1"/>
        <v>0.73148148148148151</v>
      </c>
    </row>
    <row r="21" spans="1:6" ht="20.25" customHeight="1" x14ac:dyDescent="0.3">
      <c r="A21" s="235">
        <v>8</v>
      </c>
      <c r="B21" s="236" t="s">
        <v>451</v>
      </c>
      <c r="C21" s="239">
        <v>17</v>
      </c>
      <c r="D21" s="239">
        <v>24</v>
      </c>
      <c r="E21" s="239">
        <f t="shared" si="0"/>
        <v>7</v>
      </c>
      <c r="F21" s="238">
        <f t="shared" si="1"/>
        <v>0.41176470588235292</v>
      </c>
    </row>
    <row r="22" spans="1:6" ht="20.25" customHeight="1" x14ac:dyDescent="0.3">
      <c r="A22" s="235">
        <v>9</v>
      </c>
      <c r="B22" s="236" t="s">
        <v>452</v>
      </c>
      <c r="C22" s="239">
        <v>3</v>
      </c>
      <c r="D22" s="239">
        <v>10</v>
      </c>
      <c r="E22" s="239">
        <f t="shared" si="0"/>
        <v>7</v>
      </c>
      <c r="F22" s="238">
        <f t="shared" si="1"/>
        <v>2.3333333333333335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213662</v>
      </c>
      <c r="D23" s="243">
        <f>+D14+D16</f>
        <v>533531</v>
      </c>
      <c r="E23" s="243">
        <f t="shared" si="0"/>
        <v>319869</v>
      </c>
      <c r="F23" s="244">
        <f t="shared" si="1"/>
        <v>1.4970794993962426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88631</v>
      </c>
      <c r="D24" s="243">
        <f>+D15+D17</f>
        <v>275935</v>
      </c>
      <c r="E24" s="243">
        <f t="shared" si="0"/>
        <v>187304</v>
      </c>
      <c r="F24" s="244">
        <f t="shared" si="1"/>
        <v>2.1133012151504551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23389</v>
      </c>
      <c r="D27" s="237">
        <v>0</v>
      </c>
      <c r="E27" s="237">
        <f t="shared" ref="E27:E37" si="2">D27-C27</f>
        <v>-23389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447</v>
      </c>
      <c r="C28" s="237">
        <v>8481</v>
      </c>
      <c r="D28" s="237">
        <v>0</v>
      </c>
      <c r="E28" s="237">
        <f t="shared" si="2"/>
        <v>-8481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448</v>
      </c>
      <c r="C29" s="237">
        <v>12276</v>
      </c>
      <c r="D29" s="237">
        <v>0</v>
      </c>
      <c r="E29" s="237">
        <f t="shared" si="2"/>
        <v>-12276</v>
      </c>
      <c r="F29" s="238">
        <f t="shared" si="3"/>
        <v>-1</v>
      </c>
    </row>
    <row r="30" spans="1:6" ht="20.25" customHeight="1" x14ac:dyDescent="0.3">
      <c r="A30" s="235">
        <v>4</v>
      </c>
      <c r="B30" s="236" t="s">
        <v>449</v>
      </c>
      <c r="C30" s="237">
        <v>2599</v>
      </c>
      <c r="D30" s="237">
        <v>0</v>
      </c>
      <c r="E30" s="237">
        <f t="shared" si="2"/>
        <v>-2599</v>
      </c>
      <c r="F30" s="238">
        <f t="shared" si="3"/>
        <v>-1</v>
      </c>
    </row>
    <row r="31" spans="1:6" ht="20.25" customHeight="1" x14ac:dyDescent="0.3">
      <c r="A31" s="235">
        <v>5</v>
      </c>
      <c r="B31" s="236" t="s">
        <v>385</v>
      </c>
      <c r="C31" s="239">
        <v>1</v>
      </c>
      <c r="D31" s="239">
        <v>0</v>
      </c>
      <c r="E31" s="239">
        <f t="shared" si="2"/>
        <v>-1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384</v>
      </c>
      <c r="C32" s="239">
        <v>7</v>
      </c>
      <c r="D32" s="239">
        <v>0</v>
      </c>
      <c r="E32" s="239">
        <f t="shared" si="2"/>
        <v>-7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450</v>
      </c>
      <c r="C33" s="239">
        <v>14</v>
      </c>
      <c r="D33" s="239">
        <v>0</v>
      </c>
      <c r="E33" s="239">
        <f t="shared" si="2"/>
        <v>-14</v>
      </c>
      <c r="F33" s="238">
        <f t="shared" si="3"/>
        <v>-1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76</v>
      </c>
      <c r="D35" s="239">
        <v>0</v>
      </c>
      <c r="E35" s="239">
        <f t="shared" si="2"/>
        <v>-76</v>
      </c>
      <c r="F35" s="238">
        <f t="shared" si="3"/>
        <v>-1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35665</v>
      </c>
      <c r="D36" s="243">
        <f>+D27+D29</f>
        <v>0</v>
      </c>
      <c r="E36" s="243">
        <f t="shared" si="2"/>
        <v>-35665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11080</v>
      </c>
      <c r="D37" s="243">
        <f>+D28+D30</f>
        <v>0</v>
      </c>
      <c r="E37" s="243">
        <f t="shared" si="2"/>
        <v>-11080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2067053</v>
      </c>
      <c r="D40" s="237">
        <v>2315054</v>
      </c>
      <c r="E40" s="237">
        <f t="shared" ref="E40:E50" si="4">D40-C40</f>
        <v>248001</v>
      </c>
      <c r="F40" s="238">
        <f t="shared" ref="F40:F50" si="5">IF(C40=0,0,E40/C40)</f>
        <v>0.11997805571506875</v>
      </c>
    </row>
    <row r="41" spans="1:6" ht="20.25" customHeight="1" x14ac:dyDescent="0.3">
      <c r="A41" s="235">
        <v>2</v>
      </c>
      <c r="B41" s="236" t="s">
        <v>447</v>
      </c>
      <c r="C41" s="237">
        <v>999850</v>
      </c>
      <c r="D41" s="237">
        <v>1145646</v>
      </c>
      <c r="E41" s="237">
        <f t="shared" si="4"/>
        <v>145796</v>
      </c>
      <c r="F41" s="238">
        <f t="shared" si="5"/>
        <v>0.14581787268090213</v>
      </c>
    </row>
    <row r="42" spans="1:6" ht="20.25" customHeight="1" x14ac:dyDescent="0.3">
      <c r="A42" s="235">
        <v>3</v>
      </c>
      <c r="B42" s="236" t="s">
        <v>448</v>
      </c>
      <c r="C42" s="237">
        <v>1703350</v>
      </c>
      <c r="D42" s="237">
        <v>2416104</v>
      </c>
      <c r="E42" s="237">
        <f t="shared" si="4"/>
        <v>712754</v>
      </c>
      <c r="F42" s="238">
        <f t="shared" si="5"/>
        <v>0.41844248099333664</v>
      </c>
    </row>
    <row r="43" spans="1:6" ht="20.25" customHeight="1" x14ac:dyDescent="0.3">
      <c r="A43" s="235">
        <v>4</v>
      </c>
      <c r="B43" s="236" t="s">
        <v>449</v>
      </c>
      <c r="C43" s="237">
        <v>443281</v>
      </c>
      <c r="D43" s="237">
        <v>1265934</v>
      </c>
      <c r="E43" s="237">
        <f t="shared" si="4"/>
        <v>822653</v>
      </c>
      <c r="F43" s="238">
        <f t="shared" si="5"/>
        <v>1.8558273420245848</v>
      </c>
    </row>
    <row r="44" spans="1:6" ht="20.25" customHeight="1" x14ac:dyDescent="0.3">
      <c r="A44" s="235">
        <v>5</v>
      </c>
      <c r="B44" s="236" t="s">
        <v>385</v>
      </c>
      <c r="C44" s="239">
        <v>67</v>
      </c>
      <c r="D44" s="239">
        <v>77</v>
      </c>
      <c r="E44" s="239">
        <f t="shared" si="4"/>
        <v>10</v>
      </c>
      <c r="F44" s="238">
        <f t="shared" si="5"/>
        <v>0.14925373134328357</v>
      </c>
    </row>
    <row r="45" spans="1:6" ht="20.25" customHeight="1" x14ac:dyDescent="0.3">
      <c r="A45" s="235">
        <v>6</v>
      </c>
      <c r="B45" s="236" t="s">
        <v>384</v>
      </c>
      <c r="C45" s="239">
        <v>397</v>
      </c>
      <c r="D45" s="239">
        <v>471</v>
      </c>
      <c r="E45" s="239">
        <f t="shared" si="4"/>
        <v>74</v>
      </c>
      <c r="F45" s="238">
        <f t="shared" si="5"/>
        <v>0.18639798488664988</v>
      </c>
    </row>
    <row r="46" spans="1:6" ht="20.25" customHeight="1" x14ac:dyDescent="0.3">
      <c r="A46" s="235">
        <v>7</v>
      </c>
      <c r="B46" s="236" t="s">
        <v>450</v>
      </c>
      <c r="C46" s="239">
        <v>1750</v>
      </c>
      <c r="D46" s="239">
        <v>2391</v>
      </c>
      <c r="E46" s="239">
        <f t="shared" si="4"/>
        <v>641</v>
      </c>
      <c r="F46" s="238">
        <f t="shared" si="5"/>
        <v>0.36628571428571427</v>
      </c>
    </row>
    <row r="47" spans="1:6" ht="20.25" customHeight="1" x14ac:dyDescent="0.3">
      <c r="A47" s="235">
        <v>8</v>
      </c>
      <c r="B47" s="236" t="s">
        <v>451</v>
      </c>
      <c r="C47" s="239">
        <v>148</v>
      </c>
      <c r="D47" s="239">
        <v>217</v>
      </c>
      <c r="E47" s="239">
        <f t="shared" si="4"/>
        <v>69</v>
      </c>
      <c r="F47" s="238">
        <f t="shared" si="5"/>
        <v>0.46621621621621623</v>
      </c>
    </row>
    <row r="48" spans="1:6" ht="20.25" customHeight="1" x14ac:dyDescent="0.3">
      <c r="A48" s="235">
        <v>9</v>
      </c>
      <c r="B48" s="236" t="s">
        <v>452</v>
      </c>
      <c r="C48" s="239">
        <v>56</v>
      </c>
      <c r="D48" s="239">
        <v>70</v>
      </c>
      <c r="E48" s="239">
        <f t="shared" si="4"/>
        <v>14</v>
      </c>
      <c r="F48" s="238">
        <f t="shared" si="5"/>
        <v>0.25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3770403</v>
      </c>
      <c r="D49" s="243">
        <f>+D40+D42</f>
        <v>4731158</v>
      </c>
      <c r="E49" s="243">
        <f t="shared" si="4"/>
        <v>960755</v>
      </c>
      <c r="F49" s="244">
        <f t="shared" si="5"/>
        <v>0.25481493622830237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1443131</v>
      </c>
      <c r="D50" s="243">
        <f>+D41+D43</f>
        <v>2411580</v>
      </c>
      <c r="E50" s="243">
        <f t="shared" si="4"/>
        <v>968449</v>
      </c>
      <c r="F50" s="244">
        <f t="shared" si="5"/>
        <v>0.67107490588172525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1265241</v>
      </c>
      <c r="D53" s="237">
        <v>0</v>
      </c>
      <c r="E53" s="237">
        <f t="shared" ref="E53:E63" si="6">D53-C53</f>
        <v>-1265241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555051</v>
      </c>
      <c r="D54" s="237">
        <v>0</v>
      </c>
      <c r="E54" s="237">
        <f t="shared" si="6"/>
        <v>-555051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892621</v>
      </c>
      <c r="D55" s="237">
        <v>0</v>
      </c>
      <c r="E55" s="237">
        <f t="shared" si="6"/>
        <v>-892621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208535</v>
      </c>
      <c r="D56" s="237">
        <v>0</v>
      </c>
      <c r="E56" s="237">
        <f t="shared" si="6"/>
        <v>-208535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38</v>
      </c>
      <c r="D57" s="239">
        <v>0</v>
      </c>
      <c r="E57" s="239">
        <f t="shared" si="6"/>
        <v>-38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253</v>
      </c>
      <c r="D58" s="239">
        <v>0</v>
      </c>
      <c r="E58" s="239">
        <f t="shared" si="6"/>
        <v>-253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776</v>
      </c>
      <c r="D59" s="239">
        <v>0</v>
      </c>
      <c r="E59" s="239">
        <f t="shared" si="6"/>
        <v>-776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71</v>
      </c>
      <c r="D60" s="239">
        <v>0</v>
      </c>
      <c r="E60" s="239">
        <f t="shared" si="6"/>
        <v>-71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38</v>
      </c>
      <c r="D61" s="239">
        <v>0</v>
      </c>
      <c r="E61" s="239">
        <f t="shared" si="6"/>
        <v>-38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2157862</v>
      </c>
      <c r="D62" s="243">
        <f>+D53+D55</f>
        <v>0</v>
      </c>
      <c r="E62" s="243">
        <f t="shared" si="6"/>
        <v>-2157862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763586</v>
      </c>
      <c r="D63" s="243">
        <f>+D54+D56</f>
        <v>0</v>
      </c>
      <c r="E63" s="243">
        <f t="shared" si="6"/>
        <v>-763586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76781</v>
      </c>
      <c r="D66" s="237">
        <v>0</v>
      </c>
      <c r="E66" s="237">
        <f t="shared" ref="E66:E76" si="8">D66-C66</f>
        <v>-76781</v>
      </c>
      <c r="F66" s="238">
        <f t="shared" ref="F66:F76" si="9">IF(C66=0,0,E66/C66)</f>
        <v>-1</v>
      </c>
    </row>
    <row r="67" spans="1:6" ht="20.25" customHeight="1" x14ac:dyDescent="0.3">
      <c r="A67" s="235">
        <v>2</v>
      </c>
      <c r="B67" s="236" t="s">
        <v>447</v>
      </c>
      <c r="C67" s="237">
        <v>40302</v>
      </c>
      <c r="D67" s="237">
        <v>0</v>
      </c>
      <c r="E67" s="237">
        <f t="shared" si="8"/>
        <v>-40302</v>
      </c>
      <c r="F67" s="238">
        <f t="shared" si="9"/>
        <v>-1</v>
      </c>
    </row>
    <row r="68" spans="1:6" ht="20.25" customHeight="1" x14ac:dyDescent="0.3">
      <c r="A68" s="235">
        <v>3</v>
      </c>
      <c r="B68" s="236" t="s">
        <v>448</v>
      </c>
      <c r="C68" s="237">
        <v>39036</v>
      </c>
      <c r="D68" s="237">
        <v>15895</v>
      </c>
      <c r="E68" s="237">
        <f t="shared" si="8"/>
        <v>-23141</v>
      </c>
      <c r="F68" s="238">
        <f t="shared" si="9"/>
        <v>-0.59281176350035869</v>
      </c>
    </row>
    <row r="69" spans="1:6" ht="20.25" customHeight="1" x14ac:dyDescent="0.3">
      <c r="A69" s="235">
        <v>4</v>
      </c>
      <c r="B69" s="236" t="s">
        <v>449</v>
      </c>
      <c r="C69" s="237">
        <v>11676</v>
      </c>
      <c r="D69" s="237">
        <v>11255</v>
      </c>
      <c r="E69" s="237">
        <f t="shared" si="8"/>
        <v>-421</v>
      </c>
      <c r="F69" s="238">
        <f t="shared" si="9"/>
        <v>-3.6056868790681741E-2</v>
      </c>
    </row>
    <row r="70" spans="1:6" ht="20.25" customHeight="1" x14ac:dyDescent="0.3">
      <c r="A70" s="235">
        <v>5</v>
      </c>
      <c r="B70" s="236" t="s">
        <v>385</v>
      </c>
      <c r="C70" s="239">
        <v>4</v>
      </c>
      <c r="D70" s="239">
        <v>0</v>
      </c>
      <c r="E70" s="239">
        <f t="shared" si="8"/>
        <v>-4</v>
      </c>
      <c r="F70" s="238">
        <f t="shared" si="9"/>
        <v>-1</v>
      </c>
    </row>
    <row r="71" spans="1:6" ht="20.25" customHeight="1" x14ac:dyDescent="0.3">
      <c r="A71" s="235">
        <v>6</v>
      </c>
      <c r="B71" s="236" t="s">
        <v>384</v>
      </c>
      <c r="C71" s="239">
        <v>16</v>
      </c>
      <c r="D71" s="239">
        <v>0</v>
      </c>
      <c r="E71" s="239">
        <f t="shared" si="8"/>
        <v>-16</v>
      </c>
      <c r="F71" s="238">
        <f t="shared" si="9"/>
        <v>-1</v>
      </c>
    </row>
    <row r="72" spans="1:6" ht="20.25" customHeight="1" x14ac:dyDescent="0.3">
      <c r="A72" s="235">
        <v>7</v>
      </c>
      <c r="B72" s="236" t="s">
        <v>450</v>
      </c>
      <c r="C72" s="239">
        <v>20</v>
      </c>
      <c r="D72" s="239">
        <v>3</v>
      </c>
      <c r="E72" s="239">
        <f t="shared" si="8"/>
        <v>-17</v>
      </c>
      <c r="F72" s="238">
        <f t="shared" si="9"/>
        <v>-0.85</v>
      </c>
    </row>
    <row r="73" spans="1:6" ht="20.25" customHeight="1" x14ac:dyDescent="0.3">
      <c r="A73" s="235">
        <v>8</v>
      </c>
      <c r="B73" s="236" t="s">
        <v>451</v>
      </c>
      <c r="C73" s="239">
        <v>22</v>
      </c>
      <c r="D73" s="239">
        <v>10</v>
      </c>
      <c r="E73" s="239">
        <f t="shared" si="8"/>
        <v>-12</v>
      </c>
      <c r="F73" s="238">
        <f t="shared" si="9"/>
        <v>-0.54545454545454541</v>
      </c>
    </row>
    <row r="74" spans="1:6" ht="20.25" customHeight="1" x14ac:dyDescent="0.3">
      <c r="A74" s="235">
        <v>9</v>
      </c>
      <c r="B74" s="236" t="s">
        <v>452</v>
      </c>
      <c r="C74" s="239">
        <v>5</v>
      </c>
      <c r="D74" s="239">
        <v>0</v>
      </c>
      <c r="E74" s="239">
        <f t="shared" si="8"/>
        <v>-5</v>
      </c>
      <c r="F74" s="238">
        <f t="shared" si="9"/>
        <v>-1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115817</v>
      </c>
      <c r="D75" s="243">
        <f>+D66+D68</f>
        <v>15895</v>
      </c>
      <c r="E75" s="243">
        <f t="shared" si="8"/>
        <v>-99922</v>
      </c>
      <c r="F75" s="244">
        <f t="shared" si="9"/>
        <v>-0.86275762625521302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51978</v>
      </c>
      <c r="D76" s="243">
        <f>+D67+D69</f>
        <v>11255</v>
      </c>
      <c r="E76" s="243">
        <f t="shared" si="8"/>
        <v>-40723</v>
      </c>
      <c r="F76" s="244">
        <f t="shared" si="9"/>
        <v>-0.78346608180384003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447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448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449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385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384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450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2064076</v>
      </c>
      <c r="D92" s="237">
        <v>3857537</v>
      </c>
      <c r="E92" s="237">
        <f t="shared" ref="E92:E102" si="12">D92-C92</f>
        <v>1793461</v>
      </c>
      <c r="F92" s="238">
        <f t="shared" ref="F92:F102" si="13">IF(C92=0,0,E92/C92)</f>
        <v>0.86889290898203364</v>
      </c>
    </row>
    <row r="93" spans="1:6" ht="20.25" customHeight="1" x14ac:dyDescent="0.3">
      <c r="A93" s="235">
        <v>2</v>
      </c>
      <c r="B93" s="236" t="s">
        <v>447</v>
      </c>
      <c r="C93" s="237">
        <v>1038578</v>
      </c>
      <c r="D93" s="237">
        <v>2011054</v>
      </c>
      <c r="E93" s="237">
        <f t="shared" si="12"/>
        <v>972476</v>
      </c>
      <c r="F93" s="238">
        <f t="shared" si="13"/>
        <v>0.93635336007502568</v>
      </c>
    </row>
    <row r="94" spans="1:6" ht="20.25" customHeight="1" x14ac:dyDescent="0.3">
      <c r="A94" s="235">
        <v>3</v>
      </c>
      <c r="B94" s="236" t="s">
        <v>448</v>
      </c>
      <c r="C94" s="237">
        <v>2497121</v>
      </c>
      <c r="D94" s="237">
        <v>2970514</v>
      </c>
      <c r="E94" s="237">
        <f t="shared" si="12"/>
        <v>473393</v>
      </c>
      <c r="F94" s="238">
        <f t="shared" si="13"/>
        <v>0.18957551516326202</v>
      </c>
    </row>
    <row r="95" spans="1:6" ht="20.25" customHeight="1" x14ac:dyDescent="0.3">
      <c r="A95" s="235">
        <v>4</v>
      </c>
      <c r="B95" s="236" t="s">
        <v>449</v>
      </c>
      <c r="C95" s="237">
        <v>645160</v>
      </c>
      <c r="D95" s="237">
        <v>1536433</v>
      </c>
      <c r="E95" s="237">
        <f t="shared" si="12"/>
        <v>891273</v>
      </c>
      <c r="F95" s="238">
        <f t="shared" si="13"/>
        <v>1.3814759129518259</v>
      </c>
    </row>
    <row r="96" spans="1:6" ht="20.25" customHeight="1" x14ac:dyDescent="0.3">
      <c r="A96" s="235">
        <v>5</v>
      </c>
      <c r="B96" s="236" t="s">
        <v>385</v>
      </c>
      <c r="C96" s="239">
        <v>86</v>
      </c>
      <c r="D96" s="239">
        <v>165</v>
      </c>
      <c r="E96" s="239">
        <f t="shared" si="12"/>
        <v>79</v>
      </c>
      <c r="F96" s="238">
        <f t="shared" si="13"/>
        <v>0.91860465116279066</v>
      </c>
    </row>
    <row r="97" spans="1:6" ht="20.25" customHeight="1" x14ac:dyDescent="0.3">
      <c r="A97" s="235">
        <v>6</v>
      </c>
      <c r="B97" s="236" t="s">
        <v>384</v>
      </c>
      <c r="C97" s="239">
        <v>440</v>
      </c>
      <c r="D97" s="239">
        <v>822</v>
      </c>
      <c r="E97" s="239">
        <f t="shared" si="12"/>
        <v>382</v>
      </c>
      <c r="F97" s="238">
        <f t="shared" si="13"/>
        <v>0.86818181818181817</v>
      </c>
    </row>
    <row r="98" spans="1:6" ht="20.25" customHeight="1" x14ac:dyDescent="0.3">
      <c r="A98" s="235">
        <v>7</v>
      </c>
      <c r="B98" s="236" t="s">
        <v>450</v>
      </c>
      <c r="C98" s="239">
        <v>2257</v>
      </c>
      <c r="D98" s="239">
        <v>3077</v>
      </c>
      <c r="E98" s="239">
        <f t="shared" si="12"/>
        <v>820</v>
      </c>
      <c r="F98" s="238">
        <f t="shared" si="13"/>
        <v>0.36331413380593708</v>
      </c>
    </row>
    <row r="99" spans="1:6" ht="20.25" customHeight="1" x14ac:dyDescent="0.3">
      <c r="A99" s="235">
        <v>8</v>
      </c>
      <c r="B99" s="236" t="s">
        <v>451</v>
      </c>
      <c r="C99" s="239">
        <v>222</v>
      </c>
      <c r="D99" s="239">
        <v>284</v>
      </c>
      <c r="E99" s="239">
        <f t="shared" si="12"/>
        <v>62</v>
      </c>
      <c r="F99" s="238">
        <f t="shared" si="13"/>
        <v>0.27927927927927926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152</v>
      </c>
      <c r="E100" s="239">
        <f t="shared" si="12"/>
        <v>152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4561197</v>
      </c>
      <c r="D101" s="243">
        <f>+D92+D94</f>
        <v>6828051</v>
      </c>
      <c r="E101" s="243">
        <f t="shared" si="12"/>
        <v>2266854</v>
      </c>
      <c r="F101" s="244">
        <f t="shared" si="13"/>
        <v>0.49698664626851241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1683738</v>
      </c>
      <c r="D102" s="243">
        <f>+D93+D95</f>
        <v>3547487</v>
      </c>
      <c r="E102" s="243">
        <f t="shared" si="12"/>
        <v>1863749</v>
      </c>
      <c r="F102" s="244">
        <f t="shared" si="13"/>
        <v>1.1069115266151859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377788</v>
      </c>
      <c r="D105" s="237">
        <v>213273</v>
      </c>
      <c r="E105" s="237">
        <f t="shared" ref="E105:E115" si="14">D105-C105</f>
        <v>-164515</v>
      </c>
      <c r="F105" s="238">
        <f t="shared" ref="F105:F115" si="15">IF(C105=0,0,E105/C105)</f>
        <v>-0.43546909907143688</v>
      </c>
    </row>
    <row r="106" spans="1:6" ht="20.25" customHeight="1" x14ac:dyDescent="0.3">
      <c r="A106" s="235">
        <v>2</v>
      </c>
      <c r="B106" s="236" t="s">
        <v>447</v>
      </c>
      <c r="C106" s="237">
        <v>161920</v>
      </c>
      <c r="D106" s="237">
        <v>126723</v>
      </c>
      <c r="E106" s="237">
        <f t="shared" si="14"/>
        <v>-35197</v>
      </c>
      <c r="F106" s="238">
        <f t="shared" si="15"/>
        <v>-0.21737277667984189</v>
      </c>
    </row>
    <row r="107" spans="1:6" ht="20.25" customHeight="1" x14ac:dyDescent="0.3">
      <c r="A107" s="235">
        <v>3</v>
      </c>
      <c r="B107" s="236" t="s">
        <v>448</v>
      </c>
      <c r="C107" s="237">
        <v>61456</v>
      </c>
      <c r="D107" s="237">
        <v>180225</v>
      </c>
      <c r="E107" s="237">
        <f t="shared" si="14"/>
        <v>118769</v>
      </c>
      <c r="F107" s="238">
        <f t="shared" si="15"/>
        <v>1.9325859151262692</v>
      </c>
    </row>
    <row r="108" spans="1:6" ht="20.25" customHeight="1" x14ac:dyDescent="0.3">
      <c r="A108" s="235">
        <v>4</v>
      </c>
      <c r="B108" s="236" t="s">
        <v>449</v>
      </c>
      <c r="C108" s="237">
        <v>19352</v>
      </c>
      <c r="D108" s="237">
        <v>84036</v>
      </c>
      <c r="E108" s="237">
        <f t="shared" si="14"/>
        <v>64684</v>
      </c>
      <c r="F108" s="238">
        <f t="shared" si="15"/>
        <v>3.3424968995452669</v>
      </c>
    </row>
    <row r="109" spans="1:6" ht="20.25" customHeight="1" x14ac:dyDescent="0.3">
      <c r="A109" s="235">
        <v>5</v>
      </c>
      <c r="B109" s="236" t="s">
        <v>385</v>
      </c>
      <c r="C109" s="239">
        <v>11</v>
      </c>
      <c r="D109" s="239">
        <v>11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72</v>
      </c>
      <c r="D110" s="239">
        <v>48</v>
      </c>
      <c r="E110" s="239">
        <f t="shared" si="14"/>
        <v>-24</v>
      </c>
      <c r="F110" s="238">
        <f t="shared" si="15"/>
        <v>-0.33333333333333331</v>
      </c>
    </row>
    <row r="111" spans="1:6" ht="20.25" customHeight="1" x14ac:dyDescent="0.3">
      <c r="A111" s="235">
        <v>7</v>
      </c>
      <c r="B111" s="236" t="s">
        <v>450</v>
      </c>
      <c r="C111" s="239">
        <v>46</v>
      </c>
      <c r="D111" s="239">
        <v>126</v>
      </c>
      <c r="E111" s="239">
        <f t="shared" si="14"/>
        <v>80</v>
      </c>
      <c r="F111" s="238">
        <f t="shared" si="15"/>
        <v>1.7391304347826086</v>
      </c>
    </row>
    <row r="112" spans="1:6" ht="20.25" customHeight="1" x14ac:dyDescent="0.3">
      <c r="A112" s="235">
        <v>8</v>
      </c>
      <c r="B112" s="236" t="s">
        <v>451</v>
      </c>
      <c r="C112" s="239">
        <v>13</v>
      </c>
      <c r="D112" s="239">
        <v>23</v>
      </c>
      <c r="E112" s="239">
        <f t="shared" si="14"/>
        <v>10</v>
      </c>
      <c r="F112" s="238">
        <f t="shared" si="15"/>
        <v>0.76923076923076927</v>
      </c>
    </row>
    <row r="113" spans="1:6" ht="20.25" customHeight="1" x14ac:dyDescent="0.3">
      <c r="A113" s="235">
        <v>9</v>
      </c>
      <c r="B113" s="236" t="s">
        <v>452</v>
      </c>
      <c r="C113" s="239">
        <v>7</v>
      </c>
      <c r="D113" s="239">
        <v>7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439244</v>
      </c>
      <c r="D114" s="243">
        <f>+D105+D107</f>
        <v>393498</v>
      </c>
      <c r="E114" s="243">
        <f t="shared" si="14"/>
        <v>-45746</v>
      </c>
      <c r="F114" s="244">
        <f t="shared" si="15"/>
        <v>-0.10414712551565872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181272</v>
      </c>
      <c r="D115" s="243">
        <f>+D106+D108</f>
        <v>210759</v>
      </c>
      <c r="E115" s="243">
        <f t="shared" si="14"/>
        <v>29487</v>
      </c>
      <c r="F115" s="244">
        <f t="shared" si="15"/>
        <v>0.16266715212498345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290957</v>
      </c>
      <c r="D118" s="237">
        <v>648475</v>
      </c>
      <c r="E118" s="237">
        <f t="shared" ref="E118:E128" si="16">D118-C118</f>
        <v>357518</v>
      </c>
      <c r="F118" s="238">
        <f t="shared" ref="F118:F128" si="17">IF(C118=0,0,E118/C118)</f>
        <v>1.2287657626384654</v>
      </c>
    </row>
    <row r="119" spans="1:6" ht="20.25" customHeight="1" x14ac:dyDescent="0.3">
      <c r="A119" s="235">
        <v>2</v>
      </c>
      <c r="B119" s="236" t="s">
        <v>447</v>
      </c>
      <c r="C119" s="237">
        <v>167992</v>
      </c>
      <c r="D119" s="237">
        <v>328467</v>
      </c>
      <c r="E119" s="237">
        <f t="shared" si="16"/>
        <v>160475</v>
      </c>
      <c r="F119" s="238">
        <f t="shared" si="17"/>
        <v>0.95525382161055283</v>
      </c>
    </row>
    <row r="120" spans="1:6" ht="20.25" customHeight="1" x14ac:dyDescent="0.3">
      <c r="A120" s="235">
        <v>3</v>
      </c>
      <c r="B120" s="236" t="s">
        <v>448</v>
      </c>
      <c r="C120" s="237">
        <v>342064</v>
      </c>
      <c r="D120" s="237">
        <v>390846</v>
      </c>
      <c r="E120" s="237">
        <f t="shared" si="16"/>
        <v>48782</v>
      </c>
      <c r="F120" s="238">
        <f t="shared" si="17"/>
        <v>0.14261073951073483</v>
      </c>
    </row>
    <row r="121" spans="1:6" ht="20.25" customHeight="1" x14ac:dyDescent="0.3">
      <c r="A121" s="235">
        <v>4</v>
      </c>
      <c r="B121" s="236" t="s">
        <v>449</v>
      </c>
      <c r="C121" s="237">
        <v>95281</v>
      </c>
      <c r="D121" s="237">
        <v>207206</v>
      </c>
      <c r="E121" s="237">
        <f t="shared" si="16"/>
        <v>111925</v>
      </c>
      <c r="F121" s="238">
        <f t="shared" si="17"/>
        <v>1.1746833051710204</v>
      </c>
    </row>
    <row r="122" spans="1:6" ht="20.25" customHeight="1" x14ac:dyDescent="0.3">
      <c r="A122" s="235">
        <v>5</v>
      </c>
      <c r="B122" s="236" t="s">
        <v>385</v>
      </c>
      <c r="C122" s="239">
        <v>14</v>
      </c>
      <c r="D122" s="239">
        <v>23</v>
      </c>
      <c r="E122" s="239">
        <f t="shared" si="16"/>
        <v>9</v>
      </c>
      <c r="F122" s="238">
        <f t="shared" si="17"/>
        <v>0.6428571428571429</v>
      </c>
    </row>
    <row r="123" spans="1:6" ht="20.25" customHeight="1" x14ac:dyDescent="0.3">
      <c r="A123" s="235">
        <v>6</v>
      </c>
      <c r="B123" s="236" t="s">
        <v>384</v>
      </c>
      <c r="C123" s="239">
        <v>73</v>
      </c>
      <c r="D123" s="239">
        <v>154</v>
      </c>
      <c r="E123" s="239">
        <f t="shared" si="16"/>
        <v>81</v>
      </c>
      <c r="F123" s="238">
        <f t="shared" si="17"/>
        <v>1.1095890410958904</v>
      </c>
    </row>
    <row r="124" spans="1:6" ht="20.25" customHeight="1" x14ac:dyDescent="0.3">
      <c r="A124" s="235">
        <v>7</v>
      </c>
      <c r="B124" s="236" t="s">
        <v>450</v>
      </c>
      <c r="C124" s="239">
        <v>279</v>
      </c>
      <c r="D124" s="239">
        <v>314</v>
      </c>
      <c r="E124" s="239">
        <f t="shared" si="16"/>
        <v>35</v>
      </c>
      <c r="F124" s="238">
        <f t="shared" si="17"/>
        <v>0.12544802867383512</v>
      </c>
    </row>
    <row r="125" spans="1:6" ht="20.25" customHeight="1" x14ac:dyDescent="0.3">
      <c r="A125" s="235">
        <v>8</v>
      </c>
      <c r="B125" s="236" t="s">
        <v>451</v>
      </c>
      <c r="C125" s="239">
        <v>34</v>
      </c>
      <c r="D125" s="239">
        <v>39</v>
      </c>
      <c r="E125" s="239">
        <f t="shared" si="16"/>
        <v>5</v>
      </c>
      <c r="F125" s="238">
        <f t="shared" si="17"/>
        <v>0.14705882352941177</v>
      </c>
    </row>
    <row r="126" spans="1:6" ht="20.25" customHeight="1" x14ac:dyDescent="0.3">
      <c r="A126" s="235">
        <v>9</v>
      </c>
      <c r="B126" s="236" t="s">
        <v>452</v>
      </c>
      <c r="C126" s="239">
        <v>10</v>
      </c>
      <c r="D126" s="239">
        <v>21</v>
      </c>
      <c r="E126" s="239">
        <f t="shared" si="16"/>
        <v>11</v>
      </c>
      <c r="F126" s="238">
        <f t="shared" si="17"/>
        <v>1.1000000000000001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633021</v>
      </c>
      <c r="D127" s="243">
        <f>+D118+D120</f>
        <v>1039321</v>
      </c>
      <c r="E127" s="243">
        <f t="shared" si="16"/>
        <v>406300</v>
      </c>
      <c r="F127" s="244">
        <f t="shared" si="17"/>
        <v>0.64184284565598926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263273</v>
      </c>
      <c r="D128" s="243">
        <f>+D119+D121</f>
        <v>535673</v>
      </c>
      <c r="E128" s="243">
        <f t="shared" si="16"/>
        <v>272400</v>
      </c>
      <c r="F128" s="244">
        <f t="shared" si="17"/>
        <v>1.0346674364632908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19453</v>
      </c>
      <c r="D131" s="237">
        <v>0</v>
      </c>
      <c r="E131" s="237">
        <f t="shared" ref="E131:E141" si="18">D131-C131</f>
        <v>-19453</v>
      </c>
      <c r="F131" s="238">
        <f t="shared" ref="F131:F141" si="19">IF(C131=0,0,E131/C131)</f>
        <v>-1</v>
      </c>
    </row>
    <row r="132" spans="1:6" ht="20.25" customHeight="1" x14ac:dyDescent="0.3">
      <c r="A132" s="235">
        <v>2</v>
      </c>
      <c r="B132" s="236" t="s">
        <v>447</v>
      </c>
      <c r="C132" s="237">
        <v>10099</v>
      </c>
      <c r="D132" s="237">
        <v>0</v>
      </c>
      <c r="E132" s="237">
        <f t="shared" si="18"/>
        <v>-10099</v>
      </c>
      <c r="F132" s="238">
        <f t="shared" si="19"/>
        <v>-1</v>
      </c>
    </row>
    <row r="133" spans="1:6" ht="20.25" customHeight="1" x14ac:dyDescent="0.3">
      <c r="A133" s="235">
        <v>3</v>
      </c>
      <c r="B133" s="236" t="s">
        <v>448</v>
      </c>
      <c r="C133" s="237">
        <v>16355</v>
      </c>
      <c r="D133" s="237">
        <v>32163</v>
      </c>
      <c r="E133" s="237">
        <f t="shared" si="18"/>
        <v>15808</v>
      </c>
      <c r="F133" s="238">
        <f t="shared" si="19"/>
        <v>0.96655457046774684</v>
      </c>
    </row>
    <row r="134" spans="1:6" ht="20.25" customHeight="1" x14ac:dyDescent="0.3">
      <c r="A134" s="235">
        <v>4</v>
      </c>
      <c r="B134" s="236" t="s">
        <v>449</v>
      </c>
      <c r="C134" s="237">
        <v>8286</v>
      </c>
      <c r="D134" s="237">
        <v>18360</v>
      </c>
      <c r="E134" s="237">
        <f t="shared" si="18"/>
        <v>10074</v>
      </c>
      <c r="F134" s="238">
        <f t="shared" si="19"/>
        <v>1.2157856625633598</v>
      </c>
    </row>
    <row r="135" spans="1:6" ht="20.25" customHeight="1" x14ac:dyDescent="0.3">
      <c r="A135" s="235">
        <v>5</v>
      </c>
      <c r="B135" s="236" t="s">
        <v>385</v>
      </c>
      <c r="C135" s="239">
        <v>1</v>
      </c>
      <c r="D135" s="239">
        <v>0</v>
      </c>
      <c r="E135" s="239">
        <f t="shared" si="18"/>
        <v>-1</v>
      </c>
      <c r="F135" s="238">
        <f t="shared" si="19"/>
        <v>-1</v>
      </c>
    </row>
    <row r="136" spans="1:6" ht="20.25" customHeight="1" x14ac:dyDescent="0.3">
      <c r="A136" s="235">
        <v>6</v>
      </c>
      <c r="B136" s="236" t="s">
        <v>384</v>
      </c>
      <c r="C136" s="239">
        <v>5</v>
      </c>
      <c r="D136" s="239">
        <v>0</v>
      </c>
      <c r="E136" s="239">
        <f t="shared" si="18"/>
        <v>-5</v>
      </c>
      <c r="F136" s="238">
        <f t="shared" si="19"/>
        <v>-1</v>
      </c>
    </row>
    <row r="137" spans="1:6" ht="20.25" customHeight="1" x14ac:dyDescent="0.3">
      <c r="A137" s="235">
        <v>7</v>
      </c>
      <c r="B137" s="236" t="s">
        <v>450</v>
      </c>
      <c r="C137" s="239">
        <v>23</v>
      </c>
      <c r="D137" s="239">
        <v>18</v>
      </c>
      <c r="E137" s="239">
        <f t="shared" si="18"/>
        <v>-5</v>
      </c>
      <c r="F137" s="238">
        <f t="shared" si="19"/>
        <v>-0.21739130434782608</v>
      </c>
    </row>
    <row r="138" spans="1:6" ht="20.25" customHeight="1" x14ac:dyDescent="0.3">
      <c r="A138" s="235">
        <v>8</v>
      </c>
      <c r="B138" s="236" t="s">
        <v>451</v>
      </c>
      <c r="C138" s="239">
        <v>6</v>
      </c>
      <c r="D138" s="239">
        <v>9</v>
      </c>
      <c r="E138" s="239">
        <f t="shared" si="18"/>
        <v>3</v>
      </c>
      <c r="F138" s="238">
        <f t="shared" si="19"/>
        <v>0.5</v>
      </c>
    </row>
    <row r="139" spans="1:6" ht="20.25" customHeight="1" x14ac:dyDescent="0.3">
      <c r="A139" s="235">
        <v>9</v>
      </c>
      <c r="B139" s="236" t="s">
        <v>452</v>
      </c>
      <c r="C139" s="239">
        <v>1</v>
      </c>
      <c r="D139" s="239">
        <v>0</v>
      </c>
      <c r="E139" s="239">
        <f t="shared" si="18"/>
        <v>-1</v>
      </c>
      <c r="F139" s="238">
        <f t="shared" si="19"/>
        <v>-1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35808</v>
      </c>
      <c r="D140" s="243">
        <f>+D131+D133</f>
        <v>32163</v>
      </c>
      <c r="E140" s="243">
        <f t="shared" si="18"/>
        <v>-3645</v>
      </c>
      <c r="F140" s="244">
        <f t="shared" si="19"/>
        <v>-0.10179289544235925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18385</v>
      </c>
      <c r="D141" s="243">
        <f>+D132+D134</f>
        <v>18360</v>
      </c>
      <c r="E141" s="243">
        <f t="shared" si="18"/>
        <v>-25</v>
      </c>
      <c r="F141" s="244">
        <f t="shared" si="19"/>
        <v>-1.3598041881968997E-3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654073</v>
      </c>
      <c r="D144" s="237">
        <v>457156</v>
      </c>
      <c r="E144" s="237">
        <f t="shared" ref="E144:E154" si="20">D144-C144</f>
        <v>-196917</v>
      </c>
      <c r="F144" s="238">
        <f t="shared" ref="F144:F154" si="21">IF(C144=0,0,E144/C144)</f>
        <v>-0.30106272541444151</v>
      </c>
    </row>
    <row r="145" spans="1:6" ht="20.25" customHeight="1" x14ac:dyDescent="0.3">
      <c r="A145" s="235">
        <v>2</v>
      </c>
      <c r="B145" s="236" t="s">
        <v>447</v>
      </c>
      <c r="C145" s="237">
        <v>329733</v>
      </c>
      <c r="D145" s="237">
        <v>261587</v>
      </c>
      <c r="E145" s="237">
        <f t="shared" si="20"/>
        <v>-68146</v>
      </c>
      <c r="F145" s="238">
        <f t="shared" si="21"/>
        <v>-0.20667024531969805</v>
      </c>
    </row>
    <row r="146" spans="1:6" ht="20.25" customHeight="1" x14ac:dyDescent="0.3">
      <c r="A146" s="235">
        <v>3</v>
      </c>
      <c r="B146" s="236" t="s">
        <v>448</v>
      </c>
      <c r="C146" s="237">
        <v>681567</v>
      </c>
      <c r="D146" s="237">
        <v>620592</v>
      </c>
      <c r="E146" s="237">
        <f t="shared" si="20"/>
        <v>-60975</v>
      </c>
      <c r="F146" s="238">
        <f t="shared" si="21"/>
        <v>-8.9462958153783856E-2</v>
      </c>
    </row>
    <row r="147" spans="1:6" ht="20.25" customHeight="1" x14ac:dyDescent="0.3">
      <c r="A147" s="235">
        <v>4</v>
      </c>
      <c r="B147" s="236" t="s">
        <v>449</v>
      </c>
      <c r="C147" s="237">
        <v>162744</v>
      </c>
      <c r="D147" s="237">
        <v>302513</v>
      </c>
      <c r="E147" s="237">
        <f t="shared" si="20"/>
        <v>139769</v>
      </c>
      <c r="F147" s="238">
        <f t="shared" si="21"/>
        <v>0.85882736076291599</v>
      </c>
    </row>
    <row r="148" spans="1:6" ht="20.25" customHeight="1" x14ac:dyDescent="0.3">
      <c r="A148" s="235">
        <v>5</v>
      </c>
      <c r="B148" s="236" t="s">
        <v>385</v>
      </c>
      <c r="C148" s="239">
        <v>26</v>
      </c>
      <c r="D148" s="239">
        <v>21</v>
      </c>
      <c r="E148" s="239">
        <f t="shared" si="20"/>
        <v>-5</v>
      </c>
      <c r="F148" s="238">
        <f t="shared" si="21"/>
        <v>-0.19230769230769232</v>
      </c>
    </row>
    <row r="149" spans="1:6" ht="20.25" customHeight="1" x14ac:dyDescent="0.3">
      <c r="A149" s="235">
        <v>6</v>
      </c>
      <c r="B149" s="236" t="s">
        <v>384</v>
      </c>
      <c r="C149" s="239">
        <v>119</v>
      </c>
      <c r="D149" s="239">
        <v>92</v>
      </c>
      <c r="E149" s="239">
        <f t="shared" si="20"/>
        <v>-27</v>
      </c>
      <c r="F149" s="238">
        <f t="shared" si="21"/>
        <v>-0.22689075630252101</v>
      </c>
    </row>
    <row r="150" spans="1:6" ht="20.25" customHeight="1" x14ac:dyDescent="0.3">
      <c r="A150" s="235">
        <v>7</v>
      </c>
      <c r="B150" s="236" t="s">
        <v>450</v>
      </c>
      <c r="C150" s="239">
        <v>549</v>
      </c>
      <c r="D150" s="239">
        <v>320</v>
      </c>
      <c r="E150" s="239">
        <f t="shared" si="20"/>
        <v>-229</v>
      </c>
      <c r="F150" s="238">
        <f t="shared" si="21"/>
        <v>-0.41712204007285975</v>
      </c>
    </row>
    <row r="151" spans="1:6" ht="20.25" customHeight="1" x14ac:dyDescent="0.3">
      <c r="A151" s="235">
        <v>8</v>
      </c>
      <c r="B151" s="236" t="s">
        <v>451</v>
      </c>
      <c r="C151" s="239">
        <v>62</v>
      </c>
      <c r="D151" s="239">
        <v>58</v>
      </c>
      <c r="E151" s="239">
        <f t="shared" si="20"/>
        <v>-4</v>
      </c>
      <c r="F151" s="238">
        <f t="shared" si="21"/>
        <v>-6.4516129032258063E-2</v>
      </c>
    </row>
    <row r="152" spans="1:6" ht="20.25" customHeight="1" x14ac:dyDescent="0.3">
      <c r="A152" s="235">
        <v>9</v>
      </c>
      <c r="B152" s="236" t="s">
        <v>452</v>
      </c>
      <c r="C152" s="239">
        <v>31</v>
      </c>
      <c r="D152" s="239">
        <v>20</v>
      </c>
      <c r="E152" s="239">
        <f t="shared" si="20"/>
        <v>-11</v>
      </c>
      <c r="F152" s="238">
        <f t="shared" si="21"/>
        <v>-0.35483870967741937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1335640</v>
      </c>
      <c r="D153" s="243">
        <f>+D144+D146</f>
        <v>1077748</v>
      </c>
      <c r="E153" s="243">
        <f t="shared" si="20"/>
        <v>-257892</v>
      </c>
      <c r="F153" s="244">
        <f t="shared" si="21"/>
        <v>-0.19308496301398581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492477</v>
      </c>
      <c r="D154" s="243">
        <f>+D145+D147</f>
        <v>564100</v>
      </c>
      <c r="E154" s="243">
        <f t="shared" si="20"/>
        <v>71623</v>
      </c>
      <c r="F154" s="244">
        <f t="shared" si="21"/>
        <v>0.14543420301861812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380232</v>
      </c>
      <c r="D183" s="237">
        <v>465194</v>
      </c>
      <c r="E183" s="237">
        <f t="shared" ref="E183:E193" si="26">D183-C183</f>
        <v>84962</v>
      </c>
      <c r="F183" s="238">
        <f t="shared" ref="F183:F193" si="27">IF(C183=0,0,E183/C183)</f>
        <v>0.22344778977045593</v>
      </c>
    </row>
    <row r="184" spans="1:6" ht="20.25" customHeight="1" x14ac:dyDescent="0.3">
      <c r="A184" s="235">
        <v>2</v>
      </c>
      <c r="B184" s="236" t="s">
        <v>447</v>
      </c>
      <c r="C184" s="237">
        <v>191480</v>
      </c>
      <c r="D184" s="237">
        <v>231470</v>
      </c>
      <c r="E184" s="237">
        <f t="shared" si="26"/>
        <v>39990</v>
      </c>
      <c r="F184" s="238">
        <f t="shared" si="27"/>
        <v>0.20884687695842907</v>
      </c>
    </row>
    <row r="185" spans="1:6" ht="20.25" customHeight="1" x14ac:dyDescent="0.3">
      <c r="A185" s="235">
        <v>3</v>
      </c>
      <c r="B185" s="236" t="s">
        <v>448</v>
      </c>
      <c r="C185" s="237">
        <v>223739</v>
      </c>
      <c r="D185" s="237">
        <v>185962</v>
      </c>
      <c r="E185" s="237">
        <f t="shared" si="26"/>
        <v>-37777</v>
      </c>
      <c r="F185" s="238">
        <f t="shared" si="27"/>
        <v>-0.16884405490325782</v>
      </c>
    </row>
    <row r="186" spans="1:6" ht="20.25" customHeight="1" x14ac:dyDescent="0.3">
      <c r="A186" s="235">
        <v>4</v>
      </c>
      <c r="B186" s="236" t="s">
        <v>449</v>
      </c>
      <c r="C186" s="237">
        <v>57131</v>
      </c>
      <c r="D186" s="237">
        <v>96992</v>
      </c>
      <c r="E186" s="237">
        <f t="shared" si="26"/>
        <v>39861</v>
      </c>
      <c r="F186" s="238">
        <f t="shared" si="27"/>
        <v>0.69771227529712421</v>
      </c>
    </row>
    <row r="187" spans="1:6" ht="20.25" customHeight="1" x14ac:dyDescent="0.3">
      <c r="A187" s="235">
        <v>5</v>
      </c>
      <c r="B187" s="236" t="s">
        <v>385</v>
      </c>
      <c r="C187" s="239">
        <v>15</v>
      </c>
      <c r="D187" s="239">
        <v>22</v>
      </c>
      <c r="E187" s="239">
        <f t="shared" si="26"/>
        <v>7</v>
      </c>
      <c r="F187" s="238">
        <f t="shared" si="27"/>
        <v>0.46666666666666667</v>
      </c>
    </row>
    <row r="188" spans="1:6" ht="20.25" customHeight="1" x14ac:dyDescent="0.3">
      <c r="A188" s="235">
        <v>6</v>
      </c>
      <c r="B188" s="236" t="s">
        <v>384</v>
      </c>
      <c r="C188" s="239">
        <v>89</v>
      </c>
      <c r="D188" s="239">
        <v>113</v>
      </c>
      <c r="E188" s="239">
        <f t="shared" si="26"/>
        <v>24</v>
      </c>
      <c r="F188" s="238">
        <f t="shared" si="27"/>
        <v>0.2696629213483146</v>
      </c>
    </row>
    <row r="189" spans="1:6" ht="20.25" customHeight="1" x14ac:dyDescent="0.3">
      <c r="A189" s="235">
        <v>7</v>
      </c>
      <c r="B189" s="236" t="s">
        <v>450</v>
      </c>
      <c r="C189" s="239">
        <v>705</v>
      </c>
      <c r="D189" s="239">
        <v>524</v>
      </c>
      <c r="E189" s="239">
        <f t="shared" si="26"/>
        <v>-181</v>
      </c>
      <c r="F189" s="238">
        <f t="shared" si="27"/>
        <v>-0.25673758865248225</v>
      </c>
    </row>
    <row r="190" spans="1:6" ht="20.25" customHeight="1" x14ac:dyDescent="0.3">
      <c r="A190" s="235">
        <v>8</v>
      </c>
      <c r="B190" s="236" t="s">
        <v>451</v>
      </c>
      <c r="C190" s="239">
        <v>50</v>
      </c>
      <c r="D190" s="239">
        <v>52</v>
      </c>
      <c r="E190" s="239">
        <f t="shared" si="26"/>
        <v>2</v>
      </c>
      <c r="F190" s="238">
        <f t="shared" si="27"/>
        <v>0.04</v>
      </c>
    </row>
    <row r="191" spans="1:6" ht="20.25" customHeight="1" x14ac:dyDescent="0.3">
      <c r="A191" s="235">
        <v>9</v>
      </c>
      <c r="B191" s="236" t="s">
        <v>452</v>
      </c>
      <c r="C191" s="239">
        <v>22</v>
      </c>
      <c r="D191" s="239">
        <v>21</v>
      </c>
      <c r="E191" s="239">
        <f t="shared" si="26"/>
        <v>-1</v>
      </c>
      <c r="F191" s="238">
        <f t="shared" si="27"/>
        <v>-4.5454545454545456E-2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603971</v>
      </c>
      <c r="D192" s="243">
        <f>+D183+D185</f>
        <v>651156</v>
      </c>
      <c r="E192" s="243">
        <f t="shared" si="26"/>
        <v>47185</v>
      </c>
      <c r="F192" s="244">
        <f t="shared" si="27"/>
        <v>7.8124611943288666E-2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248611</v>
      </c>
      <c r="D193" s="243">
        <f>+D184+D186</f>
        <v>328462</v>
      </c>
      <c r="E193" s="243">
        <f t="shared" si="26"/>
        <v>79851</v>
      </c>
      <c r="F193" s="244">
        <f t="shared" si="27"/>
        <v>0.32118852343621157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7310781</v>
      </c>
      <c r="D198" s="243">
        <f t="shared" si="28"/>
        <v>8288629</v>
      </c>
      <c r="E198" s="243">
        <f t="shared" ref="E198:E208" si="29">D198-C198</f>
        <v>977848</v>
      </c>
      <c r="F198" s="251">
        <f t="shared" ref="F198:F208" si="30">IF(C198=0,0,E198/C198)</f>
        <v>0.13375424595539109</v>
      </c>
    </row>
    <row r="199" spans="1:9" ht="20.25" customHeight="1" x14ac:dyDescent="0.3">
      <c r="A199" s="249"/>
      <c r="B199" s="250" t="s">
        <v>473</v>
      </c>
      <c r="C199" s="243">
        <f t="shared" si="28"/>
        <v>3554102</v>
      </c>
      <c r="D199" s="243">
        <f t="shared" si="28"/>
        <v>4275568</v>
      </c>
      <c r="E199" s="243">
        <f t="shared" si="29"/>
        <v>721466</v>
      </c>
      <c r="F199" s="251">
        <f t="shared" si="30"/>
        <v>0.20299529951588333</v>
      </c>
    </row>
    <row r="200" spans="1:9" ht="20.25" customHeight="1" x14ac:dyDescent="0.3">
      <c r="A200" s="249"/>
      <c r="B200" s="250" t="s">
        <v>474</v>
      </c>
      <c r="C200" s="243">
        <f t="shared" si="28"/>
        <v>6591509</v>
      </c>
      <c r="D200" s="243">
        <f t="shared" si="28"/>
        <v>7013892</v>
      </c>
      <c r="E200" s="243">
        <f t="shared" si="29"/>
        <v>422383</v>
      </c>
      <c r="F200" s="251">
        <f t="shared" si="30"/>
        <v>6.4079863958313638E-2</v>
      </c>
    </row>
    <row r="201" spans="1:9" ht="20.25" customHeight="1" x14ac:dyDescent="0.3">
      <c r="A201" s="249"/>
      <c r="B201" s="250" t="s">
        <v>475</v>
      </c>
      <c r="C201" s="243">
        <f t="shared" si="28"/>
        <v>1692060</v>
      </c>
      <c r="D201" s="243">
        <f t="shared" si="28"/>
        <v>3628043</v>
      </c>
      <c r="E201" s="243">
        <f t="shared" si="29"/>
        <v>1935983</v>
      </c>
      <c r="F201" s="251">
        <f t="shared" si="30"/>
        <v>1.1441574175856648</v>
      </c>
    </row>
    <row r="202" spans="1:9" ht="20.25" customHeight="1" x14ac:dyDescent="0.3">
      <c r="A202" s="249"/>
      <c r="B202" s="250" t="s">
        <v>476</v>
      </c>
      <c r="C202" s="252">
        <f t="shared" si="28"/>
        <v>269</v>
      </c>
      <c r="D202" s="252">
        <f t="shared" si="28"/>
        <v>330</v>
      </c>
      <c r="E202" s="252">
        <f t="shared" si="29"/>
        <v>61</v>
      </c>
      <c r="F202" s="251">
        <f t="shared" si="30"/>
        <v>0.22676579925650558</v>
      </c>
    </row>
    <row r="203" spans="1:9" ht="20.25" customHeight="1" x14ac:dyDescent="0.3">
      <c r="A203" s="249"/>
      <c r="B203" s="250" t="s">
        <v>477</v>
      </c>
      <c r="C203" s="252">
        <f t="shared" si="28"/>
        <v>1491</v>
      </c>
      <c r="D203" s="252">
        <f t="shared" si="28"/>
        <v>1767</v>
      </c>
      <c r="E203" s="252">
        <f t="shared" si="29"/>
        <v>276</v>
      </c>
      <c r="F203" s="251">
        <f t="shared" si="30"/>
        <v>0.18511066398390341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6527</v>
      </c>
      <c r="D204" s="252">
        <f t="shared" si="28"/>
        <v>6960</v>
      </c>
      <c r="E204" s="252">
        <f t="shared" si="29"/>
        <v>433</v>
      </c>
      <c r="F204" s="251">
        <f t="shared" si="30"/>
        <v>6.6339819212501913E-2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645</v>
      </c>
      <c r="D205" s="252">
        <f t="shared" si="28"/>
        <v>716</v>
      </c>
      <c r="E205" s="252">
        <f t="shared" si="29"/>
        <v>71</v>
      </c>
      <c r="F205" s="251">
        <f t="shared" si="30"/>
        <v>0.11007751937984496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249</v>
      </c>
      <c r="D206" s="252">
        <f t="shared" si="28"/>
        <v>301</v>
      </c>
      <c r="E206" s="252">
        <f t="shared" si="29"/>
        <v>52</v>
      </c>
      <c r="F206" s="251">
        <f t="shared" si="30"/>
        <v>0.20883534136546184</v>
      </c>
    </row>
    <row r="207" spans="1:9" ht="20.25" customHeight="1" x14ac:dyDescent="0.3">
      <c r="A207" s="249"/>
      <c r="B207" s="242" t="s">
        <v>481</v>
      </c>
      <c r="C207" s="243">
        <f>+C198+C200</f>
        <v>13902290</v>
      </c>
      <c r="D207" s="243">
        <f>+D198+D200</f>
        <v>15302521</v>
      </c>
      <c r="E207" s="243">
        <f t="shared" si="29"/>
        <v>1400231</v>
      </c>
      <c r="F207" s="251">
        <f t="shared" si="30"/>
        <v>0.10071944981726032</v>
      </c>
    </row>
    <row r="208" spans="1:9" ht="20.25" customHeight="1" x14ac:dyDescent="0.3">
      <c r="A208" s="249"/>
      <c r="B208" s="242" t="s">
        <v>482</v>
      </c>
      <c r="C208" s="243">
        <f>+C199+C201</f>
        <v>5246162</v>
      </c>
      <c r="D208" s="243">
        <f>+D199+D201</f>
        <v>7903611</v>
      </c>
      <c r="E208" s="243">
        <f t="shared" si="29"/>
        <v>2657449</v>
      </c>
      <c r="F208" s="251">
        <f t="shared" si="30"/>
        <v>0.50655107486196571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FILING&amp;RJOHNSON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1886174</v>
      </c>
      <c r="D14" s="237">
        <v>0</v>
      </c>
      <c r="E14" s="237">
        <f t="shared" ref="E14:E24" si="0">D14-C14</f>
        <v>-1886174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447</v>
      </c>
      <c r="C15" s="237">
        <v>925323</v>
      </c>
      <c r="D15" s="237">
        <v>0</v>
      </c>
      <c r="E15" s="237">
        <f t="shared" si="0"/>
        <v>-925323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448</v>
      </c>
      <c r="C16" s="237">
        <v>235074</v>
      </c>
      <c r="D16" s="237">
        <v>0</v>
      </c>
      <c r="E16" s="237">
        <f t="shared" si="0"/>
        <v>-235074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449</v>
      </c>
      <c r="C17" s="237">
        <v>37355</v>
      </c>
      <c r="D17" s="237">
        <v>0</v>
      </c>
      <c r="E17" s="237">
        <f t="shared" si="0"/>
        <v>-37355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385</v>
      </c>
      <c r="C18" s="239">
        <v>146</v>
      </c>
      <c r="D18" s="239">
        <v>0</v>
      </c>
      <c r="E18" s="239">
        <f t="shared" si="0"/>
        <v>-146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384</v>
      </c>
      <c r="C19" s="239">
        <v>775</v>
      </c>
      <c r="D19" s="239">
        <v>0</v>
      </c>
      <c r="E19" s="239">
        <f t="shared" si="0"/>
        <v>-775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450</v>
      </c>
      <c r="C20" s="239">
        <v>42</v>
      </c>
      <c r="D20" s="239">
        <v>0</v>
      </c>
      <c r="E20" s="239">
        <f t="shared" si="0"/>
        <v>-42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451</v>
      </c>
      <c r="C21" s="239">
        <v>25</v>
      </c>
      <c r="D21" s="239">
        <v>0</v>
      </c>
      <c r="E21" s="239">
        <f t="shared" si="0"/>
        <v>-25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452</v>
      </c>
      <c r="C22" s="239">
        <v>132</v>
      </c>
      <c r="D22" s="239">
        <v>0</v>
      </c>
      <c r="E22" s="239">
        <f t="shared" si="0"/>
        <v>-132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2121248</v>
      </c>
      <c r="D23" s="243">
        <f>+D14+D16</f>
        <v>0</v>
      </c>
      <c r="E23" s="243">
        <f t="shared" si="0"/>
        <v>-2121248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962678</v>
      </c>
      <c r="D24" s="243">
        <f>+D15+D17</f>
        <v>0</v>
      </c>
      <c r="E24" s="243">
        <f t="shared" si="0"/>
        <v>-962678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1693094</v>
      </c>
      <c r="D26" s="237">
        <v>550110</v>
      </c>
      <c r="E26" s="237">
        <f t="shared" ref="E26:E36" si="2">D26-C26</f>
        <v>-1142984</v>
      </c>
      <c r="F26" s="238">
        <f t="shared" ref="F26:F36" si="3">IF(C26=0,0,E26/C26)</f>
        <v>-0.67508596687484568</v>
      </c>
    </row>
    <row r="27" spans="1:6" ht="20.25" customHeight="1" x14ac:dyDescent="0.3">
      <c r="A27" s="235">
        <v>2</v>
      </c>
      <c r="B27" s="236" t="s">
        <v>447</v>
      </c>
      <c r="C27" s="237">
        <v>712222</v>
      </c>
      <c r="D27" s="237">
        <v>95585</v>
      </c>
      <c r="E27" s="237">
        <f t="shared" si="2"/>
        <v>-616637</v>
      </c>
      <c r="F27" s="238">
        <f t="shared" si="3"/>
        <v>-0.86579324985748829</v>
      </c>
    </row>
    <row r="28" spans="1:6" ht="20.25" customHeight="1" x14ac:dyDescent="0.3">
      <c r="A28" s="235">
        <v>3</v>
      </c>
      <c r="B28" s="236" t="s">
        <v>448</v>
      </c>
      <c r="C28" s="237">
        <v>3850004</v>
      </c>
      <c r="D28" s="237">
        <v>874356</v>
      </c>
      <c r="E28" s="237">
        <f t="shared" si="2"/>
        <v>-2975648</v>
      </c>
      <c r="F28" s="238">
        <f t="shared" si="3"/>
        <v>-0.77289478140801937</v>
      </c>
    </row>
    <row r="29" spans="1:6" ht="20.25" customHeight="1" x14ac:dyDescent="0.3">
      <c r="A29" s="235">
        <v>4</v>
      </c>
      <c r="B29" s="236" t="s">
        <v>449</v>
      </c>
      <c r="C29" s="237">
        <v>1054997</v>
      </c>
      <c r="D29" s="237">
        <v>553472</v>
      </c>
      <c r="E29" s="237">
        <f t="shared" si="2"/>
        <v>-501525</v>
      </c>
      <c r="F29" s="238">
        <f t="shared" si="3"/>
        <v>-0.47538049871231863</v>
      </c>
    </row>
    <row r="30" spans="1:6" ht="20.25" customHeight="1" x14ac:dyDescent="0.3">
      <c r="A30" s="235">
        <v>5</v>
      </c>
      <c r="B30" s="236" t="s">
        <v>385</v>
      </c>
      <c r="C30" s="239">
        <v>215</v>
      </c>
      <c r="D30" s="239">
        <v>46</v>
      </c>
      <c r="E30" s="239">
        <f t="shared" si="2"/>
        <v>-169</v>
      </c>
      <c r="F30" s="238">
        <f t="shared" si="3"/>
        <v>-0.78604651162790695</v>
      </c>
    </row>
    <row r="31" spans="1:6" ht="20.25" customHeight="1" x14ac:dyDescent="0.3">
      <c r="A31" s="235">
        <v>6</v>
      </c>
      <c r="B31" s="236" t="s">
        <v>384</v>
      </c>
      <c r="C31" s="239">
        <v>504</v>
      </c>
      <c r="D31" s="239">
        <v>122</v>
      </c>
      <c r="E31" s="239">
        <f t="shared" si="2"/>
        <v>-382</v>
      </c>
      <c r="F31" s="238">
        <f t="shared" si="3"/>
        <v>-0.75793650793650791</v>
      </c>
    </row>
    <row r="32" spans="1:6" ht="20.25" customHeight="1" x14ac:dyDescent="0.3">
      <c r="A32" s="235">
        <v>7</v>
      </c>
      <c r="B32" s="236" t="s">
        <v>450</v>
      </c>
      <c r="C32" s="239">
        <v>2535</v>
      </c>
      <c r="D32" s="239">
        <v>633</v>
      </c>
      <c r="E32" s="239">
        <f t="shared" si="2"/>
        <v>-1902</v>
      </c>
      <c r="F32" s="238">
        <f t="shared" si="3"/>
        <v>-0.75029585798816567</v>
      </c>
    </row>
    <row r="33" spans="1:6" ht="20.25" customHeight="1" x14ac:dyDescent="0.3">
      <c r="A33" s="235">
        <v>8</v>
      </c>
      <c r="B33" s="236" t="s">
        <v>451</v>
      </c>
      <c r="C33" s="239">
        <v>1679</v>
      </c>
      <c r="D33" s="239">
        <v>413</v>
      </c>
      <c r="E33" s="239">
        <f t="shared" si="2"/>
        <v>-1266</v>
      </c>
      <c r="F33" s="238">
        <f t="shared" si="3"/>
        <v>-0.75402025014889817</v>
      </c>
    </row>
    <row r="34" spans="1:6" ht="20.25" customHeight="1" x14ac:dyDescent="0.3">
      <c r="A34" s="235">
        <v>9</v>
      </c>
      <c r="B34" s="236" t="s">
        <v>452</v>
      </c>
      <c r="C34" s="239">
        <v>22</v>
      </c>
      <c r="D34" s="239">
        <v>5</v>
      </c>
      <c r="E34" s="239">
        <f t="shared" si="2"/>
        <v>-17</v>
      </c>
      <c r="F34" s="238">
        <f t="shared" si="3"/>
        <v>-0.77272727272727271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5543098</v>
      </c>
      <c r="D35" s="243">
        <f>+D26+D28</f>
        <v>1424466</v>
      </c>
      <c r="E35" s="243">
        <f t="shared" si="2"/>
        <v>-4118632</v>
      </c>
      <c r="F35" s="244">
        <f t="shared" si="3"/>
        <v>-0.74301987805375258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1767219</v>
      </c>
      <c r="D36" s="243">
        <f>+D27+D29</f>
        <v>649057</v>
      </c>
      <c r="E36" s="243">
        <f t="shared" si="2"/>
        <v>-1118162</v>
      </c>
      <c r="F36" s="244">
        <f t="shared" si="3"/>
        <v>-0.6327240709838452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269</v>
      </c>
      <c r="D40" s="237">
        <v>22632</v>
      </c>
      <c r="E40" s="237">
        <f t="shared" si="4"/>
        <v>22363</v>
      </c>
      <c r="F40" s="238">
        <f t="shared" si="5"/>
        <v>83.133828996282531</v>
      </c>
    </row>
    <row r="41" spans="1:6" ht="20.25" customHeight="1" x14ac:dyDescent="0.3">
      <c r="A41" s="235">
        <v>4</v>
      </c>
      <c r="B41" s="236" t="s">
        <v>449</v>
      </c>
      <c r="C41" s="237">
        <v>261</v>
      </c>
      <c r="D41" s="237">
        <v>12932</v>
      </c>
      <c r="E41" s="237">
        <f t="shared" si="4"/>
        <v>12671</v>
      </c>
      <c r="F41" s="238">
        <f t="shared" si="5"/>
        <v>48.547892720306514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1</v>
      </c>
      <c r="D44" s="239">
        <v>0</v>
      </c>
      <c r="E44" s="239">
        <f t="shared" si="4"/>
        <v>-1</v>
      </c>
      <c r="F44" s="238">
        <f t="shared" si="5"/>
        <v>-1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20</v>
      </c>
      <c r="E45" s="239">
        <f t="shared" si="4"/>
        <v>20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269</v>
      </c>
      <c r="D47" s="243">
        <f>+D38+D40</f>
        <v>22632</v>
      </c>
      <c r="E47" s="243">
        <f t="shared" si="4"/>
        <v>22363</v>
      </c>
      <c r="F47" s="244">
        <f t="shared" si="5"/>
        <v>83.133828996282531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261</v>
      </c>
      <c r="D48" s="243">
        <f>+D39+D41</f>
        <v>12932</v>
      </c>
      <c r="E48" s="243">
        <f t="shared" si="4"/>
        <v>12671</v>
      </c>
      <c r="F48" s="244">
        <f t="shared" si="5"/>
        <v>48.547892720306514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432113</v>
      </c>
      <c r="D50" s="237">
        <v>860436</v>
      </c>
      <c r="E50" s="237">
        <f t="shared" ref="E50:E60" si="6">D50-C50</f>
        <v>428323</v>
      </c>
      <c r="F50" s="238">
        <f t="shared" ref="F50:F60" si="7">IF(C50=0,0,E50/C50)</f>
        <v>0.9912291460798448</v>
      </c>
    </row>
    <row r="51" spans="1:6" ht="20.25" customHeight="1" x14ac:dyDescent="0.3">
      <c r="A51" s="235">
        <v>2</v>
      </c>
      <c r="B51" s="236" t="s">
        <v>447</v>
      </c>
      <c r="C51" s="237">
        <v>235111</v>
      </c>
      <c r="D51" s="237">
        <v>300082</v>
      </c>
      <c r="E51" s="237">
        <f t="shared" si="6"/>
        <v>64971</v>
      </c>
      <c r="F51" s="238">
        <f t="shared" si="7"/>
        <v>0.27634181301597971</v>
      </c>
    </row>
    <row r="52" spans="1:6" ht="20.25" customHeight="1" x14ac:dyDescent="0.3">
      <c r="A52" s="235">
        <v>3</v>
      </c>
      <c r="B52" s="236" t="s">
        <v>448</v>
      </c>
      <c r="C52" s="237">
        <v>1400498</v>
      </c>
      <c r="D52" s="237">
        <v>609935</v>
      </c>
      <c r="E52" s="237">
        <f t="shared" si="6"/>
        <v>-790563</v>
      </c>
      <c r="F52" s="238">
        <f t="shared" si="7"/>
        <v>-0.56448706103114754</v>
      </c>
    </row>
    <row r="53" spans="1:6" ht="20.25" customHeight="1" x14ac:dyDescent="0.3">
      <c r="A53" s="235">
        <v>4</v>
      </c>
      <c r="B53" s="236" t="s">
        <v>449</v>
      </c>
      <c r="C53" s="237">
        <v>377539</v>
      </c>
      <c r="D53" s="237">
        <v>377236</v>
      </c>
      <c r="E53" s="237">
        <f t="shared" si="6"/>
        <v>-303</v>
      </c>
      <c r="F53" s="238">
        <f t="shared" si="7"/>
        <v>-8.0256609250964805E-4</v>
      </c>
    </row>
    <row r="54" spans="1:6" ht="20.25" customHeight="1" x14ac:dyDescent="0.3">
      <c r="A54" s="235">
        <v>5</v>
      </c>
      <c r="B54" s="236" t="s">
        <v>385</v>
      </c>
      <c r="C54" s="239">
        <v>33</v>
      </c>
      <c r="D54" s="239">
        <v>55</v>
      </c>
      <c r="E54" s="239">
        <f t="shared" si="6"/>
        <v>22</v>
      </c>
      <c r="F54" s="238">
        <f t="shared" si="7"/>
        <v>0.66666666666666663</v>
      </c>
    </row>
    <row r="55" spans="1:6" ht="20.25" customHeight="1" x14ac:dyDescent="0.3">
      <c r="A55" s="235">
        <v>6</v>
      </c>
      <c r="B55" s="236" t="s">
        <v>384</v>
      </c>
      <c r="C55" s="239">
        <v>113</v>
      </c>
      <c r="D55" s="239">
        <v>337</v>
      </c>
      <c r="E55" s="239">
        <f t="shared" si="6"/>
        <v>224</v>
      </c>
      <c r="F55" s="238">
        <f t="shared" si="7"/>
        <v>1.9823008849557522</v>
      </c>
    </row>
    <row r="56" spans="1:6" ht="20.25" customHeight="1" x14ac:dyDescent="0.3">
      <c r="A56" s="235">
        <v>7</v>
      </c>
      <c r="B56" s="236" t="s">
        <v>450</v>
      </c>
      <c r="C56" s="239">
        <v>523</v>
      </c>
      <c r="D56" s="239">
        <v>70</v>
      </c>
      <c r="E56" s="239">
        <f t="shared" si="6"/>
        <v>-453</v>
      </c>
      <c r="F56" s="238">
        <f t="shared" si="7"/>
        <v>-0.86615678776290628</v>
      </c>
    </row>
    <row r="57" spans="1:6" ht="20.25" customHeight="1" x14ac:dyDescent="0.3">
      <c r="A57" s="235">
        <v>8</v>
      </c>
      <c r="B57" s="236" t="s">
        <v>451</v>
      </c>
      <c r="C57" s="239">
        <v>735</v>
      </c>
      <c r="D57" s="239">
        <v>276</v>
      </c>
      <c r="E57" s="239">
        <f t="shared" si="6"/>
        <v>-459</v>
      </c>
      <c r="F57" s="238">
        <f t="shared" si="7"/>
        <v>-0.6244897959183674</v>
      </c>
    </row>
    <row r="58" spans="1:6" ht="20.25" customHeight="1" x14ac:dyDescent="0.3">
      <c r="A58" s="235">
        <v>9</v>
      </c>
      <c r="B58" s="236" t="s">
        <v>452</v>
      </c>
      <c r="C58" s="239">
        <v>11</v>
      </c>
      <c r="D58" s="239">
        <v>141</v>
      </c>
      <c r="E58" s="239">
        <f t="shared" si="6"/>
        <v>130</v>
      </c>
      <c r="F58" s="238">
        <f t="shared" si="7"/>
        <v>11.818181818181818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1832611</v>
      </c>
      <c r="D59" s="243">
        <f>+D50+D52</f>
        <v>1470371</v>
      </c>
      <c r="E59" s="243">
        <f t="shared" si="6"/>
        <v>-362240</v>
      </c>
      <c r="F59" s="244">
        <f t="shared" si="7"/>
        <v>-0.19766333389901075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612650</v>
      </c>
      <c r="D60" s="243">
        <f>+D51+D53</f>
        <v>677318</v>
      </c>
      <c r="E60" s="243">
        <f t="shared" si="6"/>
        <v>64668</v>
      </c>
      <c r="F60" s="244">
        <f t="shared" si="7"/>
        <v>0.10555455806741207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0</v>
      </c>
      <c r="D86" s="237">
        <v>29058</v>
      </c>
      <c r="E86" s="237">
        <f t="shared" ref="E86:E96" si="12">D86-C86</f>
        <v>29058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447</v>
      </c>
      <c r="C87" s="237">
        <v>0</v>
      </c>
      <c r="D87" s="237">
        <v>2606</v>
      </c>
      <c r="E87" s="237">
        <f t="shared" si="12"/>
        <v>2606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448</v>
      </c>
      <c r="C88" s="237">
        <v>0</v>
      </c>
      <c r="D88" s="237">
        <v>238198</v>
      </c>
      <c r="E88" s="237">
        <f t="shared" si="12"/>
        <v>238198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449</v>
      </c>
      <c r="C89" s="237">
        <v>0</v>
      </c>
      <c r="D89" s="237">
        <v>144350</v>
      </c>
      <c r="E89" s="237">
        <f t="shared" si="12"/>
        <v>144350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385</v>
      </c>
      <c r="C90" s="239">
        <v>0</v>
      </c>
      <c r="D90" s="239">
        <v>2</v>
      </c>
      <c r="E90" s="239">
        <f t="shared" si="12"/>
        <v>2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384</v>
      </c>
      <c r="C91" s="239">
        <v>0</v>
      </c>
      <c r="D91" s="239">
        <v>6</v>
      </c>
      <c r="E91" s="239">
        <f t="shared" si="12"/>
        <v>6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450</v>
      </c>
      <c r="C92" s="239">
        <v>0</v>
      </c>
      <c r="D92" s="239">
        <v>123</v>
      </c>
      <c r="E92" s="239">
        <f t="shared" si="12"/>
        <v>123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451</v>
      </c>
      <c r="C93" s="239">
        <v>0</v>
      </c>
      <c r="D93" s="239">
        <v>108</v>
      </c>
      <c r="E93" s="239">
        <f t="shared" si="12"/>
        <v>108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452</v>
      </c>
      <c r="C94" s="239">
        <v>0</v>
      </c>
      <c r="D94" s="239">
        <v>2</v>
      </c>
      <c r="E94" s="239">
        <f t="shared" si="12"/>
        <v>2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0</v>
      </c>
      <c r="D95" s="243">
        <f>+D86+D88</f>
        <v>267256</v>
      </c>
      <c r="E95" s="243">
        <f t="shared" si="12"/>
        <v>267256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0</v>
      </c>
      <c r="D96" s="243">
        <f>+D87+D89</f>
        <v>146956</v>
      </c>
      <c r="E96" s="243">
        <f t="shared" si="12"/>
        <v>146956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413189</v>
      </c>
      <c r="D98" s="237">
        <v>52536</v>
      </c>
      <c r="E98" s="237">
        <f t="shared" ref="E98:E108" si="14">D98-C98</f>
        <v>-360653</v>
      </c>
      <c r="F98" s="238">
        <f t="shared" ref="F98:F108" si="15">IF(C98=0,0,E98/C98)</f>
        <v>-0.87285237506322777</v>
      </c>
    </row>
    <row r="99" spans="1:7" ht="20.25" customHeight="1" x14ac:dyDescent="0.3">
      <c r="A99" s="235">
        <v>2</v>
      </c>
      <c r="B99" s="236" t="s">
        <v>447</v>
      </c>
      <c r="C99" s="237">
        <v>163128</v>
      </c>
      <c r="D99" s="237">
        <v>10091</v>
      </c>
      <c r="E99" s="237">
        <f t="shared" si="14"/>
        <v>-153037</v>
      </c>
      <c r="F99" s="238">
        <f t="shared" si="15"/>
        <v>-0.93814060124564758</v>
      </c>
    </row>
    <row r="100" spans="1:7" ht="20.25" customHeight="1" x14ac:dyDescent="0.3">
      <c r="A100" s="235">
        <v>3</v>
      </c>
      <c r="B100" s="236" t="s">
        <v>448</v>
      </c>
      <c r="C100" s="237">
        <v>1768925</v>
      </c>
      <c r="D100" s="237">
        <v>377848</v>
      </c>
      <c r="E100" s="237">
        <f t="shared" si="14"/>
        <v>-1391077</v>
      </c>
      <c r="F100" s="238">
        <f t="shared" si="15"/>
        <v>-0.78639682292918012</v>
      </c>
    </row>
    <row r="101" spans="1:7" ht="20.25" customHeight="1" x14ac:dyDescent="0.3">
      <c r="A101" s="235">
        <v>4</v>
      </c>
      <c r="B101" s="236" t="s">
        <v>449</v>
      </c>
      <c r="C101" s="237">
        <v>396893</v>
      </c>
      <c r="D101" s="237">
        <v>230517</v>
      </c>
      <c r="E101" s="237">
        <f t="shared" si="14"/>
        <v>-166376</v>
      </c>
      <c r="F101" s="238">
        <f t="shared" si="15"/>
        <v>-0.41919610575142419</v>
      </c>
    </row>
    <row r="102" spans="1:7" ht="20.25" customHeight="1" x14ac:dyDescent="0.3">
      <c r="A102" s="235">
        <v>5</v>
      </c>
      <c r="B102" s="236" t="s">
        <v>385</v>
      </c>
      <c r="C102" s="239">
        <v>33</v>
      </c>
      <c r="D102" s="239">
        <v>4</v>
      </c>
      <c r="E102" s="239">
        <f t="shared" si="14"/>
        <v>-29</v>
      </c>
      <c r="F102" s="238">
        <f t="shared" si="15"/>
        <v>-0.87878787878787878</v>
      </c>
    </row>
    <row r="103" spans="1:7" ht="20.25" customHeight="1" x14ac:dyDescent="0.3">
      <c r="A103" s="235">
        <v>6</v>
      </c>
      <c r="B103" s="236" t="s">
        <v>384</v>
      </c>
      <c r="C103" s="239">
        <v>109</v>
      </c>
      <c r="D103" s="239">
        <v>13</v>
      </c>
      <c r="E103" s="239">
        <f t="shared" si="14"/>
        <v>-96</v>
      </c>
      <c r="F103" s="238">
        <f t="shared" si="15"/>
        <v>-0.88073394495412849</v>
      </c>
    </row>
    <row r="104" spans="1:7" ht="20.25" customHeight="1" x14ac:dyDescent="0.3">
      <c r="A104" s="235">
        <v>7</v>
      </c>
      <c r="B104" s="236" t="s">
        <v>450</v>
      </c>
      <c r="C104" s="239">
        <v>818</v>
      </c>
      <c r="D104" s="239">
        <v>201</v>
      </c>
      <c r="E104" s="239">
        <f t="shared" si="14"/>
        <v>-617</v>
      </c>
      <c r="F104" s="238">
        <f t="shared" si="15"/>
        <v>-0.75427872860635692</v>
      </c>
    </row>
    <row r="105" spans="1:7" ht="20.25" customHeight="1" x14ac:dyDescent="0.3">
      <c r="A105" s="235">
        <v>8</v>
      </c>
      <c r="B105" s="236" t="s">
        <v>451</v>
      </c>
      <c r="C105" s="239">
        <v>646</v>
      </c>
      <c r="D105" s="239">
        <v>166</v>
      </c>
      <c r="E105" s="239">
        <f t="shared" si="14"/>
        <v>-480</v>
      </c>
      <c r="F105" s="238">
        <f t="shared" si="15"/>
        <v>-0.74303405572755421</v>
      </c>
    </row>
    <row r="106" spans="1:7" ht="20.25" customHeight="1" x14ac:dyDescent="0.3">
      <c r="A106" s="235">
        <v>9</v>
      </c>
      <c r="B106" s="236" t="s">
        <v>452</v>
      </c>
      <c r="C106" s="239">
        <v>16</v>
      </c>
      <c r="D106" s="239">
        <v>4</v>
      </c>
      <c r="E106" s="239">
        <f t="shared" si="14"/>
        <v>-12</v>
      </c>
      <c r="F106" s="238">
        <f t="shared" si="15"/>
        <v>-0.75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2182114</v>
      </c>
      <c r="D107" s="243">
        <f>+D98+D100</f>
        <v>430384</v>
      </c>
      <c r="E107" s="243">
        <f t="shared" si="14"/>
        <v>-1751730</v>
      </c>
      <c r="F107" s="244">
        <f t="shared" si="15"/>
        <v>-0.80276740811891589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560021</v>
      </c>
      <c r="D108" s="243">
        <f>+D99+D101</f>
        <v>240608</v>
      </c>
      <c r="E108" s="243">
        <f t="shared" si="14"/>
        <v>-319413</v>
      </c>
      <c r="F108" s="244">
        <f t="shared" si="15"/>
        <v>-0.57035896868153158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4424570</v>
      </c>
      <c r="D112" s="243">
        <f t="shared" si="16"/>
        <v>1492140</v>
      </c>
      <c r="E112" s="243">
        <f t="shared" ref="E112:E122" si="17">D112-C112</f>
        <v>-2932430</v>
      </c>
      <c r="F112" s="244">
        <f t="shared" ref="F112:F122" si="18">IF(C112=0,0,E112/C112)</f>
        <v>-0.66276044903798559</v>
      </c>
    </row>
    <row r="113" spans="1:6" ht="20.25" customHeight="1" x14ac:dyDescent="0.3">
      <c r="A113" s="249"/>
      <c r="B113" s="250" t="s">
        <v>473</v>
      </c>
      <c r="C113" s="243">
        <f t="shared" si="16"/>
        <v>2035784</v>
      </c>
      <c r="D113" s="243">
        <f t="shared" si="16"/>
        <v>408364</v>
      </c>
      <c r="E113" s="243">
        <f t="shared" si="17"/>
        <v>-1627420</v>
      </c>
      <c r="F113" s="244">
        <f t="shared" si="18"/>
        <v>-0.79940700978099832</v>
      </c>
    </row>
    <row r="114" spans="1:6" ht="20.25" customHeight="1" x14ac:dyDescent="0.3">
      <c r="A114" s="249"/>
      <c r="B114" s="250" t="s">
        <v>474</v>
      </c>
      <c r="C114" s="243">
        <f t="shared" si="16"/>
        <v>7254770</v>
      </c>
      <c r="D114" s="243">
        <f t="shared" si="16"/>
        <v>2122969</v>
      </c>
      <c r="E114" s="243">
        <f t="shared" si="17"/>
        <v>-5131801</v>
      </c>
      <c r="F114" s="244">
        <f t="shared" si="18"/>
        <v>-0.70736922052663287</v>
      </c>
    </row>
    <row r="115" spans="1:6" ht="20.25" customHeight="1" x14ac:dyDescent="0.3">
      <c r="A115" s="249"/>
      <c r="B115" s="250" t="s">
        <v>475</v>
      </c>
      <c r="C115" s="243">
        <f t="shared" si="16"/>
        <v>1867045</v>
      </c>
      <c r="D115" s="243">
        <f t="shared" si="16"/>
        <v>1318507</v>
      </c>
      <c r="E115" s="243">
        <f t="shared" si="17"/>
        <v>-548538</v>
      </c>
      <c r="F115" s="244">
        <f t="shared" si="18"/>
        <v>-0.29380009587342565</v>
      </c>
    </row>
    <row r="116" spans="1:6" ht="20.25" customHeight="1" x14ac:dyDescent="0.3">
      <c r="A116" s="249"/>
      <c r="B116" s="250" t="s">
        <v>476</v>
      </c>
      <c r="C116" s="252">
        <f t="shared" si="16"/>
        <v>427</v>
      </c>
      <c r="D116" s="252">
        <f t="shared" si="16"/>
        <v>107</v>
      </c>
      <c r="E116" s="252">
        <f t="shared" si="17"/>
        <v>-320</v>
      </c>
      <c r="F116" s="244">
        <f t="shared" si="18"/>
        <v>-0.74941451990632324</v>
      </c>
    </row>
    <row r="117" spans="1:6" ht="20.25" customHeight="1" x14ac:dyDescent="0.3">
      <c r="A117" s="249"/>
      <c r="B117" s="250" t="s">
        <v>477</v>
      </c>
      <c r="C117" s="252">
        <f t="shared" si="16"/>
        <v>1501</v>
      </c>
      <c r="D117" s="252">
        <f t="shared" si="16"/>
        <v>478</v>
      </c>
      <c r="E117" s="252">
        <f t="shared" si="17"/>
        <v>-1023</v>
      </c>
      <c r="F117" s="244">
        <f t="shared" si="18"/>
        <v>-0.68154563624250497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3919</v>
      </c>
      <c r="D118" s="252">
        <f t="shared" si="16"/>
        <v>1027</v>
      </c>
      <c r="E118" s="252">
        <f t="shared" si="17"/>
        <v>-2892</v>
      </c>
      <c r="F118" s="244">
        <f t="shared" si="18"/>
        <v>-0.73794335289614699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3085</v>
      </c>
      <c r="D119" s="252">
        <f t="shared" si="16"/>
        <v>983</v>
      </c>
      <c r="E119" s="252">
        <f t="shared" si="17"/>
        <v>-2102</v>
      </c>
      <c r="F119" s="244">
        <f t="shared" si="18"/>
        <v>-0.68136142625607776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181</v>
      </c>
      <c r="D120" s="252">
        <f t="shared" si="16"/>
        <v>152</v>
      </c>
      <c r="E120" s="252">
        <f t="shared" si="17"/>
        <v>-29</v>
      </c>
      <c r="F120" s="244">
        <f t="shared" si="18"/>
        <v>-0.16022099447513813</v>
      </c>
    </row>
    <row r="121" spans="1:6" ht="39.950000000000003" customHeight="1" x14ac:dyDescent="0.3">
      <c r="A121" s="249"/>
      <c r="B121" s="242" t="s">
        <v>453</v>
      </c>
      <c r="C121" s="243">
        <f>+C112+C114</f>
        <v>11679340</v>
      </c>
      <c r="D121" s="243">
        <f>+D112+D114</f>
        <v>3615109</v>
      </c>
      <c r="E121" s="243">
        <f t="shared" si="17"/>
        <v>-8064231</v>
      </c>
      <c r="F121" s="244">
        <f t="shared" si="18"/>
        <v>-0.69046975257163501</v>
      </c>
    </row>
    <row r="122" spans="1:6" ht="39.950000000000003" customHeight="1" x14ac:dyDescent="0.3">
      <c r="A122" s="249"/>
      <c r="B122" s="242" t="s">
        <v>482</v>
      </c>
      <c r="C122" s="243">
        <f>+C113+C115</f>
        <v>3902829</v>
      </c>
      <c r="D122" s="243">
        <f>+D113+D115</f>
        <v>1726871</v>
      </c>
      <c r="E122" s="243">
        <f t="shared" si="17"/>
        <v>-2175958</v>
      </c>
      <c r="F122" s="244">
        <f t="shared" si="18"/>
        <v>-0.55753352247818189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FILING&amp;RJOHNSON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1301545</v>
      </c>
      <c r="D13" s="23">
        <v>1246131</v>
      </c>
      <c r="E13" s="23">
        <f t="shared" ref="E13:E22" si="0">D13-C13</f>
        <v>-55414</v>
      </c>
      <c r="F13" s="24">
        <f t="shared" ref="F13:F22" si="1">IF(C13=0,0,E13/C13)</f>
        <v>-4.2575554437226527E-2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10229184</v>
      </c>
      <c r="D15" s="23">
        <v>11049711</v>
      </c>
      <c r="E15" s="23">
        <f t="shared" si="0"/>
        <v>820527</v>
      </c>
      <c r="F15" s="24">
        <f t="shared" si="1"/>
        <v>8.0214316215252365E-2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1216495</v>
      </c>
      <c r="D19" s="23">
        <v>1254591</v>
      </c>
      <c r="E19" s="23">
        <f t="shared" si="0"/>
        <v>38096</v>
      </c>
      <c r="F19" s="24">
        <f t="shared" si="1"/>
        <v>3.1316199408957704E-2</v>
      </c>
    </row>
    <row r="20" spans="1:11" ht="24" customHeight="1" x14ac:dyDescent="0.2">
      <c r="A20" s="21">
        <v>8</v>
      </c>
      <c r="B20" s="22" t="s">
        <v>23</v>
      </c>
      <c r="C20" s="23">
        <v>1443399</v>
      </c>
      <c r="D20" s="23">
        <v>1142229</v>
      </c>
      <c r="E20" s="23">
        <f t="shared" si="0"/>
        <v>-301170</v>
      </c>
      <c r="F20" s="24">
        <f t="shared" si="1"/>
        <v>-0.20865332454851362</v>
      </c>
    </row>
    <row r="21" spans="1:11" ht="24" customHeight="1" x14ac:dyDescent="0.2">
      <c r="A21" s="21">
        <v>9</v>
      </c>
      <c r="B21" s="22" t="s">
        <v>24</v>
      </c>
      <c r="C21" s="23">
        <v>1630535</v>
      </c>
      <c r="D21" s="23">
        <v>708207</v>
      </c>
      <c r="E21" s="23">
        <f t="shared" si="0"/>
        <v>-922328</v>
      </c>
      <c r="F21" s="24">
        <f t="shared" si="1"/>
        <v>-0.56565973744813813</v>
      </c>
    </row>
    <row r="22" spans="1:11" ht="24" customHeight="1" x14ac:dyDescent="0.25">
      <c r="A22" s="25"/>
      <c r="B22" s="26" t="s">
        <v>25</v>
      </c>
      <c r="C22" s="27">
        <f>SUM(C13:C21)</f>
        <v>15821158</v>
      </c>
      <c r="D22" s="27">
        <f>SUM(D13:D21)</f>
        <v>15400869</v>
      </c>
      <c r="E22" s="27">
        <f t="shared" si="0"/>
        <v>-420289</v>
      </c>
      <c r="F22" s="28">
        <f t="shared" si="1"/>
        <v>-2.6564996064131336E-2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4177049</v>
      </c>
      <c r="D25" s="23">
        <v>4648810</v>
      </c>
      <c r="E25" s="23">
        <f>D25-C25</f>
        <v>471761</v>
      </c>
      <c r="F25" s="24">
        <f>IF(C25=0,0,E25/C25)</f>
        <v>0.11294121759165382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517407</v>
      </c>
      <c r="D27" s="23">
        <v>363097</v>
      </c>
      <c r="E27" s="23">
        <f>D27-C27</f>
        <v>-154310</v>
      </c>
      <c r="F27" s="24">
        <f>IF(C27=0,0,E27/C27)</f>
        <v>-0.29823717112447262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4694456</v>
      </c>
      <c r="D29" s="27">
        <f>SUM(D25:D28)</f>
        <v>5011907</v>
      </c>
      <c r="E29" s="27">
        <f>D29-C29</f>
        <v>317451</v>
      </c>
      <c r="F29" s="28">
        <f>IF(C29=0,0,E29/C29)</f>
        <v>6.762253176938926E-2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2864885</v>
      </c>
      <c r="D32" s="23">
        <v>3115139</v>
      </c>
      <c r="E32" s="23">
        <f>D32-C32</f>
        <v>250254</v>
      </c>
      <c r="F32" s="24">
        <f>IF(C32=0,0,E32/C32)</f>
        <v>8.7352197383141039E-2</v>
      </c>
    </row>
    <row r="33" spans="1:8" ht="24" customHeight="1" x14ac:dyDescent="0.2">
      <c r="A33" s="21">
        <v>7</v>
      </c>
      <c r="B33" s="22" t="s">
        <v>35</v>
      </c>
      <c r="C33" s="23">
        <v>1120502</v>
      </c>
      <c r="D33" s="23">
        <v>932644</v>
      </c>
      <c r="E33" s="23">
        <f>D33-C33</f>
        <v>-187858</v>
      </c>
      <c r="F33" s="24">
        <f>IF(C33=0,0,E33/C33)</f>
        <v>-0.16765521168190686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89090624</v>
      </c>
      <c r="D36" s="23">
        <v>89206505</v>
      </c>
      <c r="E36" s="23">
        <f>D36-C36</f>
        <v>115881</v>
      </c>
      <c r="F36" s="24">
        <f>IF(C36=0,0,E36/C36)</f>
        <v>1.3007092643104621E-3</v>
      </c>
    </row>
    <row r="37" spans="1:8" ht="24" customHeight="1" x14ac:dyDescent="0.2">
      <c r="A37" s="21">
        <v>2</v>
      </c>
      <c r="B37" s="22" t="s">
        <v>39</v>
      </c>
      <c r="C37" s="23">
        <v>53104766</v>
      </c>
      <c r="D37" s="23">
        <v>56237679</v>
      </c>
      <c r="E37" s="23">
        <f>D37-C37</f>
        <v>3132913</v>
      </c>
      <c r="F37" s="23">
        <f>IF(C37=0,0,E37/C37)</f>
        <v>5.8994949718825615E-2</v>
      </c>
    </row>
    <row r="38" spans="1:8" ht="24" customHeight="1" x14ac:dyDescent="0.25">
      <c r="A38" s="25"/>
      <c r="B38" s="26" t="s">
        <v>40</v>
      </c>
      <c r="C38" s="27">
        <f>C36-C37</f>
        <v>35985858</v>
      </c>
      <c r="D38" s="27">
        <f>D36-D37</f>
        <v>32968826</v>
      </c>
      <c r="E38" s="27">
        <f>D38-C38</f>
        <v>-3017032</v>
      </c>
      <c r="F38" s="28">
        <f>IF(C38=0,0,E38/C38)</f>
        <v>-8.3839379347298043E-2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35985858</v>
      </c>
      <c r="D41" s="27">
        <f>+D38+D40</f>
        <v>32968826</v>
      </c>
      <c r="E41" s="27">
        <f>D41-C41</f>
        <v>-3017032</v>
      </c>
      <c r="F41" s="28">
        <f>IF(C41=0,0,E41/C41)</f>
        <v>-8.3839379347298043E-2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60486859</v>
      </c>
      <c r="D43" s="27">
        <f>D22+D29+D31+D32+D33+D41</f>
        <v>57429385</v>
      </c>
      <c r="E43" s="27">
        <f>D43-C43</f>
        <v>-3057474</v>
      </c>
      <c r="F43" s="28">
        <f>IF(C43=0,0,E43/C43)</f>
        <v>-5.0547739633826909E-2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4221618</v>
      </c>
      <c r="D49" s="23">
        <v>4846437</v>
      </c>
      <c r="E49" s="23">
        <f t="shared" ref="E49:E56" si="2">D49-C49</f>
        <v>624819</v>
      </c>
      <c r="F49" s="24">
        <f t="shared" ref="F49:F56" si="3">IF(C49=0,0,E49/C49)</f>
        <v>0.1480046276096037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2694192</v>
      </c>
      <c r="D50" s="23">
        <v>3018255</v>
      </c>
      <c r="E50" s="23">
        <f t="shared" si="2"/>
        <v>324063</v>
      </c>
      <c r="F50" s="24">
        <f t="shared" si="3"/>
        <v>0.12028207343797324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1560762</v>
      </c>
      <c r="D51" s="23">
        <v>1494268</v>
      </c>
      <c r="E51" s="23">
        <f t="shared" si="2"/>
        <v>-66494</v>
      </c>
      <c r="F51" s="24">
        <f t="shared" si="3"/>
        <v>-4.2603548779378275E-2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1221003</v>
      </c>
      <c r="D54" s="23">
        <v>1107768</v>
      </c>
      <c r="E54" s="23">
        <f t="shared" si="2"/>
        <v>-113235</v>
      </c>
      <c r="F54" s="24">
        <f t="shared" si="3"/>
        <v>-9.2739329878796364E-2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6663792</v>
      </c>
      <c r="D55" s="23">
        <v>5471754</v>
      </c>
      <c r="E55" s="23">
        <f t="shared" si="2"/>
        <v>-1192038</v>
      </c>
      <c r="F55" s="24">
        <f t="shared" si="3"/>
        <v>-0.17888283427814072</v>
      </c>
    </row>
    <row r="56" spans="1:6" ht="24" customHeight="1" x14ac:dyDescent="0.25">
      <c r="A56" s="25"/>
      <c r="B56" s="26" t="s">
        <v>54</v>
      </c>
      <c r="C56" s="27">
        <f>SUM(C49:C55)</f>
        <v>16361367</v>
      </c>
      <c r="D56" s="27">
        <f>SUM(D49:D55)</f>
        <v>15938482</v>
      </c>
      <c r="E56" s="27">
        <f t="shared" si="2"/>
        <v>-422885</v>
      </c>
      <c r="F56" s="28">
        <f t="shared" si="3"/>
        <v>-2.5846556708861795E-2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29637852</v>
      </c>
      <c r="D60" s="23">
        <v>28704541</v>
      </c>
      <c r="E60" s="23">
        <f>D60-C60</f>
        <v>-933311</v>
      </c>
      <c r="F60" s="24">
        <f>IF(C60=0,0,E60/C60)</f>
        <v>-3.1490507476722669E-2</v>
      </c>
    </row>
    <row r="61" spans="1:6" ht="24" customHeight="1" x14ac:dyDescent="0.25">
      <c r="A61" s="25"/>
      <c r="B61" s="26" t="s">
        <v>58</v>
      </c>
      <c r="C61" s="27">
        <f>SUM(C59:C60)</f>
        <v>29637852</v>
      </c>
      <c r="D61" s="27">
        <f>SUM(D59:D60)</f>
        <v>28704541</v>
      </c>
      <c r="E61" s="27">
        <f>D61-C61</f>
        <v>-933311</v>
      </c>
      <c r="F61" s="28">
        <f>IF(C61=0,0,E61/C61)</f>
        <v>-3.1490507476722669E-2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9081856</v>
      </c>
      <c r="D64" s="23">
        <v>9194576</v>
      </c>
      <c r="E64" s="23">
        <f>D64-C64</f>
        <v>112720</v>
      </c>
      <c r="F64" s="24">
        <f>IF(C64=0,0,E64/C64)</f>
        <v>1.2411559927838539E-2</v>
      </c>
    </row>
    <row r="65" spans="1:6" ht="24" customHeight="1" x14ac:dyDescent="0.25">
      <c r="A65" s="25"/>
      <c r="B65" s="26" t="s">
        <v>61</v>
      </c>
      <c r="C65" s="27">
        <f>SUM(C61:C64)</f>
        <v>38719708</v>
      </c>
      <c r="D65" s="27">
        <f>SUM(D61:D64)</f>
        <v>37899117</v>
      </c>
      <c r="E65" s="27">
        <f>D65-C65</f>
        <v>-820591</v>
      </c>
      <c r="F65" s="28">
        <f>IF(C65=0,0,E65/C65)</f>
        <v>-2.1193109204232636E-2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873482</v>
      </c>
      <c r="D70" s="23">
        <v>-1339902</v>
      </c>
      <c r="E70" s="23">
        <f>D70-C70</f>
        <v>-2213384</v>
      </c>
      <c r="F70" s="24">
        <f>IF(C70=0,0,E70/C70)</f>
        <v>-2.5339778037784408</v>
      </c>
    </row>
    <row r="71" spans="1:6" ht="24" customHeight="1" x14ac:dyDescent="0.2">
      <c r="A71" s="21">
        <v>2</v>
      </c>
      <c r="B71" s="22" t="s">
        <v>65</v>
      </c>
      <c r="C71" s="23">
        <v>352758</v>
      </c>
      <c r="D71" s="23">
        <v>301374</v>
      </c>
      <c r="E71" s="23">
        <f>D71-C71</f>
        <v>-51384</v>
      </c>
      <c r="F71" s="24">
        <f>IF(C71=0,0,E71/C71)</f>
        <v>-0.14566359940809279</v>
      </c>
    </row>
    <row r="72" spans="1:6" ht="24" customHeight="1" x14ac:dyDescent="0.2">
      <c r="A72" s="21">
        <v>3</v>
      </c>
      <c r="B72" s="22" t="s">
        <v>66</v>
      </c>
      <c r="C72" s="23">
        <v>4179544</v>
      </c>
      <c r="D72" s="23">
        <v>4630314</v>
      </c>
      <c r="E72" s="23">
        <f>D72-C72</f>
        <v>450770</v>
      </c>
      <c r="F72" s="24">
        <f>IF(C72=0,0,E72/C72)</f>
        <v>0.10785147853450042</v>
      </c>
    </row>
    <row r="73" spans="1:6" ht="24" customHeight="1" x14ac:dyDescent="0.25">
      <c r="A73" s="21"/>
      <c r="B73" s="26" t="s">
        <v>67</v>
      </c>
      <c r="C73" s="27">
        <f>SUM(C70:C72)</f>
        <v>5405784</v>
      </c>
      <c r="D73" s="27">
        <f>SUM(D70:D72)</f>
        <v>3591786</v>
      </c>
      <c r="E73" s="27">
        <f>D73-C73</f>
        <v>-1813998</v>
      </c>
      <c r="F73" s="28">
        <f>IF(C73=0,0,E73/C73)</f>
        <v>-0.33556612694846855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60486859</v>
      </c>
      <c r="D75" s="27">
        <f>D56+D65+D67+D73</f>
        <v>57429385</v>
      </c>
      <c r="E75" s="27">
        <f>D75-C75</f>
        <v>-3057474</v>
      </c>
      <c r="F75" s="28">
        <f>IF(C75=0,0,E75/C75)</f>
        <v>-5.0547739633826909E-2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FILING&amp;RJOHNSON MEMORIAL MEDICAL CENTER,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190956963</v>
      </c>
      <c r="D12" s="51">
        <v>193741543</v>
      </c>
      <c r="E12" s="51">
        <f t="shared" ref="E12:E19" si="0">D12-C12</f>
        <v>2784580</v>
      </c>
      <c r="F12" s="70">
        <f t="shared" ref="F12:F19" si="1">IF(C12=0,0,E12/C12)</f>
        <v>1.4582238616771466E-2</v>
      </c>
    </row>
    <row r="13" spans="1:8" ht="23.1" customHeight="1" x14ac:dyDescent="0.2">
      <c r="A13" s="25">
        <v>2</v>
      </c>
      <c r="B13" s="48" t="s">
        <v>72</v>
      </c>
      <c r="C13" s="51">
        <v>101764243</v>
      </c>
      <c r="D13" s="51">
        <v>100767552</v>
      </c>
      <c r="E13" s="51">
        <f t="shared" si="0"/>
        <v>-996691</v>
      </c>
      <c r="F13" s="70">
        <f t="shared" si="1"/>
        <v>-9.7941179594879905E-3</v>
      </c>
    </row>
    <row r="14" spans="1:8" ht="23.1" customHeight="1" x14ac:dyDescent="0.2">
      <c r="A14" s="25">
        <v>3</v>
      </c>
      <c r="B14" s="48" t="s">
        <v>73</v>
      </c>
      <c r="C14" s="51">
        <v>491100</v>
      </c>
      <c r="D14" s="51">
        <v>103541</v>
      </c>
      <c r="E14" s="51">
        <f t="shared" si="0"/>
        <v>-387559</v>
      </c>
      <c r="F14" s="70">
        <f t="shared" si="1"/>
        <v>-0.78916513948279376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88701620</v>
      </c>
      <c r="D16" s="27">
        <f>D12-D13-D14-D15</f>
        <v>92870450</v>
      </c>
      <c r="E16" s="27">
        <f t="shared" si="0"/>
        <v>4168830</v>
      </c>
      <c r="F16" s="28">
        <f t="shared" si="1"/>
        <v>4.6998352453991254E-2</v>
      </c>
    </row>
    <row r="17" spans="1:7" ht="23.1" customHeight="1" x14ac:dyDescent="0.2">
      <c r="A17" s="25">
        <v>5</v>
      </c>
      <c r="B17" s="48" t="s">
        <v>76</v>
      </c>
      <c r="C17" s="51">
        <v>1570126</v>
      </c>
      <c r="D17" s="51">
        <v>848902</v>
      </c>
      <c r="E17" s="51">
        <f t="shared" si="0"/>
        <v>-721224</v>
      </c>
      <c r="F17" s="70">
        <f t="shared" si="1"/>
        <v>-0.45934147960100019</v>
      </c>
      <c r="G17" s="64"/>
    </row>
    <row r="18" spans="1:7" ht="33" customHeight="1" x14ac:dyDescent="0.2">
      <c r="A18" s="25">
        <v>6</v>
      </c>
      <c r="B18" s="45" t="s">
        <v>77</v>
      </c>
      <c r="C18" s="51">
        <v>63054</v>
      </c>
      <c r="D18" s="51">
        <v>48084</v>
      </c>
      <c r="E18" s="51">
        <f t="shared" si="0"/>
        <v>-14970</v>
      </c>
      <c r="F18" s="70">
        <f t="shared" si="1"/>
        <v>-0.23741554857740985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90334800</v>
      </c>
      <c r="D19" s="27">
        <f>SUM(D16:D18)</f>
        <v>93767436</v>
      </c>
      <c r="E19" s="27">
        <f t="shared" si="0"/>
        <v>3432636</v>
      </c>
      <c r="F19" s="28">
        <f t="shared" si="1"/>
        <v>3.7999043557964372E-2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45145266</v>
      </c>
      <c r="D22" s="51">
        <v>45315556</v>
      </c>
      <c r="E22" s="51">
        <f t="shared" ref="E22:E31" si="2">D22-C22</f>
        <v>170290</v>
      </c>
      <c r="F22" s="70">
        <f t="shared" ref="F22:F31" si="3">IF(C22=0,0,E22/C22)</f>
        <v>3.7720455562273128E-3</v>
      </c>
    </row>
    <row r="23" spans="1:7" ht="23.1" customHeight="1" x14ac:dyDescent="0.2">
      <c r="A23" s="25">
        <v>2</v>
      </c>
      <c r="B23" s="48" t="s">
        <v>81</v>
      </c>
      <c r="C23" s="51">
        <v>11155849</v>
      </c>
      <c r="D23" s="51">
        <v>11118403</v>
      </c>
      <c r="E23" s="51">
        <f t="shared" si="2"/>
        <v>-37446</v>
      </c>
      <c r="F23" s="70">
        <f t="shared" si="3"/>
        <v>-3.3566248521291388E-3</v>
      </c>
    </row>
    <row r="24" spans="1:7" ht="23.1" customHeight="1" x14ac:dyDescent="0.2">
      <c r="A24" s="25">
        <v>3</v>
      </c>
      <c r="B24" s="48" t="s">
        <v>82</v>
      </c>
      <c r="C24" s="51">
        <v>493797</v>
      </c>
      <c r="D24" s="51">
        <v>995970</v>
      </c>
      <c r="E24" s="51">
        <f t="shared" si="2"/>
        <v>502173</v>
      </c>
      <c r="F24" s="70">
        <f t="shared" si="3"/>
        <v>1.0169624359807776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8689407</v>
      </c>
      <c r="D25" s="51">
        <v>8907808</v>
      </c>
      <c r="E25" s="51">
        <f t="shared" si="2"/>
        <v>218401</v>
      </c>
      <c r="F25" s="70">
        <f t="shared" si="3"/>
        <v>2.5134166232517362E-2</v>
      </c>
    </row>
    <row r="26" spans="1:7" ht="23.1" customHeight="1" x14ac:dyDescent="0.2">
      <c r="A26" s="25">
        <v>5</v>
      </c>
      <c r="B26" s="48" t="s">
        <v>84</v>
      </c>
      <c r="C26" s="51">
        <v>4493989</v>
      </c>
      <c r="D26" s="51">
        <v>4373638</v>
      </c>
      <c r="E26" s="51">
        <f t="shared" si="2"/>
        <v>-120351</v>
      </c>
      <c r="F26" s="70">
        <f t="shared" si="3"/>
        <v>-2.67804393824729E-2</v>
      </c>
    </row>
    <row r="27" spans="1:7" ht="23.1" customHeight="1" x14ac:dyDescent="0.2">
      <c r="A27" s="25">
        <v>6</v>
      </c>
      <c r="B27" s="48" t="s">
        <v>85</v>
      </c>
      <c r="C27" s="51">
        <v>2626661</v>
      </c>
      <c r="D27" s="51">
        <v>3903848</v>
      </c>
      <c r="E27" s="51">
        <f t="shared" si="2"/>
        <v>1277187</v>
      </c>
      <c r="F27" s="70">
        <f t="shared" si="3"/>
        <v>0.48623975457815072</v>
      </c>
    </row>
    <row r="28" spans="1:7" ht="23.1" customHeight="1" x14ac:dyDescent="0.2">
      <c r="A28" s="25">
        <v>7</v>
      </c>
      <c r="B28" s="48" t="s">
        <v>86</v>
      </c>
      <c r="C28" s="51">
        <v>2007104</v>
      </c>
      <c r="D28" s="51">
        <v>2070005</v>
      </c>
      <c r="E28" s="51">
        <f t="shared" si="2"/>
        <v>62901</v>
      </c>
      <c r="F28" s="70">
        <f t="shared" si="3"/>
        <v>3.1339183221198302E-2</v>
      </c>
    </row>
    <row r="29" spans="1:7" ht="23.1" customHeight="1" x14ac:dyDescent="0.2">
      <c r="A29" s="25">
        <v>8</v>
      </c>
      <c r="B29" s="48" t="s">
        <v>87</v>
      </c>
      <c r="C29" s="51">
        <v>729896</v>
      </c>
      <c r="D29" s="51">
        <v>736725</v>
      </c>
      <c r="E29" s="51">
        <f t="shared" si="2"/>
        <v>6829</v>
      </c>
      <c r="F29" s="70">
        <f t="shared" si="3"/>
        <v>9.3561274482940032E-3</v>
      </c>
    </row>
    <row r="30" spans="1:7" ht="23.1" customHeight="1" x14ac:dyDescent="0.2">
      <c r="A30" s="25">
        <v>9</v>
      </c>
      <c r="B30" s="48" t="s">
        <v>88</v>
      </c>
      <c r="C30" s="51">
        <v>18219773</v>
      </c>
      <c r="D30" s="51">
        <v>19558486</v>
      </c>
      <c r="E30" s="51">
        <f t="shared" si="2"/>
        <v>1338713</v>
      </c>
      <c r="F30" s="70">
        <f t="shared" si="3"/>
        <v>7.3475833096274035E-2</v>
      </c>
    </row>
    <row r="31" spans="1:7" ht="23.1" customHeight="1" x14ac:dyDescent="0.25">
      <c r="A31" s="29"/>
      <c r="B31" s="71" t="s">
        <v>89</v>
      </c>
      <c r="C31" s="27">
        <f>SUM(C22:C30)</f>
        <v>93561742</v>
      </c>
      <c r="D31" s="27">
        <f>SUM(D22:D30)</f>
        <v>96980439</v>
      </c>
      <c r="E31" s="27">
        <f t="shared" si="2"/>
        <v>3418697</v>
      </c>
      <c r="F31" s="28">
        <f t="shared" si="3"/>
        <v>3.6539475718611568E-2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-3226942</v>
      </c>
      <c r="D33" s="27">
        <f>+D19-D31</f>
        <v>-3213003</v>
      </c>
      <c r="E33" s="27">
        <f>D33-C33</f>
        <v>13939</v>
      </c>
      <c r="F33" s="28">
        <f>IF(C33=0,0,E33/C33)</f>
        <v>-4.3195694251709511E-3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111297</v>
      </c>
      <c r="D36" s="51">
        <v>194132</v>
      </c>
      <c r="E36" s="51">
        <f>D36-C36</f>
        <v>82835</v>
      </c>
      <c r="F36" s="70">
        <f>IF(C36=0,0,E36/C36)</f>
        <v>0.74426983656342938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253450</v>
      </c>
      <c r="E38" s="51">
        <f>D38-C38</f>
        <v>253450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111297</v>
      </c>
      <c r="D39" s="27">
        <f>SUM(D36:D38)</f>
        <v>447582</v>
      </c>
      <c r="E39" s="27">
        <f>D39-C39</f>
        <v>336285</v>
      </c>
      <c r="F39" s="28">
        <f>IF(C39=0,0,E39/C39)</f>
        <v>3.0215100137470015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-3115645</v>
      </c>
      <c r="D41" s="27">
        <f>D33+D39</f>
        <v>-2765421</v>
      </c>
      <c r="E41" s="27">
        <f>D41-C41</f>
        <v>350224</v>
      </c>
      <c r="F41" s="28">
        <f>IF(C41=0,0,E41/C41)</f>
        <v>-0.11240818514304422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1094678</v>
      </c>
      <c r="D45" s="51">
        <v>0</v>
      </c>
      <c r="E45" s="51">
        <f>D45-C45</f>
        <v>-1094678</v>
      </c>
      <c r="F45" s="70">
        <f>IF(C45=0,0,E45/C45)</f>
        <v>-1</v>
      </c>
    </row>
    <row r="46" spans="1:6" ht="23.1" customHeight="1" x14ac:dyDescent="0.25">
      <c r="A46" s="20"/>
      <c r="B46" s="74" t="s">
        <v>100</v>
      </c>
      <c r="C46" s="27">
        <f>SUM(C44:C45)</f>
        <v>1094678</v>
      </c>
      <c r="D46" s="27">
        <f>SUM(D44:D45)</f>
        <v>0</v>
      </c>
      <c r="E46" s="27">
        <f>D46-C46</f>
        <v>-1094678</v>
      </c>
      <c r="F46" s="28">
        <f>IF(C46=0,0,E46/C46)</f>
        <v>-1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-2020967</v>
      </c>
      <c r="D48" s="27">
        <f>D41+D46</f>
        <v>-2765421</v>
      </c>
      <c r="E48" s="27">
        <f>D48-C48</f>
        <v>-744454</v>
      </c>
      <c r="F48" s="28">
        <f>IF(C48=0,0,E48/C48)</f>
        <v>0.36836524297526879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FILING&amp;R&amp;8JOHNSON MEMORIAL MEDICAL CENTER,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2013-09-11T12:09:11Z</cp:lastPrinted>
  <dcterms:created xsi:type="dcterms:W3CDTF">2006-08-03T13:49:12Z</dcterms:created>
  <dcterms:modified xsi:type="dcterms:W3CDTF">2013-09-12T14:57:39Z</dcterms:modified>
</cp:coreProperties>
</file>